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cenl\Desktop\Laura\A.09-09-022 Alberhill\A.09-09-022 CPUC-JWS-4\"/>
    </mc:Choice>
  </mc:AlternateContent>
  <xr:revisionPtr revIDLastSave="0" documentId="8_{3133166A-290F-457C-AD37-E5AE20EF8FEE}" xr6:coauthVersionLast="45" xr6:coauthVersionMax="45" xr10:uidLastSave="{00000000-0000-0000-0000-000000000000}"/>
  <bookViews>
    <workbookView xWindow="-110" yWindow="-110" windowWidth="19420" windowHeight="10420" tabRatio="619" xr2:uid="{00000000-000D-0000-FFFF-FFFF00000000}"/>
  </bookViews>
  <sheets>
    <sheet name="Summary" sheetId="7" r:id="rId1"/>
    <sheet name="Incr. C-B Reliability Indices" sheetId="18" r:id="rId2"/>
    <sheet name="Incr. C-B Monetized" sheetId="59" r:id="rId3"/>
    <sheet name="Levelized Cost Analysis" sheetId="60" r:id="rId4"/>
    <sheet name="Cost Assumptions" sheetId="16" r:id="rId5"/>
    <sheet name="Baseline System Analysis" sheetId="17" r:id="rId6"/>
    <sheet name="Alberhill System Project" sheetId="10" r:id="rId7"/>
    <sheet name="SDG&amp;E" sheetId="11" r:id="rId8"/>
    <sheet name="Valley S to Valley N to Vista" sheetId="12" r:id="rId9"/>
    <sheet name="Centralized BESS in Valley S" sheetId="13" r:id="rId10"/>
    <sheet name="MiraLoma &amp; Centralized BESS VS" sheetId="15" r:id="rId11"/>
    <sheet name="VS to VN &amp; Distributed BESS VS" sheetId="23" r:id="rId12"/>
    <sheet name="Menifee" sheetId="38" r:id="rId13"/>
    <sheet name="Mira Loma" sheetId="61" r:id="rId14"/>
    <sheet name="SCE Orange County" sheetId="43" r:id="rId15"/>
    <sheet name="VS to VN &amp; Central BESS VS VN " sheetId="45" r:id="rId16"/>
    <sheet name="VS to VN to VST &amp; Cen BESS VS" sheetId="47" r:id="rId17"/>
    <sheet name="SDG&amp;E and Central BESS in VS" sheetId="50" r:id="rId18"/>
    <sheet name="Valley South to Valley North" sheetId="58" r:id="rId19"/>
  </sheets>
  <definedNames>
    <definedName name="_xlnm._FilterDatabase" localSheetId="2" hidden="1">'Incr. C-B Monetized'!$A$4:$D$11</definedName>
    <definedName name="_xlnm._FilterDatabase" localSheetId="1" hidden="1">'Incr. C-B Reliability Indices'!$A$3:$D$10</definedName>
    <definedName name="_xlnm._FilterDatabase" localSheetId="0" hidden="1">Summary!$H$6:$J$18</definedName>
    <definedName name="Sourcedata">Summary!$A$6:$D$11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7" i="18" l="1"/>
  <c r="Z47" i="18"/>
  <c r="X47" i="18"/>
  <c r="AB41" i="59"/>
  <c r="Z41" i="59"/>
  <c r="X41" i="59"/>
  <c r="V47" i="18" l="1"/>
  <c r="V41" i="59" l="1"/>
  <c r="T41" i="59"/>
  <c r="U41" i="59" s="1"/>
  <c r="W41" i="59" s="1"/>
  <c r="R41" i="59"/>
  <c r="P41" i="59"/>
  <c r="N41" i="59"/>
  <c r="L41" i="59"/>
  <c r="J41" i="59"/>
  <c r="H41" i="59"/>
  <c r="F41" i="59"/>
  <c r="D41" i="59"/>
  <c r="C41" i="59"/>
  <c r="Y41" i="59" l="1"/>
  <c r="W40" i="59"/>
  <c r="U40" i="59"/>
  <c r="D66" i="18"/>
  <c r="AJ20" i="59"/>
  <c r="AK20" i="59" s="1"/>
  <c r="Y40" i="59" l="1"/>
  <c r="AA41" i="59"/>
  <c r="V18" i="50"/>
  <c r="W18" i="50" s="1"/>
  <c r="X18" i="50" s="1"/>
  <c r="Y18" i="50" s="1"/>
  <c r="Z18" i="50" s="1"/>
  <c r="AA18" i="50" s="1"/>
  <c r="AB18" i="50" s="1"/>
  <c r="AC18" i="50" s="1"/>
  <c r="AA40" i="59" l="1"/>
  <c r="K18" i="11"/>
  <c r="L18" i="11" s="1"/>
  <c r="M18" i="11" s="1"/>
  <c r="N18" i="11" s="1"/>
  <c r="O18" i="11" s="1"/>
  <c r="P18" i="11" s="1"/>
  <c r="Q18" i="11" s="1"/>
  <c r="R18" i="11" s="1"/>
  <c r="S18" i="11" s="1"/>
  <c r="T18" i="11" s="1"/>
  <c r="U18" i="11" s="1"/>
  <c r="V18" i="11" s="1"/>
  <c r="W18" i="11" s="1"/>
  <c r="X18" i="11" s="1"/>
  <c r="Y18" i="11" s="1"/>
  <c r="Z18" i="11" s="1"/>
  <c r="AA18" i="11" s="1"/>
  <c r="AB18" i="11" s="1"/>
  <c r="AC18" i="11" s="1"/>
  <c r="E18" i="11"/>
  <c r="F18" i="11" s="1"/>
  <c r="G18" i="11" s="1"/>
  <c r="H18" i="11" s="1"/>
  <c r="I18" i="11" s="1"/>
  <c r="K18" i="15" l="1"/>
  <c r="L18" i="15" s="1"/>
  <c r="M18" i="15" s="1"/>
  <c r="N18" i="15" s="1"/>
  <c r="O18" i="15" s="1"/>
  <c r="P18" i="15" s="1"/>
  <c r="Q18" i="15" s="1"/>
  <c r="R18" i="15" s="1"/>
  <c r="S18" i="15" s="1"/>
  <c r="T18" i="15" s="1"/>
  <c r="U18" i="15" s="1"/>
  <c r="V18" i="15" s="1"/>
  <c r="W18" i="15" s="1"/>
  <c r="X18" i="15" s="1"/>
  <c r="Y18" i="15" s="1"/>
  <c r="Z18" i="15" s="1"/>
  <c r="AA18" i="15" s="1"/>
  <c r="AB18" i="15" s="1"/>
  <c r="AC18" i="15" s="1"/>
  <c r="C78" i="61" l="1"/>
  <c r="C77" i="61"/>
  <c r="C74" i="61"/>
  <c r="C73" i="61"/>
  <c r="C70" i="61"/>
  <c r="C69" i="61"/>
  <c r="C66" i="61"/>
  <c r="C65" i="61"/>
  <c r="C66" i="18" l="1"/>
  <c r="C65" i="18" l="1"/>
  <c r="A55" i="18"/>
  <c r="B55" i="18"/>
  <c r="AO184" i="18"/>
  <c r="AM184" i="18"/>
  <c r="AO171" i="18"/>
  <c r="AM171" i="18"/>
  <c r="AO158" i="18"/>
  <c r="AM158" i="18"/>
  <c r="AO145" i="18"/>
  <c r="AM145" i="18"/>
  <c r="AO132" i="18"/>
  <c r="AM132" i="18"/>
  <c r="AO119" i="18"/>
  <c r="AM119" i="18"/>
  <c r="AO106" i="18"/>
  <c r="AM106" i="18"/>
  <c r="AO93" i="18"/>
  <c r="AM93" i="18"/>
  <c r="AM80" i="18"/>
  <c r="AO80" i="18"/>
  <c r="AO67" i="18"/>
  <c r="AL67" i="18"/>
  <c r="AM67" i="18" s="1"/>
  <c r="AO54" i="18"/>
  <c r="AL54" i="18"/>
  <c r="AM54" i="18" s="1"/>
  <c r="AO41" i="18"/>
  <c r="AL41" i="18"/>
  <c r="AM41" i="18" s="1"/>
  <c r="AO25" i="18"/>
  <c r="AM25" i="18"/>
  <c r="AO12" i="18"/>
  <c r="AM12" i="18"/>
  <c r="Z27" i="45"/>
  <c r="AA27" i="45" s="1"/>
  <c r="AB27" i="45" s="1"/>
  <c r="AC27" i="45" s="1"/>
  <c r="X27" i="45"/>
  <c r="AD28" i="23" l="1"/>
  <c r="Z27" i="12" l="1"/>
  <c r="AA27" i="12" s="1"/>
  <c r="AB27" i="12" s="1"/>
  <c r="AC27" i="12" s="1"/>
  <c r="AD28" i="12"/>
  <c r="Y28" i="12"/>
  <c r="AO79" i="18" l="1"/>
  <c r="AO78" i="18"/>
  <c r="AD15" i="58" l="1"/>
  <c r="AD52" i="58" s="1"/>
  <c r="AC15" i="58"/>
  <c r="AC52" i="58" s="1"/>
  <c r="AB15" i="58"/>
  <c r="AB52" i="58" s="1"/>
  <c r="AA15" i="58"/>
  <c r="AA52" i="58" s="1"/>
  <c r="Z15" i="58"/>
  <c r="Z52" i="58" s="1"/>
  <c r="Y15" i="58"/>
  <c r="Y52" i="58" s="1"/>
  <c r="X15" i="58"/>
  <c r="X52" i="58" s="1"/>
  <c r="W15" i="58"/>
  <c r="W52" i="58" s="1"/>
  <c r="V15" i="58"/>
  <c r="V52" i="58" s="1"/>
  <c r="U15" i="58"/>
  <c r="U52" i="58" s="1"/>
  <c r="T15" i="58"/>
  <c r="T52" i="58" s="1"/>
  <c r="S15" i="58"/>
  <c r="S52" i="58" s="1"/>
  <c r="R15" i="58"/>
  <c r="R52" i="58" s="1"/>
  <c r="Q15" i="58"/>
  <c r="Q52" i="58" s="1"/>
  <c r="P15" i="58"/>
  <c r="P52" i="58" s="1"/>
  <c r="O15" i="58"/>
  <c r="O52" i="58" s="1"/>
  <c r="N15" i="58"/>
  <c r="N52" i="58" s="1"/>
  <c r="M15" i="58"/>
  <c r="M52" i="58" s="1"/>
  <c r="L15" i="58"/>
  <c r="L52" i="58" s="1"/>
  <c r="K15" i="58"/>
  <c r="K52" i="58" s="1"/>
  <c r="J15" i="58"/>
  <c r="J52" i="58" s="1"/>
  <c r="I15" i="58"/>
  <c r="I52" i="58" s="1"/>
  <c r="H15" i="58"/>
  <c r="H52" i="58" s="1"/>
  <c r="G15" i="58"/>
  <c r="G52" i="58" s="1"/>
  <c r="F15" i="58"/>
  <c r="F52" i="58" s="1"/>
  <c r="E15" i="58"/>
  <c r="E52" i="58" s="1"/>
  <c r="D15" i="58"/>
  <c r="D52" i="58" s="1"/>
  <c r="AD14" i="58"/>
  <c r="AD51" i="58" s="1"/>
  <c r="AC14" i="58"/>
  <c r="AC51" i="58" s="1"/>
  <c r="AB14" i="58"/>
  <c r="AB51" i="58" s="1"/>
  <c r="AA14" i="58"/>
  <c r="AA51" i="58" s="1"/>
  <c r="Z14" i="58"/>
  <c r="Z51" i="58" s="1"/>
  <c r="Y14" i="58"/>
  <c r="Y51" i="58" s="1"/>
  <c r="X14" i="58"/>
  <c r="X51" i="58" s="1"/>
  <c r="W14" i="58"/>
  <c r="W51" i="58" s="1"/>
  <c r="V14" i="58"/>
  <c r="V51" i="58" s="1"/>
  <c r="U14" i="58"/>
  <c r="U51" i="58" s="1"/>
  <c r="T14" i="58"/>
  <c r="T51" i="58" s="1"/>
  <c r="S14" i="58"/>
  <c r="S51" i="58" s="1"/>
  <c r="R14" i="58"/>
  <c r="R51" i="58" s="1"/>
  <c r="Q14" i="58"/>
  <c r="Q51" i="58" s="1"/>
  <c r="P14" i="58"/>
  <c r="P51" i="58" s="1"/>
  <c r="O14" i="58"/>
  <c r="O51" i="58" s="1"/>
  <c r="N14" i="58"/>
  <c r="N51" i="58" s="1"/>
  <c r="M14" i="58"/>
  <c r="M51" i="58" s="1"/>
  <c r="L14" i="58"/>
  <c r="L51" i="58" s="1"/>
  <c r="K14" i="58"/>
  <c r="K51" i="58" s="1"/>
  <c r="J14" i="58"/>
  <c r="J51" i="58" s="1"/>
  <c r="I14" i="58"/>
  <c r="I51" i="58" s="1"/>
  <c r="H14" i="58"/>
  <c r="H51" i="58" s="1"/>
  <c r="G14" i="58"/>
  <c r="G51" i="58" s="1"/>
  <c r="F14" i="58"/>
  <c r="F51" i="58" s="1"/>
  <c r="E14" i="58"/>
  <c r="E51" i="58" s="1"/>
  <c r="D14" i="58"/>
  <c r="D51" i="58" s="1"/>
  <c r="AD13" i="58"/>
  <c r="AD50" i="58" s="1"/>
  <c r="AC13" i="58"/>
  <c r="AC50" i="58" s="1"/>
  <c r="AB13" i="58"/>
  <c r="AB50" i="58" s="1"/>
  <c r="AA13" i="58"/>
  <c r="AA50" i="58" s="1"/>
  <c r="Z13" i="58"/>
  <c r="Z50" i="58" s="1"/>
  <c r="Y13" i="58"/>
  <c r="Y50" i="58" s="1"/>
  <c r="X13" i="58"/>
  <c r="X50" i="58" s="1"/>
  <c r="W13" i="58"/>
  <c r="W50" i="58" s="1"/>
  <c r="V13" i="58"/>
  <c r="V50" i="58" s="1"/>
  <c r="U13" i="58"/>
  <c r="U50" i="58" s="1"/>
  <c r="T13" i="58"/>
  <c r="T50" i="58" s="1"/>
  <c r="S13" i="58"/>
  <c r="S50" i="58" s="1"/>
  <c r="R13" i="58"/>
  <c r="R50" i="58" s="1"/>
  <c r="Q13" i="58"/>
  <c r="Q50" i="58" s="1"/>
  <c r="P13" i="58"/>
  <c r="P50" i="58" s="1"/>
  <c r="O13" i="58"/>
  <c r="O50" i="58" s="1"/>
  <c r="N13" i="58"/>
  <c r="N50" i="58" s="1"/>
  <c r="M13" i="58"/>
  <c r="M50" i="58" s="1"/>
  <c r="L13" i="58"/>
  <c r="L50" i="58" s="1"/>
  <c r="K13" i="58"/>
  <c r="K50" i="58" s="1"/>
  <c r="J13" i="58"/>
  <c r="J50" i="58" s="1"/>
  <c r="I13" i="58"/>
  <c r="I50" i="58" s="1"/>
  <c r="H13" i="58"/>
  <c r="H50" i="58" s="1"/>
  <c r="G13" i="58"/>
  <c r="G50" i="58" s="1"/>
  <c r="F13" i="58"/>
  <c r="F50" i="58" s="1"/>
  <c r="E13" i="58"/>
  <c r="E50" i="58" s="1"/>
  <c r="D13" i="58"/>
  <c r="D50" i="58" s="1"/>
  <c r="AD15" i="50"/>
  <c r="AD51" i="50" s="1"/>
  <c r="AC15" i="50"/>
  <c r="AC51" i="50" s="1"/>
  <c r="AB15" i="50"/>
  <c r="AB51" i="50" s="1"/>
  <c r="AA15" i="50"/>
  <c r="AA51" i="50" s="1"/>
  <c r="Z15" i="50"/>
  <c r="Z51" i="50" s="1"/>
  <c r="Y15" i="50"/>
  <c r="Y51" i="50" s="1"/>
  <c r="X15" i="50"/>
  <c r="X51" i="50" s="1"/>
  <c r="W15" i="50"/>
  <c r="W51" i="50" s="1"/>
  <c r="V15" i="50"/>
  <c r="V51" i="50" s="1"/>
  <c r="U15" i="50"/>
  <c r="U51" i="50" s="1"/>
  <c r="T15" i="50"/>
  <c r="T51" i="50" s="1"/>
  <c r="S15" i="50"/>
  <c r="S51" i="50" s="1"/>
  <c r="R15" i="50"/>
  <c r="R51" i="50" s="1"/>
  <c r="Q15" i="50"/>
  <c r="Q51" i="50" s="1"/>
  <c r="P15" i="50"/>
  <c r="P51" i="50" s="1"/>
  <c r="O15" i="50"/>
  <c r="O51" i="50" s="1"/>
  <c r="N15" i="50"/>
  <c r="N51" i="50" s="1"/>
  <c r="M15" i="50"/>
  <c r="M51" i="50" s="1"/>
  <c r="L15" i="50"/>
  <c r="L51" i="50" s="1"/>
  <c r="K15" i="50"/>
  <c r="K51" i="50" s="1"/>
  <c r="J15" i="50"/>
  <c r="J51" i="50" s="1"/>
  <c r="I15" i="50"/>
  <c r="I51" i="50" s="1"/>
  <c r="H15" i="50"/>
  <c r="H51" i="50" s="1"/>
  <c r="G15" i="50"/>
  <c r="G51" i="50" s="1"/>
  <c r="F15" i="50"/>
  <c r="F51" i="50" s="1"/>
  <c r="E15" i="50"/>
  <c r="E51" i="50" s="1"/>
  <c r="D15" i="50"/>
  <c r="D51" i="50" s="1"/>
  <c r="AD14" i="50"/>
  <c r="AD50" i="50" s="1"/>
  <c r="AC14" i="50"/>
  <c r="AC50" i="50" s="1"/>
  <c r="AB14" i="50"/>
  <c r="AB50" i="50" s="1"/>
  <c r="AA14" i="50"/>
  <c r="AA50" i="50" s="1"/>
  <c r="Z14" i="50"/>
  <c r="Z50" i="50" s="1"/>
  <c r="Y14" i="50"/>
  <c r="Y50" i="50" s="1"/>
  <c r="X14" i="50"/>
  <c r="X50" i="50" s="1"/>
  <c r="W14" i="50"/>
  <c r="W50" i="50" s="1"/>
  <c r="V14" i="50"/>
  <c r="V50" i="50" s="1"/>
  <c r="U14" i="50"/>
  <c r="U50" i="50" s="1"/>
  <c r="T14" i="50"/>
  <c r="T50" i="50" s="1"/>
  <c r="S14" i="50"/>
  <c r="S50" i="50" s="1"/>
  <c r="R14" i="50"/>
  <c r="R50" i="50" s="1"/>
  <c r="Q14" i="50"/>
  <c r="Q50" i="50" s="1"/>
  <c r="P14" i="50"/>
  <c r="P50" i="50" s="1"/>
  <c r="O14" i="50"/>
  <c r="O50" i="50" s="1"/>
  <c r="N14" i="50"/>
  <c r="N50" i="50" s="1"/>
  <c r="M14" i="50"/>
  <c r="M50" i="50" s="1"/>
  <c r="L14" i="50"/>
  <c r="L50" i="50" s="1"/>
  <c r="K14" i="50"/>
  <c r="K50" i="50" s="1"/>
  <c r="J14" i="50"/>
  <c r="J50" i="50" s="1"/>
  <c r="I14" i="50"/>
  <c r="I50" i="50" s="1"/>
  <c r="H14" i="50"/>
  <c r="H50" i="50" s="1"/>
  <c r="G14" i="50"/>
  <c r="G50" i="50" s="1"/>
  <c r="F14" i="50"/>
  <c r="F50" i="50" s="1"/>
  <c r="E14" i="50"/>
  <c r="E50" i="50" s="1"/>
  <c r="D14" i="50"/>
  <c r="D50" i="50" s="1"/>
  <c r="AD13" i="50"/>
  <c r="AD49" i="50" s="1"/>
  <c r="AC13" i="50"/>
  <c r="AC49" i="50" s="1"/>
  <c r="AB13" i="50"/>
  <c r="AB49" i="50" s="1"/>
  <c r="AA13" i="50"/>
  <c r="AA49" i="50" s="1"/>
  <c r="Z13" i="50"/>
  <c r="Z49" i="50" s="1"/>
  <c r="Y13" i="50"/>
  <c r="Y49" i="50" s="1"/>
  <c r="X13" i="50"/>
  <c r="X49" i="50" s="1"/>
  <c r="W13" i="50"/>
  <c r="W49" i="50" s="1"/>
  <c r="V13" i="50"/>
  <c r="V49" i="50" s="1"/>
  <c r="U13" i="50"/>
  <c r="U49" i="50" s="1"/>
  <c r="T13" i="50"/>
  <c r="T49" i="50" s="1"/>
  <c r="S13" i="50"/>
  <c r="S49" i="50" s="1"/>
  <c r="R13" i="50"/>
  <c r="R49" i="50" s="1"/>
  <c r="Q13" i="50"/>
  <c r="Q49" i="50" s="1"/>
  <c r="P13" i="50"/>
  <c r="P49" i="50" s="1"/>
  <c r="O13" i="50"/>
  <c r="O49" i="50" s="1"/>
  <c r="N13" i="50"/>
  <c r="N49" i="50" s="1"/>
  <c r="M13" i="50"/>
  <c r="M49" i="50" s="1"/>
  <c r="L13" i="50"/>
  <c r="L49" i="50" s="1"/>
  <c r="K13" i="50"/>
  <c r="K49" i="50" s="1"/>
  <c r="J13" i="50"/>
  <c r="J49" i="50" s="1"/>
  <c r="I13" i="50"/>
  <c r="I49" i="50" s="1"/>
  <c r="H13" i="50"/>
  <c r="H49" i="50" s="1"/>
  <c r="G13" i="50"/>
  <c r="G49" i="50" s="1"/>
  <c r="F13" i="50"/>
  <c r="F49" i="50" s="1"/>
  <c r="E13" i="50"/>
  <c r="E49" i="50" s="1"/>
  <c r="D13" i="50"/>
  <c r="D49" i="50" s="1"/>
  <c r="AD15" i="47"/>
  <c r="AD52" i="47" s="1"/>
  <c r="AC15" i="47"/>
  <c r="AC52" i="47" s="1"/>
  <c r="AB15" i="47"/>
  <c r="AB52" i="47" s="1"/>
  <c r="AA15" i="47"/>
  <c r="AA52" i="47" s="1"/>
  <c r="Z15" i="47"/>
  <c r="Z52" i="47" s="1"/>
  <c r="Y15" i="47"/>
  <c r="Y52" i="47" s="1"/>
  <c r="X15" i="47"/>
  <c r="X52" i="47" s="1"/>
  <c r="W15" i="47"/>
  <c r="W52" i="47" s="1"/>
  <c r="V15" i="47"/>
  <c r="V52" i="47" s="1"/>
  <c r="U15" i="47"/>
  <c r="U52" i="47" s="1"/>
  <c r="T15" i="47"/>
  <c r="T52" i="47" s="1"/>
  <c r="S15" i="47"/>
  <c r="S52" i="47" s="1"/>
  <c r="R15" i="47"/>
  <c r="R52" i="47" s="1"/>
  <c r="Q15" i="47"/>
  <c r="Q52" i="47" s="1"/>
  <c r="P15" i="47"/>
  <c r="P52" i="47" s="1"/>
  <c r="O15" i="47"/>
  <c r="O52" i="47" s="1"/>
  <c r="N15" i="47"/>
  <c r="N52" i="47" s="1"/>
  <c r="M15" i="47"/>
  <c r="M52" i="47" s="1"/>
  <c r="L15" i="47"/>
  <c r="L52" i="47" s="1"/>
  <c r="K15" i="47"/>
  <c r="K52" i="47" s="1"/>
  <c r="J15" i="47"/>
  <c r="J52" i="47" s="1"/>
  <c r="I15" i="47"/>
  <c r="I52" i="47" s="1"/>
  <c r="H15" i="47"/>
  <c r="H52" i="47" s="1"/>
  <c r="G15" i="47"/>
  <c r="G52" i="47" s="1"/>
  <c r="F15" i="47"/>
  <c r="F52" i="47" s="1"/>
  <c r="E15" i="47"/>
  <c r="E52" i="47" s="1"/>
  <c r="D15" i="47"/>
  <c r="D52" i="47" s="1"/>
  <c r="AD14" i="47"/>
  <c r="AD51" i="47" s="1"/>
  <c r="AC14" i="47"/>
  <c r="AC51" i="47" s="1"/>
  <c r="AB14" i="47"/>
  <c r="AB51" i="47" s="1"/>
  <c r="AA14" i="47"/>
  <c r="AA51" i="47" s="1"/>
  <c r="Z14" i="47"/>
  <c r="Z51" i="47" s="1"/>
  <c r="Y14" i="47"/>
  <c r="Y51" i="47" s="1"/>
  <c r="X14" i="47"/>
  <c r="X51" i="47" s="1"/>
  <c r="W14" i="47"/>
  <c r="W51" i="47" s="1"/>
  <c r="V14" i="47"/>
  <c r="V51" i="47" s="1"/>
  <c r="U14" i="47"/>
  <c r="U51" i="47" s="1"/>
  <c r="T14" i="47"/>
  <c r="T51" i="47" s="1"/>
  <c r="S14" i="47"/>
  <c r="S51" i="47" s="1"/>
  <c r="R14" i="47"/>
  <c r="R51" i="47" s="1"/>
  <c r="Q14" i="47"/>
  <c r="Q51" i="47" s="1"/>
  <c r="P14" i="47"/>
  <c r="P51" i="47" s="1"/>
  <c r="O14" i="47"/>
  <c r="O51" i="47" s="1"/>
  <c r="N14" i="47"/>
  <c r="N51" i="47" s="1"/>
  <c r="M14" i="47"/>
  <c r="M51" i="47" s="1"/>
  <c r="L14" i="47"/>
  <c r="L51" i="47" s="1"/>
  <c r="K14" i="47"/>
  <c r="K51" i="47" s="1"/>
  <c r="J14" i="47"/>
  <c r="J51" i="47" s="1"/>
  <c r="I14" i="47"/>
  <c r="I51" i="47" s="1"/>
  <c r="H14" i="47"/>
  <c r="H51" i="47" s="1"/>
  <c r="G14" i="47"/>
  <c r="G51" i="47" s="1"/>
  <c r="F14" i="47"/>
  <c r="F51" i="47" s="1"/>
  <c r="E14" i="47"/>
  <c r="E51" i="47" s="1"/>
  <c r="D14" i="47"/>
  <c r="D51" i="47" s="1"/>
  <c r="AD13" i="47"/>
  <c r="AD50" i="47" s="1"/>
  <c r="AC13" i="47"/>
  <c r="AC50" i="47" s="1"/>
  <c r="AB13" i="47"/>
  <c r="AB50" i="47" s="1"/>
  <c r="AA13" i="47"/>
  <c r="AA50" i="47" s="1"/>
  <c r="Z13" i="47"/>
  <c r="Z50" i="47" s="1"/>
  <c r="Y13" i="47"/>
  <c r="Y50" i="47" s="1"/>
  <c r="X13" i="47"/>
  <c r="X50" i="47" s="1"/>
  <c r="W13" i="47"/>
  <c r="W50" i="47" s="1"/>
  <c r="V13" i="47"/>
  <c r="V50" i="47" s="1"/>
  <c r="U13" i="47"/>
  <c r="U50" i="47" s="1"/>
  <c r="T13" i="47"/>
  <c r="T50" i="47" s="1"/>
  <c r="S13" i="47"/>
  <c r="S50" i="47" s="1"/>
  <c r="R13" i="47"/>
  <c r="R50" i="47" s="1"/>
  <c r="Q13" i="47"/>
  <c r="Q50" i="47" s="1"/>
  <c r="P13" i="47"/>
  <c r="P50" i="47" s="1"/>
  <c r="O13" i="47"/>
  <c r="O50" i="47" s="1"/>
  <c r="N13" i="47"/>
  <c r="N50" i="47" s="1"/>
  <c r="M13" i="47"/>
  <c r="M50" i="47" s="1"/>
  <c r="L13" i="47"/>
  <c r="L50" i="47" s="1"/>
  <c r="K13" i="47"/>
  <c r="K50" i="47" s="1"/>
  <c r="J13" i="47"/>
  <c r="J50" i="47" s="1"/>
  <c r="I13" i="47"/>
  <c r="I50" i="47" s="1"/>
  <c r="H13" i="47"/>
  <c r="H50" i="47" s="1"/>
  <c r="G13" i="47"/>
  <c r="G50" i="47" s="1"/>
  <c r="F13" i="47"/>
  <c r="F50" i="47" s="1"/>
  <c r="E13" i="47"/>
  <c r="E50" i="47" s="1"/>
  <c r="D13" i="47"/>
  <c r="D50" i="47" s="1"/>
  <c r="AD15" i="45"/>
  <c r="AD52" i="45" s="1"/>
  <c r="AC15" i="45"/>
  <c r="AC52" i="45" s="1"/>
  <c r="AB15" i="45"/>
  <c r="AB52" i="45" s="1"/>
  <c r="AA15" i="45"/>
  <c r="AA52" i="45" s="1"/>
  <c r="Z15" i="45"/>
  <c r="Z52" i="45" s="1"/>
  <c r="Y15" i="45"/>
  <c r="Y52" i="45" s="1"/>
  <c r="X15" i="45"/>
  <c r="X52" i="45" s="1"/>
  <c r="W15" i="45"/>
  <c r="W52" i="45" s="1"/>
  <c r="V15" i="45"/>
  <c r="V52" i="45" s="1"/>
  <c r="U15" i="45"/>
  <c r="U52" i="45" s="1"/>
  <c r="T15" i="45"/>
  <c r="T52" i="45" s="1"/>
  <c r="S15" i="45"/>
  <c r="S52" i="45" s="1"/>
  <c r="R15" i="45"/>
  <c r="R52" i="45" s="1"/>
  <c r="Q15" i="45"/>
  <c r="Q52" i="45" s="1"/>
  <c r="P15" i="45"/>
  <c r="P52" i="45" s="1"/>
  <c r="O15" i="45"/>
  <c r="O52" i="45" s="1"/>
  <c r="N15" i="45"/>
  <c r="N52" i="45" s="1"/>
  <c r="M15" i="45"/>
  <c r="M52" i="45" s="1"/>
  <c r="L15" i="45"/>
  <c r="L52" i="45" s="1"/>
  <c r="K15" i="45"/>
  <c r="K52" i="45" s="1"/>
  <c r="J15" i="45"/>
  <c r="J52" i="45" s="1"/>
  <c r="I15" i="45"/>
  <c r="I52" i="45" s="1"/>
  <c r="H15" i="45"/>
  <c r="H52" i="45" s="1"/>
  <c r="G15" i="45"/>
  <c r="G52" i="45" s="1"/>
  <c r="F15" i="45"/>
  <c r="F52" i="45" s="1"/>
  <c r="E15" i="45"/>
  <c r="E52" i="45" s="1"/>
  <c r="D15" i="45"/>
  <c r="D52" i="45" s="1"/>
  <c r="AD14" i="45"/>
  <c r="AD51" i="45" s="1"/>
  <c r="AC14" i="45"/>
  <c r="AC51" i="45" s="1"/>
  <c r="AB14" i="45"/>
  <c r="AB51" i="45" s="1"/>
  <c r="AA14" i="45"/>
  <c r="AA51" i="45" s="1"/>
  <c r="Z14" i="45"/>
  <c r="Z51" i="45" s="1"/>
  <c r="Y14" i="45"/>
  <c r="Y51" i="45" s="1"/>
  <c r="X14" i="45"/>
  <c r="X51" i="45" s="1"/>
  <c r="W14" i="45"/>
  <c r="W51" i="45" s="1"/>
  <c r="V14" i="45"/>
  <c r="V51" i="45" s="1"/>
  <c r="U14" i="45"/>
  <c r="U51" i="45" s="1"/>
  <c r="T14" i="45"/>
  <c r="T51" i="45" s="1"/>
  <c r="S14" i="45"/>
  <c r="S51" i="45" s="1"/>
  <c r="R14" i="45"/>
  <c r="R51" i="45" s="1"/>
  <c r="Q14" i="45"/>
  <c r="Q51" i="45" s="1"/>
  <c r="P14" i="45"/>
  <c r="P51" i="45" s="1"/>
  <c r="O14" i="45"/>
  <c r="O51" i="45" s="1"/>
  <c r="N14" i="45"/>
  <c r="N51" i="45" s="1"/>
  <c r="M14" i="45"/>
  <c r="M51" i="45" s="1"/>
  <c r="L14" i="45"/>
  <c r="L51" i="45" s="1"/>
  <c r="K14" i="45"/>
  <c r="K51" i="45" s="1"/>
  <c r="J14" i="45"/>
  <c r="J51" i="45" s="1"/>
  <c r="I14" i="45"/>
  <c r="I51" i="45" s="1"/>
  <c r="H14" i="45"/>
  <c r="H51" i="45" s="1"/>
  <c r="G14" i="45"/>
  <c r="G51" i="45" s="1"/>
  <c r="F14" i="45"/>
  <c r="F51" i="45" s="1"/>
  <c r="E14" i="45"/>
  <c r="E51" i="45" s="1"/>
  <c r="D14" i="45"/>
  <c r="D51" i="45" s="1"/>
  <c r="AD13" i="45"/>
  <c r="AD50" i="45" s="1"/>
  <c r="AC13" i="45"/>
  <c r="AC50" i="45" s="1"/>
  <c r="AB13" i="45"/>
  <c r="AB50" i="45" s="1"/>
  <c r="AA13" i="45"/>
  <c r="AA50" i="45" s="1"/>
  <c r="Z13" i="45"/>
  <c r="Z50" i="45" s="1"/>
  <c r="Y13" i="45"/>
  <c r="Y50" i="45" s="1"/>
  <c r="X13" i="45"/>
  <c r="X50" i="45" s="1"/>
  <c r="W13" i="45"/>
  <c r="W50" i="45" s="1"/>
  <c r="V13" i="45"/>
  <c r="V50" i="45" s="1"/>
  <c r="U13" i="45"/>
  <c r="U50" i="45" s="1"/>
  <c r="T13" i="45"/>
  <c r="T50" i="45" s="1"/>
  <c r="S13" i="45"/>
  <c r="S50" i="45" s="1"/>
  <c r="R13" i="45"/>
  <c r="R50" i="45" s="1"/>
  <c r="Q13" i="45"/>
  <c r="Q50" i="45" s="1"/>
  <c r="P13" i="45"/>
  <c r="P50" i="45" s="1"/>
  <c r="O13" i="45"/>
  <c r="O50" i="45" s="1"/>
  <c r="N13" i="45"/>
  <c r="N50" i="45" s="1"/>
  <c r="M13" i="45"/>
  <c r="M50" i="45" s="1"/>
  <c r="L13" i="45"/>
  <c r="L50" i="45" s="1"/>
  <c r="K13" i="45"/>
  <c r="K50" i="45" s="1"/>
  <c r="J13" i="45"/>
  <c r="J50" i="45" s="1"/>
  <c r="I13" i="45"/>
  <c r="I50" i="45" s="1"/>
  <c r="H13" i="45"/>
  <c r="H50" i="45" s="1"/>
  <c r="G13" i="45"/>
  <c r="G50" i="45" s="1"/>
  <c r="F13" i="45"/>
  <c r="F50" i="45" s="1"/>
  <c r="E13" i="45"/>
  <c r="E50" i="45" s="1"/>
  <c r="D13" i="45"/>
  <c r="D50" i="45" s="1"/>
  <c r="AD15" i="43"/>
  <c r="AD51" i="43" s="1"/>
  <c r="AC15" i="43"/>
  <c r="AC51" i="43" s="1"/>
  <c r="AB15" i="43"/>
  <c r="AB51" i="43" s="1"/>
  <c r="AA15" i="43"/>
  <c r="AA51" i="43" s="1"/>
  <c r="Z15" i="43"/>
  <c r="Z51" i="43" s="1"/>
  <c r="Y15" i="43"/>
  <c r="Y51" i="43" s="1"/>
  <c r="X15" i="43"/>
  <c r="X51" i="43" s="1"/>
  <c r="W15" i="43"/>
  <c r="W51" i="43" s="1"/>
  <c r="V15" i="43"/>
  <c r="V51" i="43" s="1"/>
  <c r="U15" i="43"/>
  <c r="U51" i="43" s="1"/>
  <c r="T15" i="43"/>
  <c r="T51" i="43" s="1"/>
  <c r="S15" i="43"/>
  <c r="S51" i="43" s="1"/>
  <c r="R15" i="43"/>
  <c r="R51" i="43" s="1"/>
  <c r="Q15" i="43"/>
  <c r="Q51" i="43" s="1"/>
  <c r="P15" i="43"/>
  <c r="P51" i="43" s="1"/>
  <c r="O15" i="43"/>
  <c r="O51" i="43" s="1"/>
  <c r="N15" i="43"/>
  <c r="N51" i="43" s="1"/>
  <c r="M15" i="43"/>
  <c r="M51" i="43" s="1"/>
  <c r="L15" i="43"/>
  <c r="L51" i="43" s="1"/>
  <c r="K15" i="43"/>
  <c r="K51" i="43" s="1"/>
  <c r="J15" i="43"/>
  <c r="J51" i="43" s="1"/>
  <c r="I15" i="43"/>
  <c r="I51" i="43" s="1"/>
  <c r="H15" i="43"/>
  <c r="H51" i="43" s="1"/>
  <c r="G15" i="43"/>
  <c r="G51" i="43" s="1"/>
  <c r="F15" i="43"/>
  <c r="F51" i="43" s="1"/>
  <c r="E15" i="43"/>
  <c r="E51" i="43" s="1"/>
  <c r="D15" i="43"/>
  <c r="D51" i="43" s="1"/>
  <c r="AD14" i="43"/>
  <c r="AD50" i="43" s="1"/>
  <c r="AC14" i="43"/>
  <c r="AC50" i="43" s="1"/>
  <c r="AB14" i="43"/>
  <c r="AB50" i="43" s="1"/>
  <c r="AA14" i="43"/>
  <c r="AA50" i="43" s="1"/>
  <c r="Z14" i="43"/>
  <c r="Z50" i="43" s="1"/>
  <c r="Y14" i="43"/>
  <c r="Y50" i="43" s="1"/>
  <c r="X14" i="43"/>
  <c r="X50" i="43" s="1"/>
  <c r="W14" i="43"/>
  <c r="W50" i="43" s="1"/>
  <c r="V14" i="43"/>
  <c r="V50" i="43" s="1"/>
  <c r="U14" i="43"/>
  <c r="U50" i="43" s="1"/>
  <c r="T14" i="43"/>
  <c r="T50" i="43" s="1"/>
  <c r="S14" i="43"/>
  <c r="S50" i="43" s="1"/>
  <c r="R14" i="43"/>
  <c r="R50" i="43" s="1"/>
  <c r="Q14" i="43"/>
  <c r="Q50" i="43" s="1"/>
  <c r="P14" i="43"/>
  <c r="P50" i="43" s="1"/>
  <c r="O14" i="43"/>
  <c r="O50" i="43" s="1"/>
  <c r="N14" i="43"/>
  <c r="N50" i="43" s="1"/>
  <c r="M14" i="43"/>
  <c r="M50" i="43" s="1"/>
  <c r="L14" i="43"/>
  <c r="L50" i="43" s="1"/>
  <c r="K14" i="43"/>
  <c r="K50" i="43" s="1"/>
  <c r="J14" i="43"/>
  <c r="J50" i="43" s="1"/>
  <c r="I14" i="43"/>
  <c r="I50" i="43" s="1"/>
  <c r="H14" i="43"/>
  <c r="H50" i="43" s="1"/>
  <c r="G14" i="43"/>
  <c r="G50" i="43" s="1"/>
  <c r="F14" i="43"/>
  <c r="F50" i="43" s="1"/>
  <c r="E14" i="43"/>
  <c r="E50" i="43" s="1"/>
  <c r="D14" i="43"/>
  <c r="D50" i="43" s="1"/>
  <c r="AD13" i="43"/>
  <c r="AD49" i="43" s="1"/>
  <c r="AC13" i="43"/>
  <c r="AC49" i="43" s="1"/>
  <c r="AB13" i="43"/>
  <c r="AB49" i="43" s="1"/>
  <c r="AA13" i="43"/>
  <c r="AA49" i="43" s="1"/>
  <c r="Z13" i="43"/>
  <c r="Z49" i="43" s="1"/>
  <c r="Y13" i="43"/>
  <c r="Y49" i="43" s="1"/>
  <c r="X13" i="43"/>
  <c r="X49" i="43" s="1"/>
  <c r="W13" i="43"/>
  <c r="W49" i="43" s="1"/>
  <c r="V13" i="43"/>
  <c r="V49" i="43" s="1"/>
  <c r="U13" i="43"/>
  <c r="U49" i="43" s="1"/>
  <c r="T13" i="43"/>
  <c r="T49" i="43" s="1"/>
  <c r="S13" i="43"/>
  <c r="S49" i="43" s="1"/>
  <c r="R13" i="43"/>
  <c r="R49" i="43" s="1"/>
  <c r="Q13" i="43"/>
  <c r="Q49" i="43" s="1"/>
  <c r="P13" i="43"/>
  <c r="P49" i="43" s="1"/>
  <c r="O13" i="43"/>
  <c r="O49" i="43" s="1"/>
  <c r="N13" i="43"/>
  <c r="N49" i="43" s="1"/>
  <c r="M13" i="43"/>
  <c r="M49" i="43" s="1"/>
  <c r="L13" i="43"/>
  <c r="L49" i="43" s="1"/>
  <c r="K13" i="43"/>
  <c r="K49" i="43" s="1"/>
  <c r="J13" i="43"/>
  <c r="J49" i="43" s="1"/>
  <c r="I13" i="43"/>
  <c r="I49" i="43" s="1"/>
  <c r="H13" i="43"/>
  <c r="H49" i="43" s="1"/>
  <c r="G13" i="43"/>
  <c r="G49" i="43" s="1"/>
  <c r="F13" i="43"/>
  <c r="F49" i="43" s="1"/>
  <c r="E13" i="43"/>
  <c r="E49" i="43" s="1"/>
  <c r="D13" i="43"/>
  <c r="D49" i="43" s="1"/>
  <c r="AD15" i="61"/>
  <c r="AD51" i="61" s="1"/>
  <c r="AC15" i="61"/>
  <c r="AC51" i="61" s="1"/>
  <c r="AB15" i="61"/>
  <c r="AB51" i="61" s="1"/>
  <c r="AA15" i="61"/>
  <c r="AA51" i="61" s="1"/>
  <c r="Z15" i="61"/>
  <c r="Z51" i="61" s="1"/>
  <c r="Y15" i="61"/>
  <c r="Y51" i="61" s="1"/>
  <c r="X15" i="61"/>
  <c r="X51" i="61" s="1"/>
  <c r="W15" i="61"/>
  <c r="W51" i="61" s="1"/>
  <c r="V15" i="61"/>
  <c r="V51" i="61" s="1"/>
  <c r="U15" i="61"/>
  <c r="U51" i="61" s="1"/>
  <c r="T15" i="61"/>
  <c r="T51" i="61" s="1"/>
  <c r="S15" i="61"/>
  <c r="S51" i="61" s="1"/>
  <c r="R15" i="61"/>
  <c r="R51" i="61" s="1"/>
  <c r="Q15" i="61"/>
  <c r="Q51" i="61" s="1"/>
  <c r="P15" i="61"/>
  <c r="P51" i="61" s="1"/>
  <c r="O15" i="61"/>
  <c r="O51" i="61" s="1"/>
  <c r="N15" i="61"/>
  <c r="N51" i="61" s="1"/>
  <c r="M15" i="61"/>
  <c r="M51" i="61" s="1"/>
  <c r="L15" i="61"/>
  <c r="L51" i="61" s="1"/>
  <c r="K15" i="61"/>
  <c r="K51" i="61" s="1"/>
  <c r="J15" i="61"/>
  <c r="J51" i="61" s="1"/>
  <c r="I15" i="61"/>
  <c r="I51" i="61" s="1"/>
  <c r="H15" i="61"/>
  <c r="H51" i="61" s="1"/>
  <c r="G15" i="61"/>
  <c r="G51" i="61" s="1"/>
  <c r="F15" i="61"/>
  <c r="F51" i="61" s="1"/>
  <c r="E15" i="61"/>
  <c r="E51" i="61" s="1"/>
  <c r="D15" i="61"/>
  <c r="D51" i="61" s="1"/>
  <c r="AD14" i="61"/>
  <c r="AD50" i="61" s="1"/>
  <c r="AC14" i="61"/>
  <c r="AC50" i="61" s="1"/>
  <c r="AB14" i="61"/>
  <c r="AB50" i="61" s="1"/>
  <c r="AA14" i="61"/>
  <c r="AA50" i="61" s="1"/>
  <c r="Z14" i="61"/>
  <c r="Z50" i="61" s="1"/>
  <c r="Y14" i="61"/>
  <c r="Y50" i="61" s="1"/>
  <c r="X14" i="61"/>
  <c r="X50" i="61" s="1"/>
  <c r="W14" i="61"/>
  <c r="W50" i="61" s="1"/>
  <c r="V14" i="61"/>
  <c r="V50" i="61" s="1"/>
  <c r="U14" i="61"/>
  <c r="U50" i="61" s="1"/>
  <c r="T14" i="61"/>
  <c r="T50" i="61" s="1"/>
  <c r="S14" i="61"/>
  <c r="S50" i="61" s="1"/>
  <c r="R14" i="61"/>
  <c r="R50" i="61" s="1"/>
  <c r="Q14" i="61"/>
  <c r="Q50" i="61" s="1"/>
  <c r="P14" i="61"/>
  <c r="P50" i="61" s="1"/>
  <c r="O14" i="61"/>
  <c r="O50" i="61" s="1"/>
  <c r="N14" i="61"/>
  <c r="N50" i="61" s="1"/>
  <c r="M14" i="61"/>
  <c r="M50" i="61" s="1"/>
  <c r="L14" i="61"/>
  <c r="L50" i="61" s="1"/>
  <c r="K14" i="61"/>
  <c r="K50" i="61" s="1"/>
  <c r="J14" i="61"/>
  <c r="J50" i="61" s="1"/>
  <c r="I14" i="61"/>
  <c r="I50" i="61" s="1"/>
  <c r="H14" i="61"/>
  <c r="H50" i="61" s="1"/>
  <c r="G14" i="61"/>
  <c r="G50" i="61" s="1"/>
  <c r="F14" i="61"/>
  <c r="F50" i="61" s="1"/>
  <c r="E14" i="61"/>
  <c r="E50" i="61" s="1"/>
  <c r="D14" i="61"/>
  <c r="D50" i="61" s="1"/>
  <c r="AD13" i="61"/>
  <c r="AD49" i="61" s="1"/>
  <c r="AC13" i="61"/>
  <c r="AC49" i="61" s="1"/>
  <c r="AB13" i="61"/>
  <c r="AB49" i="61" s="1"/>
  <c r="AA13" i="61"/>
  <c r="AA49" i="61" s="1"/>
  <c r="Z13" i="61"/>
  <c r="Z49" i="61" s="1"/>
  <c r="Y13" i="61"/>
  <c r="Y49" i="61" s="1"/>
  <c r="X13" i="61"/>
  <c r="X49" i="61" s="1"/>
  <c r="W13" i="61"/>
  <c r="W49" i="61" s="1"/>
  <c r="V13" i="61"/>
  <c r="V49" i="61" s="1"/>
  <c r="U13" i="61"/>
  <c r="U49" i="61" s="1"/>
  <c r="T13" i="61"/>
  <c r="T49" i="61" s="1"/>
  <c r="S13" i="61"/>
  <c r="S49" i="61" s="1"/>
  <c r="R13" i="61"/>
  <c r="R49" i="61" s="1"/>
  <c r="Q13" i="61"/>
  <c r="Q49" i="61" s="1"/>
  <c r="P13" i="61"/>
  <c r="P49" i="61" s="1"/>
  <c r="O13" i="61"/>
  <c r="O49" i="61" s="1"/>
  <c r="N13" i="61"/>
  <c r="N49" i="61" s="1"/>
  <c r="M13" i="61"/>
  <c r="M49" i="61" s="1"/>
  <c r="L13" i="61"/>
  <c r="L49" i="61" s="1"/>
  <c r="K13" i="61"/>
  <c r="K49" i="61" s="1"/>
  <c r="J13" i="61"/>
  <c r="J49" i="61" s="1"/>
  <c r="I13" i="61"/>
  <c r="I49" i="61" s="1"/>
  <c r="H13" i="61"/>
  <c r="H49" i="61" s="1"/>
  <c r="G13" i="61"/>
  <c r="G49" i="61" s="1"/>
  <c r="F13" i="61"/>
  <c r="F49" i="61" s="1"/>
  <c r="E13" i="61"/>
  <c r="E49" i="61" s="1"/>
  <c r="D13" i="61"/>
  <c r="D49" i="61" s="1"/>
  <c r="AD15" i="38"/>
  <c r="AD51" i="38" s="1"/>
  <c r="AC15" i="38"/>
  <c r="AC51" i="38" s="1"/>
  <c r="AB15" i="38"/>
  <c r="AB51" i="38" s="1"/>
  <c r="AA15" i="38"/>
  <c r="AA51" i="38" s="1"/>
  <c r="Z15" i="38"/>
  <c r="Z51" i="38" s="1"/>
  <c r="Y15" i="38"/>
  <c r="Y51" i="38" s="1"/>
  <c r="X15" i="38"/>
  <c r="X51" i="38" s="1"/>
  <c r="W15" i="38"/>
  <c r="W51" i="38" s="1"/>
  <c r="V15" i="38"/>
  <c r="V51" i="38" s="1"/>
  <c r="U15" i="38"/>
  <c r="U51" i="38" s="1"/>
  <c r="T15" i="38"/>
  <c r="T51" i="38" s="1"/>
  <c r="S15" i="38"/>
  <c r="S51" i="38" s="1"/>
  <c r="R15" i="38"/>
  <c r="R51" i="38" s="1"/>
  <c r="Q15" i="38"/>
  <c r="Q51" i="38" s="1"/>
  <c r="P15" i="38"/>
  <c r="P51" i="38" s="1"/>
  <c r="O15" i="38"/>
  <c r="O51" i="38" s="1"/>
  <c r="N15" i="38"/>
  <c r="N51" i="38" s="1"/>
  <c r="M15" i="38"/>
  <c r="M51" i="38" s="1"/>
  <c r="L15" i="38"/>
  <c r="L51" i="38" s="1"/>
  <c r="K15" i="38"/>
  <c r="K51" i="38" s="1"/>
  <c r="J15" i="38"/>
  <c r="J51" i="38" s="1"/>
  <c r="I15" i="38"/>
  <c r="I51" i="38" s="1"/>
  <c r="H15" i="38"/>
  <c r="H51" i="38" s="1"/>
  <c r="G15" i="38"/>
  <c r="G51" i="38" s="1"/>
  <c r="F15" i="38"/>
  <c r="F51" i="38" s="1"/>
  <c r="E15" i="38"/>
  <c r="E51" i="38" s="1"/>
  <c r="D15" i="38"/>
  <c r="D51" i="38" s="1"/>
  <c r="AD14" i="38"/>
  <c r="AD50" i="38" s="1"/>
  <c r="AC14" i="38"/>
  <c r="AC50" i="38" s="1"/>
  <c r="AB14" i="38"/>
  <c r="AB50" i="38" s="1"/>
  <c r="AA14" i="38"/>
  <c r="AA50" i="38" s="1"/>
  <c r="Z14" i="38"/>
  <c r="Z50" i="38" s="1"/>
  <c r="Y14" i="38"/>
  <c r="Y50" i="38" s="1"/>
  <c r="X14" i="38"/>
  <c r="X50" i="38" s="1"/>
  <c r="W14" i="38"/>
  <c r="W50" i="38" s="1"/>
  <c r="V14" i="38"/>
  <c r="V50" i="38" s="1"/>
  <c r="U14" i="38"/>
  <c r="U50" i="38" s="1"/>
  <c r="T14" i="38"/>
  <c r="T50" i="38" s="1"/>
  <c r="S14" i="38"/>
  <c r="S50" i="38" s="1"/>
  <c r="R14" i="38"/>
  <c r="R50" i="38" s="1"/>
  <c r="Q14" i="38"/>
  <c r="Q50" i="38" s="1"/>
  <c r="P14" i="38"/>
  <c r="P50" i="38" s="1"/>
  <c r="O14" i="38"/>
  <c r="O50" i="38" s="1"/>
  <c r="N14" i="38"/>
  <c r="N50" i="38" s="1"/>
  <c r="M14" i="38"/>
  <c r="M50" i="38" s="1"/>
  <c r="L14" i="38"/>
  <c r="L50" i="38" s="1"/>
  <c r="K14" i="38"/>
  <c r="K50" i="38" s="1"/>
  <c r="J14" i="38"/>
  <c r="J50" i="38" s="1"/>
  <c r="I14" i="38"/>
  <c r="I50" i="38" s="1"/>
  <c r="H14" i="38"/>
  <c r="H50" i="38" s="1"/>
  <c r="G14" i="38"/>
  <c r="G50" i="38" s="1"/>
  <c r="F14" i="38"/>
  <c r="F50" i="38" s="1"/>
  <c r="E14" i="38"/>
  <c r="E50" i="38" s="1"/>
  <c r="D14" i="38"/>
  <c r="D50" i="38" s="1"/>
  <c r="AD13" i="38"/>
  <c r="AD49" i="38" s="1"/>
  <c r="AC13" i="38"/>
  <c r="AC49" i="38" s="1"/>
  <c r="AB13" i="38"/>
  <c r="AB49" i="38" s="1"/>
  <c r="AA13" i="38"/>
  <c r="AA49" i="38" s="1"/>
  <c r="Z13" i="38"/>
  <c r="Z49" i="38" s="1"/>
  <c r="Y13" i="38"/>
  <c r="Y49" i="38" s="1"/>
  <c r="X13" i="38"/>
  <c r="X49" i="38" s="1"/>
  <c r="W13" i="38"/>
  <c r="W49" i="38" s="1"/>
  <c r="V13" i="38"/>
  <c r="V49" i="38" s="1"/>
  <c r="U13" i="38"/>
  <c r="U49" i="38" s="1"/>
  <c r="T13" i="38"/>
  <c r="T49" i="38" s="1"/>
  <c r="S13" i="38"/>
  <c r="S49" i="38" s="1"/>
  <c r="R13" i="38"/>
  <c r="R49" i="38" s="1"/>
  <c r="Q13" i="38"/>
  <c r="Q49" i="38" s="1"/>
  <c r="P13" i="38"/>
  <c r="P49" i="38" s="1"/>
  <c r="O13" i="38"/>
  <c r="O49" i="38" s="1"/>
  <c r="N13" i="38"/>
  <c r="N49" i="38" s="1"/>
  <c r="M13" i="38"/>
  <c r="M49" i="38" s="1"/>
  <c r="L13" i="38"/>
  <c r="L49" i="38" s="1"/>
  <c r="K13" i="38"/>
  <c r="K49" i="38" s="1"/>
  <c r="J13" i="38"/>
  <c r="J49" i="38" s="1"/>
  <c r="I13" i="38"/>
  <c r="I49" i="38" s="1"/>
  <c r="H13" i="38"/>
  <c r="H49" i="38" s="1"/>
  <c r="G13" i="38"/>
  <c r="G49" i="38" s="1"/>
  <c r="F13" i="38"/>
  <c r="F49" i="38" s="1"/>
  <c r="E13" i="38"/>
  <c r="E49" i="38" s="1"/>
  <c r="D13" i="38"/>
  <c r="D49" i="38" s="1"/>
  <c r="AD15" i="23"/>
  <c r="AD52" i="23" s="1"/>
  <c r="AC15" i="23"/>
  <c r="AC52" i="23" s="1"/>
  <c r="AB15" i="23"/>
  <c r="AB52" i="23" s="1"/>
  <c r="AA15" i="23"/>
  <c r="AA52" i="23" s="1"/>
  <c r="Z15" i="23"/>
  <c r="Z52" i="23" s="1"/>
  <c r="Y15" i="23"/>
  <c r="Y52" i="23" s="1"/>
  <c r="X15" i="23"/>
  <c r="X52" i="23" s="1"/>
  <c r="W15" i="23"/>
  <c r="W52" i="23" s="1"/>
  <c r="V15" i="23"/>
  <c r="V52" i="23" s="1"/>
  <c r="U15" i="23"/>
  <c r="U52" i="23" s="1"/>
  <c r="T15" i="23"/>
  <c r="T52" i="23" s="1"/>
  <c r="S15" i="23"/>
  <c r="S52" i="23" s="1"/>
  <c r="R15" i="23"/>
  <c r="R52" i="23" s="1"/>
  <c r="Q15" i="23"/>
  <c r="Q52" i="23" s="1"/>
  <c r="P15" i="23"/>
  <c r="P52" i="23" s="1"/>
  <c r="O15" i="23"/>
  <c r="O52" i="23" s="1"/>
  <c r="N15" i="23"/>
  <c r="N52" i="23" s="1"/>
  <c r="M15" i="23"/>
  <c r="M52" i="23" s="1"/>
  <c r="L15" i="23"/>
  <c r="L52" i="23" s="1"/>
  <c r="K15" i="23"/>
  <c r="K52" i="23" s="1"/>
  <c r="J15" i="23"/>
  <c r="J52" i="23" s="1"/>
  <c r="I15" i="23"/>
  <c r="I52" i="23" s="1"/>
  <c r="H15" i="23"/>
  <c r="H52" i="23" s="1"/>
  <c r="G15" i="23"/>
  <c r="G52" i="23" s="1"/>
  <c r="F15" i="23"/>
  <c r="F52" i="23" s="1"/>
  <c r="E15" i="23"/>
  <c r="E52" i="23" s="1"/>
  <c r="D15" i="23"/>
  <c r="D52" i="23" s="1"/>
  <c r="AD14" i="23"/>
  <c r="AD51" i="23" s="1"/>
  <c r="AC14" i="23"/>
  <c r="AC51" i="23" s="1"/>
  <c r="AB14" i="23"/>
  <c r="AB51" i="23" s="1"/>
  <c r="AA14" i="23"/>
  <c r="AA51" i="23" s="1"/>
  <c r="Z14" i="23"/>
  <c r="Z51" i="23" s="1"/>
  <c r="Y14" i="23"/>
  <c r="Y51" i="23" s="1"/>
  <c r="X14" i="23"/>
  <c r="X51" i="23" s="1"/>
  <c r="W14" i="23"/>
  <c r="W51" i="23" s="1"/>
  <c r="V14" i="23"/>
  <c r="V51" i="23" s="1"/>
  <c r="U14" i="23"/>
  <c r="U51" i="23" s="1"/>
  <c r="T14" i="23"/>
  <c r="T51" i="23" s="1"/>
  <c r="S14" i="23"/>
  <c r="S51" i="23" s="1"/>
  <c r="R14" i="23"/>
  <c r="R51" i="23" s="1"/>
  <c r="Q14" i="23"/>
  <c r="Q51" i="23" s="1"/>
  <c r="P14" i="23"/>
  <c r="P51" i="23" s="1"/>
  <c r="O14" i="23"/>
  <c r="O51" i="23" s="1"/>
  <c r="N14" i="23"/>
  <c r="N51" i="23" s="1"/>
  <c r="M14" i="23"/>
  <c r="M51" i="23" s="1"/>
  <c r="L14" i="23"/>
  <c r="L51" i="23" s="1"/>
  <c r="K14" i="23"/>
  <c r="K51" i="23" s="1"/>
  <c r="J14" i="23"/>
  <c r="J51" i="23" s="1"/>
  <c r="I14" i="23"/>
  <c r="I51" i="23" s="1"/>
  <c r="H14" i="23"/>
  <c r="H51" i="23" s="1"/>
  <c r="G14" i="23"/>
  <c r="G51" i="23" s="1"/>
  <c r="F14" i="23"/>
  <c r="F51" i="23" s="1"/>
  <c r="E14" i="23"/>
  <c r="E51" i="23" s="1"/>
  <c r="D14" i="23"/>
  <c r="D51" i="23" s="1"/>
  <c r="AD13" i="23"/>
  <c r="AD50" i="23" s="1"/>
  <c r="AC13" i="23"/>
  <c r="AC50" i="23" s="1"/>
  <c r="AB13" i="23"/>
  <c r="AB50" i="23" s="1"/>
  <c r="AA13" i="23"/>
  <c r="AA50" i="23" s="1"/>
  <c r="Z13" i="23"/>
  <c r="Z50" i="23" s="1"/>
  <c r="Y13" i="23"/>
  <c r="Y50" i="23" s="1"/>
  <c r="X13" i="23"/>
  <c r="X50" i="23" s="1"/>
  <c r="W13" i="23"/>
  <c r="W50" i="23" s="1"/>
  <c r="V13" i="23"/>
  <c r="V50" i="23" s="1"/>
  <c r="U13" i="23"/>
  <c r="U50" i="23" s="1"/>
  <c r="T13" i="23"/>
  <c r="T50" i="23" s="1"/>
  <c r="S13" i="23"/>
  <c r="S50" i="23" s="1"/>
  <c r="R13" i="23"/>
  <c r="R50" i="23" s="1"/>
  <c r="Q13" i="23"/>
  <c r="Q50" i="23" s="1"/>
  <c r="P13" i="23"/>
  <c r="P50" i="23" s="1"/>
  <c r="O13" i="23"/>
  <c r="O50" i="23" s="1"/>
  <c r="N13" i="23"/>
  <c r="N50" i="23" s="1"/>
  <c r="M13" i="23"/>
  <c r="M50" i="23" s="1"/>
  <c r="L13" i="23"/>
  <c r="L50" i="23" s="1"/>
  <c r="K13" i="23"/>
  <c r="K50" i="23" s="1"/>
  <c r="J13" i="23"/>
  <c r="J50" i="23" s="1"/>
  <c r="I13" i="23"/>
  <c r="I50" i="23" s="1"/>
  <c r="H13" i="23"/>
  <c r="H50" i="23" s="1"/>
  <c r="G13" i="23"/>
  <c r="G50" i="23" s="1"/>
  <c r="F13" i="23"/>
  <c r="F50" i="23" s="1"/>
  <c r="E13" i="23"/>
  <c r="E50" i="23" s="1"/>
  <c r="D13" i="23"/>
  <c r="D50" i="23" s="1"/>
  <c r="AD15" i="15"/>
  <c r="AD51" i="15" s="1"/>
  <c r="AC15" i="15"/>
  <c r="AC51" i="15" s="1"/>
  <c r="AB15" i="15"/>
  <c r="AB51" i="15" s="1"/>
  <c r="AA15" i="15"/>
  <c r="AA51" i="15" s="1"/>
  <c r="Z15" i="15"/>
  <c r="Z51" i="15" s="1"/>
  <c r="Y15" i="15"/>
  <c r="Y51" i="15" s="1"/>
  <c r="X15" i="15"/>
  <c r="X51" i="15" s="1"/>
  <c r="W15" i="15"/>
  <c r="W51" i="15" s="1"/>
  <c r="V15" i="15"/>
  <c r="V51" i="15" s="1"/>
  <c r="U15" i="15"/>
  <c r="U51" i="15" s="1"/>
  <c r="T15" i="15"/>
  <c r="T51" i="15" s="1"/>
  <c r="S15" i="15"/>
  <c r="S51" i="15" s="1"/>
  <c r="R15" i="15"/>
  <c r="R51" i="15" s="1"/>
  <c r="Q15" i="15"/>
  <c r="Q51" i="15" s="1"/>
  <c r="P15" i="15"/>
  <c r="P51" i="15" s="1"/>
  <c r="O15" i="15"/>
  <c r="O51" i="15" s="1"/>
  <c r="N15" i="15"/>
  <c r="N51" i="15" s="1"/>
  <c r="M15" i="15"/>
  <c r="M51" i="15" s="1"/>
  <c r="L15" i="15"/>
  <c r="L51" i="15" s="1"/>
  <c r="K15" i="15"/>
  <c r="K51" i="15" s="1"/>
  <c r="J15" i="15"/>
  <c r="J51" i="15" s="1"/>
  <c r="I15" i="15"/>
  <c r="I51" i="15" s="1"/>
  <c r="H15" i="15"/>
  <c r="H51" i="15" s="1"/>
  <c r="G15" i="15"/>
  <c r="G51" i="15" s="1"/>
  <c r="F15" i="15"/>
  <c r="F51" i="15" s="1"/>
  <c r="E15" i="15"/>
  <c r="E51" i="15" s="1"/>
  <c r="D15" i="15"/>
  <c r="D51" i="15" s="1"/>
  <c r="AD14" i="15"/>
  <c r="AD50" i="15" s="1"/>
  <c r="AC14" i="15"/>
  <c r="AC50" i="15" s="1"/>
  <c r="AB14" i="15"/>
  <c r="AB50" i="15" s="1"/>
  <c r="AA14" i="15"/>
  <c r="AA50" i="15" s="1"/>
  <c r="Z14" i="15"/>
  <c r="Z50" i="15" s="1"/>
  <c r="Y14" i="15"/>
  <c r="Y50" i="15" s="1"/>
  <c r="X14" i="15"/>
  <c r="X50" i="15" s="1"/>
  <c r="W14" i="15"/>
  <c r="W50" i="15" s="1"/>
  <c r="V14" i="15"/>
  <c r="V50" i="15" s="1"/>
  <c r="U14" i="15"/>
  <c r="U50" i="15" s="1"/>
  <c r="T14" i="15"/>
  <c r="T50" i="15" s="1"/>
  <c r="S14" i="15"/>
  <c r="S50" i="15" s="1"/>
  <c r="R14" i="15"/>
  <c r="R50" i="15" s="1"/>
  <c r="Q14" i="15"/>
  <c r="Q50" i="15" s="1"/>
  <c r="P14" i="15"/>
  <c r="P50" i="15" s="1"/>
  <c r="O14" i="15"/>
  <c r="O50" i="15" s="1"/>
  <c r="N14" i="15"/>
  <c r="N50" i="15" s="1"/>
  <c r="M14" i="15"/>
  <c r="M50" i="15" s="1"/>
  <c r="L14" i="15"/>
  <c r="L50" i="15" s="1"/>
  <c r="K14" i="15"/>
  <c r="K50" i="15" s="1"/>
  <c r="J14" i="15"/>
  <c r="J50" i="15" s="1"/>
  <c r="I14" i="15"/>
  <c r="I50" i="15" s="1"/>
  <c r="H14" i="15"/>
  <c r="H50" i="15" s="1"/>
  <c r="G14" i="15"/>
  <c r="G50" i="15" s="1"/>
  <c r="F14" i="15"/>
  <c r="F50" i="15" s="1"/>
  <c r="E14" i="15"/>
  <c r="E50" i="15" s="1"/>
  <c r="D14" i="15"/>
  <c r="D50" i="15" s="1"/>
  <c r="AD13" i="15"/>
  <c r="AD49" i="15" s="1"/>
  <c r="AC13" i="15"/>
  <c r="AC49" i="15" s="1"/>
  <c r="AB13" i="15"/>
  <c r="AB49" i="15" s="1"/>
  <c r="AA13" i="15"/>
  <c r="AA49" i="15" s="1"/>
  <c r="Z13" i="15"/>
  <c r="Z49" i="15" s="1"/>
  <c r="Y13" i="15"/>
  <c r="Y49" i="15" s="1"/>
  <c r="X13" i="15"/>
  <c r="X49" i="15" s="1"/>
  <c r="W13" i="15"/>
  <c r="W49" i="15" s="1"/>
  <c r="V13" i="15"/>
  <c r="V49" i="15" s="1"/>
  <c r="U13" i="15"/>
  <c r="U49" i="15" s="1"/>
  <c r="T13" i="15"/>
  <c r="T49" i="15" s="1"/>
  <c r="S13" i="15"/>
  <c r="S49" i="15" s="1"/>
  <c r="R13" i="15"/>
  <c r="R49" i="15" s="1"/>
  <c r="Q13" i="15"/>
  <c r="Q49" i="15" s="1"/>
  <c r="P13" i="15"/>
  <c r="P49" i="15" s="1"/>
  <c r="O13" i="15"/>
  <c r="O49" i="15" s="1"/>
  <c r="N13" i="15"/>
  <c r="N49" i="15" s="1"/>
  <c r="M13" i="15"/>
  <c r="M49" i="15" s="1"/>
  <c r="L13" i="15"/>
  <c r="L49" i="15" s="1"/>
  <c r="K13" i="15"/>
  <c r="K49" i="15" s="1"/>
  <c r="J13" i="15"/>
  <c r="J49" i="15" s="1"/>
  <c r="I13" i="15"/>
  <c r="I49" i="15" s="1"/>
  <c r="H13" i="15"/>
  <c r="H49" i="15" s="1"/>
  <c r="G13" i="15"/>
  <c r="G49" i="15" s="1"/>
  <c r="F13" i="15"/>
  <c r="F49" i="15" s="1"/>
  <c r="E13" i="15"/>
  <c r="E49" i="15" s="1"/>
  <c r="D13" i="15"/>
  <c r="D49" i="15" s="1"/>
  <c r="AD15" i="13"/>
  <c r="AD51" i="13" s="1"/>
  <c r="AC15" i="13"/>
  <c r="AC51" i="13" s="1"/>
  <c r="AB15" i="13"/>
  <c r="AB51" i="13" s="1"/>
  <c r="AA15" i="13"/>
  <c r="AA51" i="13" s="1"/>
  <c r="Z15" i="13"/>
  <c r="Z51" i="13" s="1"/>
  <c r="Y15" i="13"/>
  <c r="Y51" i="13" s="1"/>
  <c r="X15" i="13"/>
  <c r="X51" i="13" s="1"/>
  <c r="W15" i="13"/>
  <c r="W51" i="13" s="1"/>
  <c r="V15" i="13"/>
  <c r="V51" i="13" s="1"/>
  <c r="U15" i="13"/>
  <c r="U51" i="13" s="1"/>
  <c r="T15" i="13"/>
  <c r="T51" i="13" s="1"/>
  <c r="S15" i="13"/>
  <c r="S51" i="13" s="1"/>
  <c r="R15" i="13"/>
  <c r="R51" i="13" s="1"/>
  <c r="Q15" i="13"/>
  <c r="Q51" i="13" s="1"/>
  <c r="P15" i="13"/>
  <c r="P51" i="13" s="1"/>
  <c r="O15" i="13"/>
  <c r="O51" i="13" s="1"/>
  <c r="N15" i="13"/>
  <c r="N51" i="13" s="1"/>
  <c r="M15" i="13"/>
  <c r="M51" i="13" s="1"/>
  <c r="L15" i="13"/>
  <c r="L51" i="13" s="1"/>
  <c r="K15" i="13"/>
  <c r="K51" i="13" s="1"/>
  <c r="J15" i="13"/>
  <c r="J51" i="13" s="1"/>
  <c r="I15" i="13"/>
  <c r="I51" i="13" s="1"/>
  <c r="H15" i="13"/>
  <c r="H51" i="13" s="1"/>
  <c r="G15" i="13"/>
  <c r="G51" i="13" s="1"/>
  <c r="F15" i="13"/>
  <c r="F51" i="13" s="1"/>
  <c r="E15" i="13"/>
  <c r="E51" i="13" s="1"/>
  <c r="D15" i="13"/>
  <c r="D51" i="13" s="1"/>
  <c r="AD14" i="13"/>
  <c r="AD50" i="13" s="1"/>
  <c r="AC14" i="13"/>
  <c r="AC50" i="13" s="1"/>
  <c r="AB14" i="13"/>
  <c r="AB50" i="13" s="1"/>
  <c r="AA14" i="13"/>
  <c r="AA50" i="13" s="1"/>
  <c r="Z14" i="13"/>
  <c r="Z50" i="13" s="1"/>
  <c r="Y14" i="13"/>
  <c r="Y50" i="13" s="1"/>
  <c r="X14" i="13"/>
  <c r="X50" i="13" s="1"/>
  <c r="W14" i="13"/>
  <c r="W50" i="13" s="1"/>
  <c r="V14" i="13"/>
  <c r="V50" i="13" s="1"/>
  <c r="U14" i="13"/>
  <c r="U50" i="13" s="1"/>
  <c r="T14" i="13"/>
  <c r="T50" i="13" s="1"/>
  <c r="S14" i="13"/>
  <c r="S50" i="13" s="1"/>
  <c r="R14" i="13"/>
  <c r="R50" i="13" s="1"/>
  <c r="Q14" i="13"/>
  <c r="Q50" i="13" s="1"/>
  <c r="P14" i="13"/>
  <c r="P50" i="13" s="1"/>
  <c r="O14" i="13"/>
  <c r="O50" i="13" s="1"/>
  <c r="N14" i="13"/>
  <c r="N50" i="13" s="1"/>
  <c r="M14" i="13"/>
  <c r="M50" i="13" s="1"/>
  <c r="L14" i="13"/>
  <c r="L50" i="13" s="1"/>
  <c r="K14" i="13"/>
  <c r="K50" i="13" s="1"/>
  <c r="J14" i="13"/>
  <c r="J50" i="13" s="1"/>
  <c r="I14" i="13"/>
  <c r="I50" i="13" s="1"/>
  <c r="H14" i="13"/>
  <c r="H50" i="13" s="1"/>
  <c r="G14" i="13"/>
  <c r="G50" i="13" s="1"/>
  <c r="F14" i="13"/>
  <c r="F50" i="13" s="1"/>
  <c r="E14" i="13"/>
  <c r="E50" i="13" s="1"/>
  <c r="D14" i="13"/>
  <c r="D50" i="13" s="1"/>
  <c r="AD13" i="13"/>
  <c r="AD49" i="13" s="1"/>
  <c r="AC13" i="13"/>
  <c r="AC49" i="13" s="1"/>
  <c r="AB13" i="13"/>
  <c r="AB49" i="13" s="1"/>
  <c r="AA13" i="13"/>
  <c r="AA49" i="13" s="1"/>
  <c r="Z13" i="13"/>
  <c r="Z49" i="13" s="1"/>
  <c r="Y13" i="13"/>
  <c r="Y49" i="13" s="1"/>
  <c r="X13" i="13"/>
  <c r="X49" i="13" s="1"/>
  <c r="W13" i="13"/>
  <c r="W49" i="13" s="1"/>
  <c r="V13" i="13"/>
  <c r="V49" i="13" s="1"/>
  <c r="U13" i="13"/>
  <c r="U49" i="13" s="1"/>
  <c r="T13" i="13"/>
  <c r="T49" i="13" s="1"/>
  <c r="S13" i="13"/>
  <c r="S49" i="13" s="1"/>
  <c r="R13" i="13"/>
  <c r="R49" i="13" s="1"/>
  <c r="Q13" i="13"/>
  <c r="Q49" i="13" s="1"/>
  <c r="P13" i="13"/>
  <c r="P49" i="13" s="1"/>
  <c r="O13" i="13"/>
  <c r="O49" i="13" s="1"/>
  <c r="N13" i="13"/>
  <c r="N49" i="13" s="1"/>
  <c r="M13" i="13"/>
  <c r="M49" i="13" s="1"/>
  <c r="L13" i="13"/>
  <c r="L49" i="13" s="1"/>
  <c r="K13" i="13"/>
  <c r="K49" i="13" s="1"/>
  <c r="J13" i="13"/>
  <c r="J49" i="13" s="1"/>
  <c r="I13" i="13"/>
  <c r="I49" i="13" s="1"/>
  <c r="H13" i="13"/>
  <c r="H49" i="13" s="1"/>
  <c r="G13" i="13"/>
  <c r="G49" i="13" s="1"/>
  <c r="F13" i="13"/>
  <c r="F49" i="13" s="1"/>
  <c r="E13" i="13"/>
  <c r="E49" i="13" s="1"/>
  <c r="D13" i="13"/>
  <c r="D49" i="13" s="1"/>
  <c r="AD15" i="12"/>
  <c r="AD52" i="12" s="1"/>
  <c r="AC15" i="12"/>
  <c r="AC52" i="12" s="1"/>
  <c r="AB15" i="12"/>
  <c r="AB52" i="12" s="1"/>
  <c r="AA15" i="12"/>
  <c r="AA52" i="12" s="1"/>
  <c r="Z15" i="12"/>
  <c r="Z52" i="12" s="1"/>
  <c r="Y15" i="12"/>
  <c r="Y52" i="12" s="1"/>
  <c r="X15" i="12"/>
  <c r="X52" i="12" s="1"/>
  <c r="W15" i="12"/>
  <c r="W52" i="12" s="1"/>
  <c r="V15" i="12"/>
  <c r="V52" i="12" s="1"/>
  <c r="U15" i="12"/>
  <c r="U52" i="12" s="1"/>
  <c r="T15" i="12"/>
  <c r="T52" i="12" s="1"/>
  <c r="S15" i="12"/>
  <c r="S52" i="12" s="1"/>
  <c r="R15" i="12"/>
  <c r="R52" i="12" s="1"/>
  <c r="Q15" i="12"/>
  <c r="Q52" i="12" s="1"/>
  <c r="P15" i="12"/>
  <c r="P52" i="12" s="1"/>
  <c r="O15" i="12"/>
  <c r="O52" i="12" s="1"/>
  <c r="N15" i="12"/>
  <c r="N52" i="12" s="1"/>
  <c r="M15" i="12"/>
  <c r="M52" i="12" s="1"/>
  <c r="L15" i="12"/>
  <c r="L52" i="12" s="1"/>
  <c r="K15" i="12"/>
  <c r="K52" i="12" s="1"/>
  <c r="J15" i="12"/>
  <c r="J52" i="12" s="1"/>
  <c r="I15" i="12"/>
  <c r="I52" i="12" s="1"/>
  <c r="H15" i="12"/>
  <c r="H52" i="12" s="1"/>
  <c r="G15" i="12"/>
  <c r="G52" i="12" s="1"/>
  <c r="F15" i="12"/>
  <c r="F52" i="12" s="1"/>
  <c r="E15" i="12"/>
  <c r="E52" i="12" s="1"/>
  <c r="D15" i="12"/>
  <c r="D52" i="12" s="1"/>
  <c r="AD14" i="12"/>
  <c r="AD51" i="12" s="1"/>
  <c r="AC14" i="12"/>
  <c r="AC51" i="12" s="1"/>
  <c r="AB14" i="12"/>
  <c r="AB51" i="12" s="1"/>
  <c r="AA14" i="12"/>
  <c r="AA51" i="12" s="1"/>
  <c r="Z14" i="12"/>
  <c r="Z51" i="12" s="1"/>
  <c r="Y14" i="12"/>
  <c r="Y51" i="12" s="1"/>
  <c r="X14" i="12"/>
  <c r="X51" i="12" s="1"/>
  <c r="W14" i="12"/>
  <c r="W51" i="12" s="1"/>
  <c r="V14" i="12"/>
  <c r="V51" i="12" s="1"/>
  <c r="U14" i="12"/>
  <c r="U51" i="12" s="1"/>
  <c r="T14" i="12"/>
  <c r="T51" i="12" s="1"/>
  <c r="S14" i="12"/>
  <c r="S51" i="12" s="1"/>
  <c r="R14" i="12"/>
  <c r="R51" i="12" s="1"/>
  <c r="Q14" i="12"/>
  <c r="Q51" i="12" s="1"/>
  <c r="P14" i="12"/>
  <c r="P51" i="12" s="1"/>
  <c r="O14" i="12"/>
  <c r="O51" i="12" s="1"/>
  <c r="N14" i="12"/>
  <c r="N51" i="12" s="1"/>
  <c r="M14" i="12"/>
  <c r="M51" i="12" s="1"/>
  <c r="L14" i="12"/>
  <c r="L51" i="12" s="1"/>
  <c r="K14" i="12"/>
  <c r="K51" i="12" s="1"/>
  <c r="J14" i="12"/>
  <c r="J51" i="12" s="1"/>
  <c r="I14" i="12"/>
  <c r="I51" i="12" s="1"/>
  <c r="H14" i="12"/>
  <c r="H51" i="12" s="1"/>
  <c r="G14" i="12"/>
  <c r="G51" i="12" s="1"/>
  <c r="F14" i="12"/>
  <c r="F51" i="12" s="1"/>
  <c r="E14" i="12"/>
  <c r="E51" i="12" s="1"/>
  <c r="D14" i="12"/>
  <c r="D51" i="12" s="1"/>
  <c r="AD13" i="12"/>
  <c r="AD50" i="12" s="1"/>
  <c r="AC13" i="12"/>
  <c r="AC50" i="12" s="1"/>
  <c r="AB13" i="12"/>
  <c r="AB50" i="12" s="1"/>
  <c r="AA13" i="12"/>
  <c r="AA50" i="12" s="1"/>
  <c r="Z13" i="12"/>
  <c r="Z50" i="12" s="1"/>
  <c r="Y13" i="12"/>
  <c r="Y50" i="12" s="1"/>
  <c r="X13" i="12"/>
  <c r="X50" i="12" s="1"/>
  <c r="W13" i="12"/>
  <c r="W50" i="12" s="1"/>
  <c r="V13" i="12"/>
  <c r="V50" i="12" s="1"/>
  <c r="U13" i="12"/>
  <c r="U50" i="12" s="1"/>
  <c r="T13" i="12"/>
  <c r="T50" i="12" s="1"/>
  <c r="S13" i="12"/>
  <c r="S50" i="12" s="1"/>
  <c r="R13" i="12"/>
  <c r="R50" i="12" s="1"/>
  <c r="Q13" i="12"/>
  <c r="Q50" i="12" s="1"/>
  <c r="P13" i="12"/>
  <c r="P50" i="12" s="1"/>
  <c r="O13" i="12"/>
  <c r="O50" i="12" s="1"/>
  <c r="N13" i="12"/>
  <c r="N50" i="12" s="1"/>
  <c r="M13" i="12"/>
  <c r="M50" i="12" s="1"/>
  <c r="L13" i="12"/>
  <c r="L50" i="12" s="1"/>
  <c r="K13" i="12"/>
  <c r="K50" i="12" s="1"/>
  <c r="J13" i="12"/>
  <c r="J50" i="12" s="1"/>
  <c r="I13" i="12"/>
  <c r="I50" i="12" s="1"/>
  <c r="H13" i="12"/>
  <c r="H50" i="12" s="1"/>
  <c r="G13" i="12"/>
  <c r="G50" i="12" s="1"/>
  <c r="F13" i="12"/>
  <c r="F50" i="12" s="1"/>
  <c r="E13" i="12"/>
  <c r="E50" i="12" s="1"/>
  <c r="D13" i="12"/>
  <c r="D50" i="12" s="1"/>
  <c r="AD15" i="11"/>
  <c r="AD51" i="11" s="1"/>
  <c r="AC15" i="11"/>
  <c r="AC51" i="11" s="1"/>
  <c r="AB15" i="11"/>
  <c r="AB51" i="11" s="1"/>
  <c r="AA15" i="11"/>
  <c r="AA51" i="11" s="1"/>
  <c r="Z15" i="11"/>
  <c r="Z51" i="11" s="1"/>
  <c r="Y15" i="11"/>
  <c r="Y51" i="11" s="1"/>
  <c r="X15" i="11"/>
  <c r="X51" i="11" s="1"/>
  <c r="W15" i="11"/>
  <c r="W51" i="11" s="1"/>
  <c r="V15" i="11"/>
  <c r="V51" i="11" s="1"/>
  <c r="U15" i="11"/>
  <c r="U51" i="11" s="1"/>
  <c r="T15" i="11"/>
  <c r="T51" i="11" s="1"/>
  <c r="S15" i="11"/>
  <c r="S51" i="11" s="1"/>
  <c r="R15" i="11"/>
  <c r="R51" i="11" s="1"/>
  <c r="Q15" i="11"/>
  <c r="Q51" i="11" s="1"/>
  <c r="P15" i="11"/>
  <c r="P51" i="11" s="1"/>
  <c r="O15" i="11"/>
  <c r="O51" i="11" s="1"/>
  <c r="N15" i="11"/>
  <c r="N51" i="11" s="1"/>
  <c r="M15" i="11"/>
  <c r="M51" i="11" s="1"/>
  <c r="L15" i="11"/>
  <c r="L51" i="11" s="1"/>
  <c r="K15" i="11"/>
  <c r="K51" i="11" s="1"/>
  <c r="J15" i="11"/>
  <c r="J51" i="11" s="1"/>
  <c r="I15" i="11"/>
  <c r="I51" i="11" s="1"/>
  <c r="H15" i="11"/>
  <c r="H51" i="11" s="1"/>
  <c r="G15" i="11"/>
  <c r="G51" i="11" s="1"/>
  <c r="F15" i="11"/>
  <c r="F51" i="11" s="1"/>
  <c r="E15" i="11"/>
  <c r="E51" i="11" s="1"/>
  <c r="D15" i="11"/>
  <c r="D51" i="11" s="1"/>
  <c r="AD14" i="11"/>
  <c r="AD50" i="11" s="1"/>
  <c r="AC14" i="11"/>
  <c r="AC50" i="11" s="1"/>
  <c r="AB14" i="11"/>
  <c r="AB50" i="11" s="1"/>
  <c r="AA14" i="11"/>
  <c r="AA50" i="11" s="1"/>
  <c r="Z14" i="11"/>
  <c r="Z50" i="11" s="1"/>
  <c r="Y14" i="11"/>
  <c r="Y50" i="11" s="1"/>
  <c r="X14" i="11"/>
  <c r="X50" i="11" s="1"/>
  <c r="W14" i="11"/>
  <c r="W50" i="11" s="1"/>
  <c r="V14" i="11"/>
  <c r="V50" i="11" s="1"/>
  <c r="U14" i="11"/>
  <c r="U50" i="11" s="1"/>
  <c r="T14" i="11"/>
  <c r="T50" i="11" s="1"/>
  <c r="S14" i="11"/>
  <c r="S50" i="11" s="1"/>
  <c r="R14" i="11"/>
  <c r="R50" i="11" s="1"/>
  <c r="Q14" i="11"/>
  <c r="Q50" i="11" s="1"/>
  <c r="P14" i="11"/>
  <c r="P50" i="11" s="1"/>
  <c r="O14" i="11"/>
  <c r="O50" i="11" s="1"/>
  <c r="N14" i="11"/>
  <c r="N50" i="11" s="1"/>
  <c r="M14" i="11"/>
  <c r="M50" i="11" s="1"/>
  <c r="L14" i="11"/>
  <c r="L50" i="11" s="1"/>
  <c r="K14" i="11"/>
  <c r="K50" i="11" s="1"/>
  <c r="J14" i="11"/>
  <c r="J50" i="11" s="1"/>
  <c r="I14" i="11"/>
  <c r="I50" i="11" s="1"/>
  <c r="H14" i="11"/>
  <c r="H50" i="11" s="1"/>
  <c r="G14" i="11"/>
  <c r="G50" i="11" s="1"/>
  <c r="F14" i="11"/>
  <c r="F50" i="11" s="1"/>
  <c r="E14" i="11"/>
  <c r="E50" i="11" s="1"/>
  <c r="D14" i="11"/>
  <c r="D50" i="11" s="1"/>
  <c r="AD13" i="11"/>
  <c r="AD49" i="11" s="1"/>
  <c r="AC13" i="11"/>
  <c r="AC49" i="11" s="1"/>
  <c r="AB13" i="11"/>
  <c r="AB49" i="11" s="1"/>
  <c r="AA13" i="11"/>
  <c r="AA49" i="11" s="1"/>
  <c r="Z13" i="11"/>
  <c r="Z49" i="11" s="1"/>
  <c r="Y13" i="11"/>
  <c r="Y49" i="11" s="1"/>
  <c r="X13" i="11"/>
  <c r="X49" i="11" s="1"/>
  <c r="W13" i="11"/>
  <c r="W49" i="11" s="1"/>
  <c r="V13" i="11"/>
  <c r="V49" i="11" s="1"/>
  <c r="U13" i="11"/>
  <c r="U49" i="11" s="1"/>
  <c r="T13" i="11"/>
  <c r="T49" i="11" s="1"/>
  <c r="S13" i="11"/>
  <c r="S49" i="11" s="1"/>
  <c r="R13" i="11"/>
  <c r="R49" i="11" s="1"/>
  <c r="Q13" i="11"/>
  <c r="Q49" i="11" s="1"/>
  <c r="P13" i="11"/>
  <c r="P49" i="11" s="1"/>
  <c r="O13" i="11"/>
  <c r="O49" i="11" s="1"/>
  <c r="N13" i="11"/>
  <c r="N49" i="11" s="1"/>
  <c r="M13" i="11"/>
  <c r="M49" i="11" s="1"/>
  <c r="L13" i="11"/>
  <c r="L49" i="11" s="1"/>
  <c r="K13" i="11"/>
  <c r="K49" i="11" s="1"/>
  <c r="J13" i="11"/>
  <c r="J49" i="11" s="1"/>
  <c r="I13" i="11"/>
  <c r="I49" i="11" s="1"/>
  <c r="H13" i="11"/>
  <c r="H49" i="11" s="1"/>
  <c r="G13" i="11"/>
  <c r="G49" i="11" s="1"/>
  <c r="F13" i="11"/>
  <c r="F49" i="11" s="1"/>
  <c r="E13" i="11"/>
  <c r="E49" i="11" s="1"/>
  <c r="D13" i="11"/>
  <c r="D49" i="11" s="1"/>
  <c r="E15" i="10"/>
  <c r="E51" i="10" s="1"/>
  <c r="F15" i="10"/>
  <c r="F51" i="10" s="1"/>
  <c r="G15" i="10"/>
  <c r="G51" i="10" s="1"/>
  <c r="H15" i="10"/>
  <c r="H51" i="10" s="1"/>
  <c r="I15" i="10"/>
  <c r="I51" i="10" s="1"/>
  <c r="J15" i="10"/>
  <c r="J51" i="10" s="1"/>
  <c r="K15" i="10"/>
  <c r="K51" i="10" s="1"/>
  <c r="L15" i="10"/>
  <c r="L51" i="10" s="1"/>
  <c r="M15" i="10"/>
  <c r="M51" i="10" s="1"/>
  <c r="N15" i="10"/>
  <c r="N51" i="10" s="1"/>
  <c r="O15" i="10"/>
  <c r="O51" i="10" s="1"/>
  <c r="P15" i="10"/>
  <c r="P51" i="10" s="1"/>
  <c r="Q15" i="10"/>
  <c r="Q51" i="10" s="1"/>
  <c r="R15" i="10"/>
  <c r="R51" i="10" s="1"/>
  <c r="S15" i="10"/>
  <c r="S51" i="10" s="1"/>
  <c r="T15" i="10"/>
  <c r="T51" i="10" s="1"/>
  <c r="U15" i="10"/>
  <c r="U51" i="10" s="1"/>
  <c r="V15" i="10"/>
  <c r="V51" i="10" s="1"/>
  <c r="W15" i="10"/>
  <c r="W51" i="10" s="1"/>
  <c r="X15" i="10"/>
  <c r="X51" i="10" s="1"/>
  <c r="Y15" i="10"/>
  <c r="Y51" i="10" s="1"/>
  <c r="Z15" i="10"/>
  <c r="Z51" i="10" s="1"/>
  <c r="AA15" i="10"/>
  <c r="AA51" i="10" s="1"/>
  <c r="AB15" i="10"/>
  <c r="AB51" i="10" s="1"/>
  <c r="AC15" i="10"/>
  <c r="AC51" i="10" s="1"/>
  <c r="AD15" i="10"/>
  <c r="AD51" i="10" s="1"/>
  <c r="D15" i="10"/>
  <c r="D51" i="10" s="1"/>
  <c r="E13" i="10"/>
  <c r="E49" i="10" s="1"/>
  <c r="F13" i="10"/>
  <c r="F49" i="10" s="1"/>
  <c r="G13" i="10"/>
  <c r="G49" i="10" s="1"/>
  <c r="H13" i="10"/>
  <c r="H49" i="10" s="1"/>
  <c r="I13" i="10"/>
  <c r="I49" i="10" s="1"/>
  <c r="J13" i="10"/>
  <c r="J49" i="10" s="1"/>
  <c r="K13" i="10"/>
  <c r="K49" i="10" s="1"/>
  <c r="L13" i="10"/>
  <c r="L49" i="10" s="1"/>
  <c r="M13" i="10"/>
  <c r="M49" i="10" s="1"/>
  <c r="N13" i="10"/>
  <c r="N49" i="10" s="1"/>
  <c r="O13" i="10"/>
  <c r="O49" i="10" s="1"/>
  <c r="P13" i="10"/>
  <c r="P49" i="10" s="1"/>
  <c r="Q13" i="10"/>
  <c r="Q49" i="10" s="1"/>
  <c r="R13" i="10"/>
  <c r="R49" i="10" s="1"/>
  <c r="S13" i="10"/>
  <c r="S49" i="10" s="1"/>
  <c r="T13" i="10"/>
  <c r="T49" i="10" s="1"/>
  <c r="U13" i="10"/>
  <c r="U49" i="10" s="1"/>
  <c r="V13" i="10"/>
  <c r="V49" i="10" s="1"/>
  <c r="W13" i="10"/>
  <c r="W49" i="10" s="1"/>
  <c r="X13" i="10"/>
  <c r="X49" i="10" s="1"/>
  <c r="Y13" i="10"/>
  <c r="Y49" i="10" s="1"/>
  <c r="Z13" i="10"/>
  <c r="Z49" i="10" s="1"/>
  <c r="AA13" i="10"/>
  <c r="AA49" i="10" s="1"/>
  <c r="AB13" i="10"/>
  <c r="AB49" i="10" s="1"/>
  <c r="AC13" i="10"/>
  <c r="AC49" i="10" s="1"/>
  <c r="AD13" i="10"/>
  <c r="AD49" i="10" s="1"/>
  <c r="D13" i="10"/>
  <c r="D49" i="10" s="1"/>
  <c r="A49" i="61" l="1"/>
  <c r="A52" i="45"/>
  <c r="A51" i="58"/>
  <c r="B52" i="12"/>
  <c r="E30" i="18" s="1"/>
  <c r="AN41" i="18" s="1"/>
  <c r="A52" i="12"/>
  <c r="A51" i="23"/>
  <c r="A49" i="43"/>
  <c r="A52" i="47"/>
  <c r="A51" i="11"/>
  <c r="B51" i="11"/>
  <c r="A49" i="11"/>
  <c r="A51" i="13"/>
  <c r="B51" i="13"/>
  <c r="A50" i="38"/>
  <c r="A50" i="45"/>
  <c r="A51" i="50"/>
  <c r="B51" i="50"/>
  <c r="A50" i="12"/>
  <c r="A51" i="15"/>
  <c r="B51" i="15"/>
  <c r="A50" i="61"/>
  <c r="A50" i="47"/>
  <c r="A52" i="58"/>
  <c r="A50" i="15"/>
  <c r="B50" i="15"/>
  <c r="A49" i="10"/>
  <c r="A49" i="13"/>
  <c r="A52" i="23"/>
  <c r="A50" i="43"/>
  <c r="A49" i="50"/>
  <c r="A50" i="11"/>
  <c r="A49" i="15"/>
  <c r="A51" i="38"/>
  <c r="B51" i="38"/>
  <c r="A51" i="45"/>
  <c r="A50" i="58"/>
  <c r="B51" i="12"/>
  <c r="A51" i="12"/>
  <c r="A50" i="23"/>
  <c r="A51" i="61"/>
  <c r="B51" i="61"/>
  <c r="A51" i="47"/>
  <c r="A51" i="10"/>
  <c r="B51" i="10"/>
  <c r="A50" i="13"/>
  <c r="B50" i="13"/>
  <c r="A49" i="38"/>
  <c r="A51" i="43"/>
  <c r="B51" i="43"/>
  <c r="A50" i="50"/>
  <c r="B49" i="13"/>
  <c r="B51" i="58"/>
  <c r="B52" i="58"/>
  <c r="B52" i="45"/>
  <c r="B52" i="47"/>
  <c r="B51" i="23"/>
  <c r="B52" i="23"/>
  <c r="B51" i="47"/>
  <c r="B51" i="45"/>
  <c r="E14" i="60" l="1"/>
  <c r="I30" i="18"/>
  <c r="AN106" i="18" s="1"/>
  <c r="I14" i="60"/>
  <c r="D30" i="18"/>
  <c r="AN25" i="18" s="1"/>
  <c r="D14" i="60"/>
  <c r="N30" i="18"/>
  <c r="AN171" i="18" s="1"/>
  <c r="N14" i="60"/>
  <c r="K30" i="18"/>
  <c r="AN132" i="18" s="1"/>
  <c r="K14" i="60"/>
  <c r="J14" i="60"/>
  <c r="J30" i="18"/>
  <c r="AN119" i="18" s="1"/>
  <c r="F30" i="18"/>
  <c r="AN54" i="18" s="1"/>
  <c r="F14" i="60"/>
  <c r="C14" i="60"/>
  <c r="C30" i="18"/>
  <c r="AN12" i="18" s="1"/>
  <c r="G14" i="60"/>
  <c r="G30" i="18"/>
  <c r="AN67" i="18" s="1"/>
  <c r="L30" i="18"/>
  <c r="AN145" i="18" s="1"/>
  <c r="L14" i="60"/>
  <c r="O30" i="18"/>
  <c r="AN184" i="18" s="1"/>
  <c r="O14" i="60"/>
  <c r="H30" i="18"/>
  <c r="AN93" i="18" s="1"/>
  <c r="H14" i="60"/>
  <c r="M30" i="18"/>
  <c r="AN158" i="18" s="1"/>
  <c r="M14" i="60"/>
  <c r="B49" i="61"/>
  <c r="R14" i="60" l="1"/>
  <c r="P14" i="60"/>
  <c r="Q14" i="60"/>
  <c r="AO118" i="18"/>
  <c r="Z35" i="61"/>
  <c r="U35" i="61"/>
  <c r="P35" i="61"/>
  <c r="K35" i="61"/>
  <c r="Z34" i="61"/>
  <c r="U34" i="61"/>
  <c r="P34" i="61"/>
  <c r="K34" i="61"/>
  <c r="Z31" i="61"/>
  <c r="AA31" i="61" s="1"/>
  <c r="AB31" i="61" s="1"/>
  <c r="AC31" i="61" s="1"/>
  <c r="U31" i="61"/>
  <c r="V31" i="61" s="1"/>
  <c r="W31" i="61" s="1"/>
  <c r="X31" i="61" s="1"/>
  <c r="O31" i="61"/>
  <c r="P31" i="61" s="1"/>
  <c r="Q31" i="61" s="1"/>
  <c r="R31" i="61" s="1"/>
  <c r="S31" i="61" s="1"/>
  <c r="M31" i="61"/>
  <c r="AO124" i="18" s="1"/>
  <c r="Z30" i="61"/>
  <c r="AA30" i="61" s="1"/>
  <c r="AB30" i="61" s="1"/>
  <c r="AC30" i="61" s="1"/>
  <c r="U30" i="61"/>
  <c r="V30" i="61" s="1"/>
  <c r="W30" i="61" s="1"/>
  <c r="X30" i="61" s="1"/>
  <c r="O30" i="61"/>
  <c r="P30" i="61" s="1"/>
  <c r="Q30" i="61" s="1"/>
  <c r="R30" i="61" s="1"/>
  <c r="S30" i="61" s="1"/>
  <c r="M30" i="61"/>
  <c r="Z29" i="61"/>
  <c r="AA29" i="61" s="1"/>
  <c r="AB29" i="61" s="1"/>
  <c r="AC29" i="61" s="1"/>
  <c r="U29" i="61"/>
  <c r="V29" i="61" s="1"/>
  <c r="W29" i="61" s="1"/>
  <c r="X29" i="61" s="1"/>
  <c r="O29" i="61"/>
  <c r="P29" i="61" s="1"/>
  <c r="Q29" i="61" s="1"/>
  <c r="R29" i="61" s="1"/>
  <c r="S29" i="61" s="1"/>
  <c r="M29" i="61"/>
  <c r="Z28" i="61"/>
  <c r="AA28" i="61" s="1"/>
  <c r="AB28" i="61" s="1"/>
  <c r="AC28" i="61" s="1"/>
  <c r="U28" i="61"/>
  <c r="V28" i="61" s="1"/>
  <c r="W28" i="61" s="1"/>
  <c r="X28" i="61" s="1"/>
  <c r="O28" i="61"/>
  <c r="P28" i="61" s="1"/>
  <c r="Q28" i="61" s="1"/>
  <c r="R28" i="61" s="1"/>
  <c r="S28" i="61" s="1"/>
  <c r="M28" i="61"/>
  <c r="Z27" i="61"/>
  <c r="AA27" i="61" s="1"/>
  <c r="AB27" i="61" s="1"/>
  <c r="AC27" i="61" s="1"/>
  <c r="U27" i="61"/>
  <c r="V27" i="61" s="1"/>
  <c r="W27" i="61" s="1"/>
  <c r="X27" i="61" s="1"/>
  <c r="O27" i="61"/>
  <c r="P27" i="61" s="1"/>
  <c r="Q27" i="61" s="1"/>
  <c r="R27" i="61" s="1"/>
  <c r="S27" i="61" s="1"/>
  <c r="M27" i="61"/>
  <c r="Z23" i="61"/>
  <c r="AA23" i="61" s="1"/>
  <c r="AB23" i="61" s="1"/>
  <c r="AC23" i="61" s="1"/>
  <c r="U23" i="61"/>
  <c r="V23" i="61" s="1"/>
  <c r="W23" i="61" s="1"/>
  <c r="X23" i="61" s="1"/>
  <c r="O23" i="61"/>
  <c r="K23" i="61"/>
  <c r="L23" i="61" s="1"/>
  <c r="M23" i="61" s="1"/>
  <c r="Z22" i="61"/>
  <c r="AA22" i="61" s="1"/>
  <c r="AB22" i="61" s="1"/>
  <c r="AC22" i="61" s="1"/>
  <c r="U22" i="61"/>
  <c r="V22" i="61" s="1"/>
  <c r="W22" i="61" s="1"/>
  <c r="X22" i="61" s="1"/>
  <c r="O22" i="61"/>
  <c r="K22" i="61"/>
  <c r="L22" i="61" s="1"/>
  <c r="M22" i="61" s="1"/>
  <c r="M47" i="61" s="1"/>
  <c r="Z21" i="61"/>
  <c r="AA21" i="61" s="1"/>
  <c r="AB21" i="61" s="1"/>
  <c r="AC21" i="61" s="1"/>
  <c r="U21" i="61"/>
  <c r="V21" i="61" s="1"/>
  <c r="W21" i="61" s="1"/>
  <c r="O21" i="61"/>
  <c r="P21" i="61" s="1"/>
  <c r="Q21" i="61" s="1"/>
  <c r="R21" i="61" s="1"/>
  <c r="S21" i="61" s="1"/>
  <c r="K21" i="61"/>
  <c r="L21" i="61" s="1"/>
  <c r="M21" i="61" s="1"/>
  <c r="Z20" i="61"/>
  <c r="AA20" i="61" s="1"/>
  <c r="AB20" i="61" s="1"/>
  <c r="AC20" i="61" s="1"/>
  <c r="U20" i="61"/>
  <c r="V20" i="61" s="1"/>
  <c r="W20" i="61" s="1"/>
  <c r="X20" i="61" s="1"/>
  <c r="O20" i="61"/>
  <c r="P20" i="61" s="1"/>
  <c r="Q20" i="61" s="1"/>
  <c r="R20" i="61" s="1"/>
  <c r="S20" i="61" s="1"/>
  <c r="K20" i="61"/>
  <c r="L20" i="61" s="1"/>
  <c r="M20" i="61" s="1"/>
  <c r="Z19" i="61"/>
  <c r="AA19" i="61" s="1"/>
  <c r="AB19" i="61" s="1"/>
  <c r="AC19" i="61" s="1"/>
  <c r="U19" i="61"/>
  <c r="V19" i="61" s="1"/>
  <c r="W19" i="61" s="1"/>
  <c r="X19" i="61" s="1"/>
  <c r="O19" i="61"/>
  <c r="P19" i="61" s="1"/>
  <c r="Q19" i="61" s="1"/>
  <c r="R19" i="61" s="1"/>
  <c r="S19" i="61" s="1"/>
  <c r="K19" i="61"/>
  <c r="L19" i="61" s="1"/>
  <c r="M19" i="61" s="1"/>
  <c r="E18" i="61"/>
  <c r="F18" i="61" s="1"/>
  <c r="G18" i="61" s="1"/>
  <c r="H18" i="61" s="1"/>
  <c r="I18" i="61" s="1"/>
  <c r="J18" i="61" s="1"/>
  <c r="K18" i="61" s="1"/>
  <c r="L18" i="61" s="1"/>
  <c r="M18" i="61" s="1"/>
  <c r="AD56" i="61"/>
  <c r="Y56" i="61"/>
  <c r="U56" i="61"/>
  <c r="T56" i="61"/>
  <c r="N56" i="61"/>
  <c r="L56" i="61"/>
  <c r="K56" i="61"/>
  <c r="J56" i="61"/>
  <c r="I56" i="61"/>
  <c r="H56" i="61"/>
  <c r="G56" i="61"/>
  <c r="F56" i="61"/>
  <c r="E56" i="61"/>
  <c r="D56" i="61"/>
  <c r="AD55" i="61"/>
  <c r="Y55" i="61"/>
  <c r="T55" i="61"/>
  <c r="N55" i="61"/>
  <c r="L55" i="61"/>
  <c r="K55" i="61"/>
  <c r="J55" i="61"/>
  <c r="I55" i="61"/>
  <c r="H55" i="61"/>
  <c r="G55" i="61"/>
  <c r="F55" i="61"/>
  <c r="E55" i="61"/>
  <c r="D55" i="61"/>
  <c r="AD54" i="61"/>
  <c r="Y54" i="61"/>
  <c r="T54" i="61"/>
  <c r="O54" i="61"/>
  <c r="N54" i="61"/>
  <c r="L54" i="61"/>
  <c r="K54" i="61"/>
  <c r="J54" i="61"/>
  <c r="I54" i="61"/>
  <c r="H54" i="61"/>
  <c r="G54" i="61"/>
  <c r="F54" i="61"/>
  <c r="E54" i="61"/>
  <c r="D54" i="61"/>
  <c r="AD53" i="61"/>
  <c r="Y53" i="61"/>
  <c r="T53" i="61"/>
  <c r="N53" i="61"/>
  <c r="L53" i="61"/>
  <c r="K53" i="61"/>
  <c r="J53" i="61"/>
  <c r="I53" i="61"/>
  <c r="H53" i="61"/>
  <c r="G53" i="61"/>
  <c r="F53" i="61"/>
  <c r="E53" i="61"/>
  <c r="D53" i="61"/>
  <c r="AD52" i="61"/>
  <c r="Y52" i="61"/>
  <c r="T52" i="61"/>
  <c r="N52" i="61"/>
  <c r="J52" i="61"/>
  <c r="I52" i="61"/>
  <c r="H52" i="61"/>
  <c r="G52" i="61"/>
  <c r="F52" i="61"/>
  <c r="E52" i="61"/>
  <c r="D52" i="61"/>
  <c r="AD48" i="61"/>
  <c r="Y48" i="61"/>
  <c r="U48" i="61"/>
  <c r="T48" i="61"/>
  <c r="N48" i="61"/>
  <c r="J48" i="61"/>
  <c r="I48" i="61"/>
  <c r="H48" i="61"/>
  <c r="G48" i="61"/>
  <c r="F48" i="61"/>
  <c r="E48" i="61"/>
  <c r="D48" i="61"/>
  <c r="AD47" i="61"/>
  <c r="Y47" i="61"/>
  <c r="T47" i="61"/>
  <c r="N47" i="61"/>
  <c r="J47" i="61"/>
  <c r="I47" i="61"/>
  <c r="H47" i="61"/>
  <c r="G47" i="61"/>
  <c r="F47" i="61"/>
  <c r="E47" i="61"/>
  <c r="D47" i="61"/>
  <c r="AD46" i="61"/>
  <c r="Y46" i="61"/>
  <c r="T46" i="61"/>
  <c r="N46" i="61"/>
  <c r="K46" i="61"/>
  <c r="J46" i="61"/>
  <c r="I46" i="61"/>
  <c r="H46" i="61"/>
  <c r="G46" i="61"/>
  <c r="F46" i="61"/>
  <c r="E46" i="61"/>
  <c r="D46" i="61"/>
  <c r="AD45" i="61"/>
  <c r="Z45" i="61"/>
  <c r="Y45" i="61"/>
  <c r="T45" i="61"/>
  <c r="S45" i="61"/>
  <c r="N45" i="61"/>
  <c r="J45" i="61"/>
  <c r="I45" i="61"/>
  <c r="H45" i="61"/>
  <c r="G45" i="61"/>
  <c r="F45" i="61"/>
  <c r="E45" i="61"/>
  <c r="D45" i="61"/>
  <c r="AD44" i="61"/>
  <c r="Z44" i="61"/>
  <c r="Y44" i="61"/>
  <c r="T44" i="61"/>
  <c r="N44" i="61"/>
  <c r="J44" i="61"/>
  <c r="I44" i="61"/>
  <c r="H44" i="61"/>
  <c r="G44" i="61"/>
  <c r="F44" i="61"/>
  <c r="E44" i="61"/>
  <c r="D44" i="61"/>
  <c r="AD42" i="61"/>
  <c r="E42" i="61"/>
  <c r="D42" i="61"/>
  <c r="V44" i="61" l="1"/>
  <c r="O55" i="61"/>
  <c r="O53" i="61"/>
  <c r="W48" i="61"/>
  <c r="Q53" i="61"/>
  <c r="U54" i="61"/>
  <c r="K45" i="61"/>
  <c r="K47" i="61"/>
  <c r="AO121" i="18"/>
  <c r="O46" i="61"/>
  <c r="Z48" i="61"/>
  <c r="O44" i="61"/>
  <c r="K48" i="61"/>
  <c r="Z54" i="61"/>
  <c r="S52" i="61"/>
  <c r="O52" i="61"/>
  <c r="Z46" i="61"/>
  <c r="Q52" i="61"/>
  <c r="V53" i="61"/>
  <c r="AC56" i="61"/>
  <c r="Q44" i="61"/>
  <c r="R52" i="61"/>
  <c r="W53" i="61"/>
  <c r="J67" i="61"/>
  <c r="D71" i="61"/>
  <c r="L71" i="61"/>
  <c r="Z67" i="61"/>
  <c r="T71" i="61"/>
  <c r="AB71" i="61"/>
  <c r="V47" i="61"/>
  <c r="AO123" i="18"/>
  <c r="U45" i="61"/>
  <c r="P55" i="61"/>
  <c r="M56" i="61"/>
  <c r="Q55" i="61"/>
  <c r="U47" i="61"/>
  <c r="AO120" i="18"/>
  <c r="D67" i="61"/>
  <c r="T67" i="61"/>
  <c r="F71" i="61"/>
  <c r="N71" i="61"/>
  <c r="V71" i="61"/>
  <c r="AD71" i="61"/>
  <c r="AO122" i="18"/>
  <c r="AO117" i="18"/>
  <c r="AA45" i="61"/>
  <c r="AB45" i="61"/>
  <c r="AO112" i="18"/>
  <c r="W47" i="61"/>
  <c r="AO113" i="18"/>
  <c r="P67" i="61"/>
  <c r="Y67" i="61"/>
  <c r="G71" i="61"/>
  <c r="O71" i="61"/>
  <c r="W71" i="61"/>
  <c r="K71" i="61"/>
  <c r="S71" i="61"/>
  <c r="AA71" i="61"/>
  <c r="O67" i="61"/>
  <c r="M71" i="61"/>
  <c r="U71" i="61"/>
  <c r="AC71" i="61"/>
  <c r="U44" i="61"/>
  <c r="AC52" i="61"/>
  <c r="AC54" i="61"/>
  <c r="F67" i="61"/>
  <c r="K52" i="61"/>
  <c r="W44" i="61"/>
  <c r="U52" i="61"/>
  <c r="K44" i="61"/>
  <c r="J71" i="61"/>
  <c r="R71" i="61"/>
  <c r="Z71" i="61"/>
  <c r="L35" i="61"/>
  <c r="F42" i="61"/>
  <c r="F43" i="61" s="1"/>
  <c r="AA44" i="61"/>
  <c r="P54" i="61"/>
  <c r="W46" i="61"/>
  <c r="K67" i="61"/>
  <c r="G42" i="61"/>
  <c r="G43" i="61" s="1"/>
  <c r="AA47" i="61"/>
  <c r="Q54" i="61"/>
  <c r="L34" i="61"/>
  <c r="E43" i="61"/>
  <c r="H42" i="61"/>
  <c r="H43" i="61" s="1"/>
  <c r="M53" i="61"/>
  <c r="V35" i="61"/>
  <c r="AD67" i="61"/>
  <c r="AC47" i="61"/>
  <c r="AA54" i="61"/>
  <c r="G67" i="61"/>
  <c r="H71" i="61"/>
  <c r="P71" i="61"/>
  <c r="X71" i="61"/>
  <c r="AA48" i="61"/>
  <c r="Z52" i="61"/>
  <c r="AB54" i="61"/>
  <c r="V56" i="61"/>
  <c r="S44" i="61"/>
  <c r="M54" i="61"/>
  <c r="V34" i="61"/>
  <c r="H67" i="61"/>
  <c r="AA46" i="61"/>
  <c r="AA52" i="61"/>
  <c r="AC45" i="61"/>
  <c r="I67" i="61"/>
  <c r="J42" i="61"/>
  <c r="J43" i="61" s="1"/>
  <c r="L45" i="61"/>
  <c r="Q46" i="61"/>
  <c r="X21" i="61"/>
  <c r="X46" i="61" s="1"/>
  <c r="D43" i="61"/>
  <c r="L42" i="61"/>
  <c r="L43" i="61" s="1"/>
  <c r="V45" i="61"/>
  <c r="S46" i="61"/>
  <c r="X47" i="61"/>
  <c r="M48" i="61"/>
  <c r="P23" i="61"/>
  <c r="Q23" i="61" s="1"/>
  <c r="R23" i="61" s="1"/>
  <c r="S23" i="61" s="1"/>
  <c r="S48" i="61" s="1"/>
  <c r="O48" i="61"/>
  <c r="M45" i="61"/>
  <c r="O45" i="61"/>
  <c r="W45" i="61"/>
  <c r="M52" i="61"/>
  <c r="I42" i="61"/>
  <c r="I43" i="61" s="1"/>
  <c r="M42" i="61"/>
  <c r="M43" i="61" s="1"/>
  <c r="N18" i="61"/>
  <c r="K42" i="61"/>
  <c r="K43" i="61" s="1"/>
  <c r="P22" i="61"/>
  <c r="Q22" i="61" s="1"/>
  <c r="R22" i="61" s="1"/>
  <c r="S22" i="61" s="1"/>
  <c r="S47" i="61" s="1"/>
  <c r="O47" i="61"/>
  <c r="W52" i="61"/>
  <c r="P46" i="61"/>
  <c r="AB52" i="61"/>
  <c r="V54" i="61"/>
  <c r="S55" i="61"/>
  <c r="AA55" i="61"/>
  <c r="P56" i="61"/>
  <c r="X56" i="61"/>
  <c r="R44" i="61"/>
  <c r="L46" i="61"/>
  <c r="AB46" i="61"/>
  <c r="V48" i="61"/>
  <c r="R53" i="61"/>
  <c r="Z53" i="61"/>
  <c r="W54" i="61"/>
  <c r="AB55" i="61"/>
  <c r="Q56" i="61"/>
  <c r="E67" i="61"/>
  <c r="L52" i="61"/>
  <c r="AD43" i="61"/>
  <c r="P45" i="61"/>
  <c r="X45" i="61"/>
  <c r="M46" i="61"/>
  <c r="U46" i="61"/>
  <c r="AC46" i="61"/>
  <c r="Z47" i="61"/>
  <c r="V52" i="61"/>
  <c r="S53" i="61"/>
  <c r="AA53" i="61"/>
  <c r="X54" i="61"/>
  <c r="M55" i="61"/>
  <c r="U55" i="61"/>
  <c r="AC55" i="61"/>
  <c r="R56" i="61"/>
  <c r="Z56" i="61"/>
  <c r="U67" i="61"/>
  <c r="I71" i="61"/>
  <c r="Q71" i="61"/>
  <c r="Y71" i="61"/>
  <c r="L44" i="61"/>
  <c r="AB44" i="61"/>
  <c r="Q45" i="61"/>
  <c r="AB53" i="61"/>
  <c r="V55" i="61"/>
  <c r="S56" i="61"/>
  <c r="AA56" i="61"/>
  <c r="E71" i="61"/>
  <c r="AC48" i="61"/>
  <c r="V46" i="61"/>
  <c r="X48" i="61"/>
  <c r="M44" i="61"/>
  <c r="AC44" i="61"/>
  <c r="R45" i="61"/>
  <c r="L47" i="61"/>
  <c r="AB47" i="61"/>
  <c r="P52" i="61"/>
  <c r="X52" i="61"/>
  <c r="U53" i="61"/>
  <c r="AC53" i="61"/>
  <c r="R54" i="61"/>
  <c r="W55" i="61"/>
  <c r="AB56" i="61"/>
  <c r="W34" i="61"/>
  <c r="S54" i="61"/>
  <c r="X55" i="61"/>
  <c r="P44" i="61"/>
  <c r="X44" i="61"/>
  <c r="R46" i="61"/>
  <c r="L48" i="61"/>
  <c r="AB48" i="61"/>
  <c r="P53" i="61"/>
  <c r="X53" i="61"/>
  <c r="R55" i="61"/>
  <c r="Z55" i="61"/>
  <c r="O56" i="61"/>
  <c r="W56" i="61"/>
  <c r="Q34" i="61"/>
  <c r="AA34" i="61"/>
  <c r="Q35" i="61"/>
  <c r="AA35" i="61"/>
  <c r="A55" i="61" l="1"/>
  <c r="A46" i="61"/>
  <c r="A45" i="61"/>
  <c r="A54" i="61"/>
  <c r="A53" i="61"/>
  <c r="A44" i="61"/>
  <c r="A52" i="61"/>
  <c r="A56" i="61"/>
  <c r="C71" i="61"/>
  <c r="J26" i="59" s="1"/>
  <c r="B50" i="61"/>
  <c r="J13" i="60" s="1"/>
  <c r="B53" i="61"/>
  <c r="B56" i="61"/>
  <c r="N79" i="61"/>
  <c r="B55" i="61"/>
  <c r="B45" i="61"/>
  <c r="B54" i="61"/>
  <c r="B44" i="61"/>
  <c r="B46" i="61"/>
  <c r="B52" i="61"/>
  <c r="U79" i="61"/>
  <c r="M79" i="61"/>
  <c r="Q79" i="61"/>
  <c r="AC79" i="61"/>
  <c r="R79" i="61"/>
  <c r="AB79" i="61"/>
  <c r="I79" i="61"/>
  <c r="X79" i="61"/>
  <c r="AO114" i="18"/>
  <c r="F79" i="61"/>
  <c r="AO116" i="18"/>
  <c r="D79" i="61"/>
  <c r="O79" i="61"/>
  <c r="AO115" i="18"/>
  <c r="W79" i="61"/>
  <c r="V79" i="61"/>
  <c r="K79" i="61"/>
  <c r="AA79" i="61"/>
  <c r="T79" i="61"/>
  <c r="P79" i="61"/>
  <c r="Z79" i="61"/>
  <c r="L79" i="61"/>
  <c r="H79" i="61"/>
  <c r="Y79" i="61"/>
  <c r="S79" i="61"/>
  <c r="J79" i="61"/>
  <c r="AD79" i="61"/>
  <c r="G79" i="61"/>
  <c r="M34" i="61"/>
  <c r="E75" i="61"/>
  <c r="V67" i="61"/>
  <c r="L67" i="61"/>
  <c r="W35" i="61"/>
  <c r="X35" i="61" s="1"/>
  <c r="M35" i="61"/>
  <c r="AB35" i="61"/>
  <c r="Q47" i="61"/>
  <c r="R48" i="61"/>
  <c r="R34" i="61"/>
  <c r="AD75" i="61"/>
  <c r="G75" i="61"/>
  <c r="R35" i="61"/>
  <c r="R47" i="61"/>
  <c r="AB34" i="61"/>
  <c r="P47" i="61"/>
  <c r="N42" i="61"/>
  <c r="O18" i="61"/>
  <c r="X34" i="61"/>
  <c r="D75" i="61"/>
  <c r="P48" i="61"/>
  <c r="Q48" i="61"/>
  <c r="A47" i="61" l="1"/>
  <c r="A48" i="61"/>
  <c r="J29" i="18"/>
  <c r="K75" i="61"/>
  <c r="B47" i="61"/>
  <c r="B48" i="61"/>
  <c r="E79" i="61"/>
  <c r="C79" i="61" s="1"/>
  <c r="J30" i="59" s="1"/>
  <c r="J17" i="60"/>
  <c r="J33" i="18"/>
  <c r="J16" i="60"/>
  <c r="J32" i="18"/>
  <c r="J8" i="60"/>
  <c r="J24" i="18"/>
  <c r="J31" i="18"/>
  <c r="J15" i="60"/>
  <c r="J23" i="18"/>
  <c r="J7" i="60"/>
  <c r="J18" i="60"/>
  <c r="J34" i="18"/>
  <c r="J19" i="60"/>
  <c r="J35" i="18"/>
  <c r="J28" i="18"/>
  <c r="J12" i="60"/>
  <c r="J9" i="60"/>
  <c r="J25" i="18"/>
  <c r="AA75" i="61"/>
  <c r="T75" i="61"/>
  <c r="N34" i="61"/>
  <c r="N35" i="61"/>
  <c r="U75" i="61"/>
  <c r="X67" i="61"/>
  <c r="W67" i="61"/>
  <c r="S75" i="61"/>
  <c r="Y75" i="61"/>
  <c r="W75" i="61"/>
  <c r="Q75" i="61"/>
  <c r="H75" i="61"/>
  <c r="P75" i="61"/>
  <c r="J75" i="61"/>
  <c r="AC34" i="61"/>
  <c r="P18" i="61"/>
  <c r="O42" i="61"/>
  <c r="O75" i="61"/>
  <c r="AC75" i="61"/>
  <c r="X75" i="61"/>
  <c r="F75" i="61"/>
  <c r="L75" i="61"/>
  <c r="V75" i="61"/>
  <c r="M67" i="61"/>
  <c r="Z75" i="61"/>
  <c r="M75" i="61"/>
  <c r="N43" i="61"/>
  <c r="I75" i="61"/>
  <c r="S35" i="61"/>
  <c r="AA67" i="61"/>
  <c r="S34" i="61"/>
  <c r="R75" i="61"/>
  <c r="N75" i="61"/>
  <c r="AB75" i="61"/>
  <c r="Q67" i="61"/>
  <c r="AC35" i="61"/>
  <c r="C75" i="61" l="1"/>
  <c r="AN112" i="18"/>
  <c r="O43" i="61"/>
  <c r="J27" i="18"/>
  <c r="J11" i="60"/>
  <c r="J10" i="60"/>
  <c r="J26" i="18"/>
  <c r="S67" i="61"/>
  <c r="N67" i="61"/>
  <c r="AB67" i="61"/>
  <c r="R67" i="61"/>
  <c r="AC67" i="61"/>
  <c r="C67" i="61" s="1"/>
  <c r="J29" i="59"/>
  <c r="Q18" i="61"/>
  <c r="P42" i="61"/>
  <c r="J28" i="59" l="1"/>
  <c r="P43" i="61"/>
  <c r="R18" i="61"/>
  <c r="Q42" i="61"/>
  <c r="Q43" i="61" l="1"/>
  <c r="S18" i="61"/>
  <c r="R42" i="61"/>
  <c r="R43" i="61" l="1"/>
  <c r="T18" i="61"/>
  <c r="S42" i="61"/>
  <c r="S43" i="61" s="1"/>
  <c r="U18" i="61" l="1"/>
  <c r="T42" i="61"/>
  <c r="T43" i="61" l="1"/>
  <c r="V18" i="61"/>
  <c r="U42" i="61"/>
  <c r="U43" i="61" s="1"/>
  <c r="W18" i="61" l="1"/>
  <c r="V42" i="61"/>
  <c r="V43" i="61" s="1"/>
  <c r="X18" i="61" l="1"/>
  <c r="W42" i="61"/>
  <c r="W43" i="61" s="1"/>
  <c r="X42" i="61" l="1"/>
  <c r="X43" i="61" s="1"/>
  <c r="Y18" i="61"/>
  <c r="Z18" i="61" l="1"/>
  <c r="Y42" i="61"/>
  <c r="Y43" i="61" s="1"/>
  <c r="AA18" i="61" l="1"/>
  <c r="Z42" i="61"/>
  <c r="Z43" i="61" s="1"/>
  <c r="AB18" i="61" l="1"/>
  <c r="AA42" i="61"/>
  <c r="AA43" i="61" s="1"/>
  <c r="AC18" i="61" l="1"/>
  <c r="AC42" i="61" s="1"/>
  <c r="AB42" i="61"/>
  <c r="AB43" i="61" s="1"/>
  <c r="B42" i="61" l="1"/>
  <c r="A42" i="61"/>
  <c r="AC43" i="61"/>
  <c r="B43" i="61" l="1"/>
  <c r="J27" i="59" s="1"/>
  <c r="A43" i="61"/>
  <c r="AD90" i="38"/>
  <c r="AC90" i="38"/>
  <c r="AB90" i="38"/>
  <c r="AA90" i="38"/>
  <c r="Z90" i="38"/>
  <c r="Y90" i="38"/>
  <c r="AD91" i="23"/>
  <c r="AC91" i="23"/>
  <c r="AB91" i="23"/>
  <c r="AA91" i="23"/>
  <c r="Z91" i="23"/>
  <c r="Y91" i="23"/>
  <c r="E36" i="59"/>
  <c r="E41" i="59"/>
  <c r="AJ22" i="59"/>
  <c r="AK22" i="59" s="1"/>
  <c r="AK104" i="59"/>
  <c r="AK103" i="59"/>
  <c r="AK102" i="59"/>
  <c r="AK101" i="59"/>
  <c r="AK100" i="59"/>
  <c r="AK99" i="59"/>
  <c r="AK98" i="59"/>
  <c r="AK97" i="59"/>
  <c r="AK96" i="59"/>
  <c r="AK95" i="59"/>
  <c r="AK94" i="59"/>
  <c r="AK93" i="59"/>
  <c r="AK92" i="59"/>
  <c r="AK91" i="59"/>
  <c r="AK90" i="59"/>
  <c r="AK89" i="59"/>
  <c r="AK88" i="59"/>
  <c r="AK87" i="59"/>
  <c r="AK86" i="59"/>
  <c r="AK85" i="59"/>
  <c r="AK84" i="59"/>
  <c r="AK83" i="59"/>
  <c r="AK82" i="59"/>
  <c r="AK81" i="59"/>
  <c r="AK80" i="59"/>
  <c r="AK79" i="59"/>
  <c r="AK78" i="59"/>
  <c r="AK77" i="59"/>
  <c r="AK76" i="59"/>
  <c r="AK75" i="59"/>
  <c r="AK74" i="59"/>
  <c r="AK73" i="59"/>
  <c r="AK72" i="59"/>
  <c r="AK71" i="59"/>
  <c r="AK70" i="59"/>
  <c r="AK69" i="59"/>
  <c r="AK68" i="59"/>
  <c r="AK67" i="59"/>
  <c r="AK66" i="59"/>
  <c r="AK65" i="59"/>
  <c r="AK64" i="59"/>
  <c r="AK63" i="59"/>
  <c r="AK62" i="59"/>
  <c r="AK61" i="59"/>
  <c r="AK60" i="59"/>
  <c r="AK59" i="59"/>
  <c r="AK58" i="59"/>
  <c r="AK57" i="59"/>
  <c r="AK56" i="59"/>
  <c r="AK55" i="59"/>
  <c r="AK54" i="59"/>
  <c r="AK53" i="59"/>
  <c r="AK52" i="59"/>
  <c r="AK51" i="59"/>
  <c r="AK50" i="59"/>
  <c r="AK49" i="59"/>
  <c r="AK48" i="59"/>
  <c r="AK47" i="59"/>
  <c r="AK46" i="59"/>
  <c r="AK45" i="59"/>
  <c r="AK44" i="59"/>
  <c r="AK43" i="59"/>
  <c r="AK42" i="59"/>
  <c r="AJ41" i="59"/>
  <c r="AK41" i="59" s="1"/>
  <c r="AJ40" i="59"/>
  <c r="AK40" i="59" s="1"/>
  <c r="AJ39" i="59"/>
  <c r="AK39" i="59" s="1"/>
  <c r="AJ38" i="59"/>
  <c r="AK38" i="59" s="1"/>
  <c r="AJ37" i="59"/>
  <c r="AK37" i="59" s="1"/>
  <c r="AJ36" i="59"/>
  <c r="AK36" i="59" s="1"/>
  <c r="AJ35" i="59"/>
  <c r="AK35" i="59" s="1"/>
  <c r="AJ34" i="59"/>
  <c r="AK34" i="59" s="1"/>
  <c r="AJ33" i="59"/>
  <c r="AK33" i="59" s="1"/>
  <c r="AJ32" i="59"/>
  <c r="AK32" i="59" s="1"/>
  <c r="AJ31" i="59"/>
  <c r="AK31" i="59" s="1"/>
  <c r="AJ30" i="59"/>
  <c r="AK30" i="59" s="1"/>
  <c r="AJ29" i="59"/>
  <c r="AK29" i="59" s="1"/>
  <c r="AJ28" i="59"/>
  <c r="AK28" i="59" s="1"/>
  <c r="P36" i="59"/>
  <c r="O36" i="59"/>
  <c r="N36" i="59"/>
  <c r="M36" i="59"/>
  <c r="L36" i="59"/>
  <c r="K36" i="59"/>
  <c r="J36" i="59"/>
  <c r="I36" i="59"/>
  <c r="H36" i="59"/>
  <c r="G36" i="59"/>
  <c r="F36" i="59"/>
  <c r="D36" i="59"/>
  <c r="C36" i="59"/>
  <c r="A36" i="59"/>
  <c r="AJ27" i="59"/>
  <c r="AK27" i="59" s="1"/>
  <c r="AJ26" i="59"/>
  <c r="AK26" i="59" s="1"/>
  <c r="AJ25" i="59"/>
  <c r="AK25" i="59" s="1"/>
  <c r="AJ24" i="59"/>
  <c r="AK24" i="59" s="1"/>
  <c r="AJ23" i="59"/>
  <c r="AK23" i="59" s="1"/>
  <c r="AJ21" i="59"/>
  <c r="AK21" i="59" s="1"/>
  <c r="AJ18" i="59"/>
  <c r="AK18" i="59" s="1"/>
  <c r="AJ17" i="59"/>
  <c r="AK17" i="59" s="1"/>
  <c r="AJ16" i="59"/>
  <c r="AK16" i="59" s="1"/>
  <c r="AJ15" i="59"/>
  <c r="AK15" i="59" s="1"/>
  <c r="AJ14" i="59"/>
  <c r="AK14" i="59" s="1"/>
  <c r="AJ13" i="59"/>
  <c r="AK13" i="59" s="1"/>
  <c r="AK12" i="59"/>
  <c r="AJ11" i="59"/>
  <c r="AK11" i="59" s="1"/>
  <c r="AJ10" i="59"/>
  <c r="AK10" i="59" s="1"/>
  <c r="AJ9" i="59"/>
  <c r="AK9" i="59" s="1"/>
  <c r="AJ8" i="59"/>
  <c r="AK8" i="59" s="1"/>
  <c r="AJ7" i="59"/>
  <c r="AK7" i="59" s="1"/>
  <c r="AJ6" i="59"/>
  <c r="AK6" i="59" s="1"/>
  <c r="G41" i="59" l="1"/>
  <c r="G40" i="59" s="1"/>
  <c r="C40" i="59"/>
  <c r="I41" i="59" l="1"/>
  <c r="K41" i="59" s="1"/>
  <c r="K40" i="59" s="1"/>
  <c r="E40" i="59"/>
  <c r="I40" i="59" l="1"/>
  <c r="M41" i="59"/>
  <c r="O41" i="59" s="1"/>
  <c r="Q41" i="59" s="1"/>
  <c r="S41" i="59" s="1"/>
  <c r="S40" i="59" s="1"/>
  <c r="M40" i="59" l="1"/>
  <c r="Q40" i="59"/>
  <c r="O40" i="59"/>
  <c r="Z19" i="38"/>
  <c r="Z21" i="38"/>
  <c r="Y18" i="23"/>
  <c r="Z18" i="23" s="1"/>
  <c r="T47" i="18"/>
  <c r="R47" i="18"/>
  <c r="P47" i="18"/>
  <c r="P42" i="18"/>
  <c r="E18" i="38" l="1"/>
  <c r="F18" i="38" s="1"/>
  <c r="G18" i="38" s="1"/>
  <c r="H18" i="38" s="1"/>
  <c r="I18" i="38" s="1"/>
  <c r="J18" i="38" s="1"/>
  <c r="K18" i="38" s="1"/>
  <c r="L18" i="38" s="1"/>
  <c r="M18" i="38" s="1"/>
  <c r="N18" i="38" s="1"/>
  <c r="O18" i="38" s="1"/>
  <c r="P18" i="38" s="1"/>
  <c r="Q18" i="38" s="1"/>
  <c r="R18" i="38" s="1"/>
  <c r="S18" i="38" s="1"/>
  <c r="T18" i="38" s="1"/>
  <c r="U18" i="38" s="1"/>
  <c r="V18" i="38" s="1"/>
  <c r="W18" i="38" s="1"/>
  <c r="X18" i="38" s="1"/>
  <c r="Y18" i="38" s="1"/>
  <c r="Z18" i="38" s="1"/>
  <c r="AA18" i="38" s="1"/>
  <c r="AB18" i="38" s="1"/>
  <c r="AC18" i="38" s="1"/>
  <c r="E18" i="13"/>
  <c r="F19" i="38" l="1"/>
  <c r="E18" i="10"/>
  <c r="K24" i="17"/>
  <c r="Z3" i="17"/>
  <c r="U3" i="17"/>
  <c r="O3" i="17"/>
  <c r="O4" i="17"/>
  <c r="K4" i="17"/>
  <c r="F4" i="17"/>
  <c r="F3" i="17"/>
  <c r="Y18" i="45" l="1"/>
  <c r="Z18" i="45" s="1"/>
  <c r="AA18" i="45" s="1"/>
  <c r="AB18" i="45" s="1"/>
  <c r="AC18" i="45" s="1"/>
  <c r="E18" i="43" l="1"/>
  <c r="F18" i="43" s="1"/>
  <c r="G18" i="43" s="1"/>
  <c r="H18" i="43" s="1"/>
  <c r="I18" i="43" s="1"/>
  <c r="J18" i="43" s="1"/>
  <c r="K18" i="43" s="1"/>
  <c r="L18" i="43" s="1"/>
  <c r="M18" i="43" s="1"/>
  <c r="N18" i="43" s="1"/>
  <c r="O18" i="43" s="1"/>
  <c r="P18" i="43" s="1"/>
  <c r="Q18" i="43" s="1"/>
  <c r="R18" i="43" s="1"/>
  <c r="S18" i="43" s="1"/>
  <c r="T18" i="43" s="1"/>
  <c r="U18" i="43" s="1"/>
  <c r="V18" i="43" s="1"/>
  <c r="W18" i="43" s="1"/>
  <c r="X18" i="43" s="1"/>
  <c r="Y18" i="43" s="1"/>
  <c r="Z18" i="43" s="1"/>
  <c r="AA18" i="43" s="1"/>
  <c r="AB18" i="43" s="1"/>
  <c r="AC18" i="43" s="1"/>
  <c r="AA18" i="23"/>
  <c r="AB18" i="23" s="1"/>
  <c r="AC18" i="23" s="1"/>
  <c r="F18" i="13"/>
  <c r="G18" i="13" s="1"/>
  <c r="H18" i="13" s="1"/>
  <c r="I18" i="13" s="1"/>
  <c r="J18" i="13" s="1"/>
  <c r="K18" i="13" s="1"/>
  <c r="L18" i="13" s="1"/>
  <c r="M18" i="13" s="1"/>
  <c r="N18" i="13" s="1"/>
  <c r="O18" i="13" s="1"/>
  <c r="P18" i="13" s="1"/>
  <c r="Q18" i="13" s="1"/>
  <c r="R18" i="13" s="1"/>
  <c r="S18" i="13" s="1"/>
  <c r="T18" i="13" s="1"/>
  <c r="U18" i="13" s="1"/>
  <c r="V18" i="13" s="1"/>
  <c r="W18" i="13" s="1"/>
  <c r="X18" i="13" s="1"/>
  <c r="Y18" i="13" s="1"/>
  <c r="Z18" i="13" s="1"/>
  <c r="AA18" i="13" s="1"/>
  <c r="AB18" i="13" s="1"/>
  <c r="AC18" i="13" s="1"/>
  <c r="E18" i="12"/>
  <c r="F18" i="12" s="1"/>
  <c r="G18" i="12" s="1"/>
  <c r="H18" i="12" s="1"/>
  <c r="I18" i="12" s="1"/>
  <c r="J18" i="12" s="1"/>
  <c r="K18" i="12" s="1"/>
  <c r="L18" i="12" s="1"/>
  <c r="M18" i="12" s="1"/>
  <c r="N18" i="12" s="1"/>
  <c r="O18" i="12" s="1"/>
  <c r="P18" i="12" s="1"/>
  <c r="Q18" i="12" s="1"/>
  <c r="R18" i="12" s="1"/>
  <c r="S18" i="12" s="1"/>
  <c r="T18" i="12" s="1"/>
  <c r="U18" i="12" s="1"/>
  <c r="V18" i="12" s="1"/>
  <c r="W18" i="12" s="1"/>
  <c r="X18" i="12" s="1"/>
  <c r="Y18" i="12" s="1"/>
  <c r="Z18" i="12" s="1"/>
  <c r="AA18" i="12" s="1"/>
  <c r="AB18" i="12" s="1"/>
  <c r="AC18" i="12" s="1"/>
  <c r="F18" i="10"/>
  <c r="G18" i="10" s="1"/>
  <c r="E2" i="17"/>
  <c r="F2" i="17" s="1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Q2" i="17" s="1"/>
  <c r="R2" i="17" s="1"/>
  <c r="S2" i="17" s="1"/>
  <c r="T2" i="17" s="1"/>
  <c r="U2" i="17" s="1"/>
  <c r="V2" i="17" s="1"/>
  <c r="H18" i="10" l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W2" i="17"/>
  <c r="X2" i="17" s="1"/>
  <c r="Y2" i="17" s="1"/>
  <c r="Z2" i="17" s="1"/>
  <c r="AA2" i="17" s="1"/>
  <c r="AB2" i="17" s="1"/>
  <c r="AC2" i="17" s="1"/>
  <c r="S18" i="10" l="1"/>
  <c r="T18" i="10" s="1"/>
  <c r="U18" i="10" s="1"/>
  <c r="V18" i="10" s="1"/>
  <c r="W18" i="10" s="1"/>
  <c r="X18" i="10" s="1"/>
  <c r="Y18" i="10" s="1"/>
  <c r="Z18" i="10" s="1"/>
  <c r="AA18" i="10" s="1"/>
  <c r="AB18" i="10" s="1"/>
  <c r="AC18" i="10" s="1"/>
  <c r="C87" i="58" l="1"/>
  <c r="B50" i="50" l="1"/>
  <c r="B50" i="38"/>
  <c r="B50" i="43" l="1"/>
  <c r="K13" i="60" s="1"/>
  <c r="C61" i="11"/>
  <c r="C62" i="11"/>
  <c r="C63" i="11"/>
  <c r="B50" i="11"/>
  <c r="E14" i="10" l="1"/>
  <c r="E50" i="10" s="1"/>
  <c r="F14" i="10"/>
  <c r="F50" i="10" s="1"/>
  <c r="G14" i="10"/>
  <c r="G50" i="10" s="1"/>
  <c r="H14" i="10"/>
  <c r="H50" i="10" s="1"/>
  <c r="I14" i="10"/>
  <c r="I50" i="10" s="1"/>
  <c r="J14" i="10"/>
  <c r="J50" i="10" s="1"/>
  <c r="K14" i="10"/>
  <c r="K50" i="10" s="1"/>
  <c r="L14" i="10"/>
  <c r="L50" i="10" s="1"/>
  <c r="M14" i="10"/>
  <c r="M50" i="10" s="1"/>
  <c r="N14" i="10"/>
  <c r="N50" i="10" s="1"/>
  <c r="O14" i="10"/>
  <c r="O50" i="10" s="1"/>
  <c r="P14" i="10"/>
  <c r="P50" i="10" s="1"/>
  <c r="Q14" i="10"/>
  <c r="Q50" i="10" s="1"/>
  <c r="R14" i="10"/>
  <c r="R50" i="10" s="1"/>
  <c r="S14" i="10"/>
  <c r="S50" i="10" s="1"/>
  <c r="T14" i="10"/>
  <c r="T50" i="10" s="1"/>
  <c r="U14" i="10"/>
  <c r="U50" i="10" s="1"/>
  <c r="V14" i="10"/>
  <c r="V50" i="10" s="1"/>
  <c r="W14" i="10"/>
  <c r="W50" i="10" s="1"/>
  <c r="X14" i="10"/>
  <c r="X50" i="10" s="1"/>
  <c r="Y14" i="10"/>
  <c r="Y50" i="10" s="1"/>
  <c r="Z14" i="10"/>
  <c r="Z50" i="10" s="1"/>
  <c r="AA14" i="10"/>
  <c r="AA50" i="10" s="1"/>
  <c r="AB14" i="10"/>
  <c r="AB50" i="10" s="1"/>
  <c r="AC14" i="10"/>
  <c r="AC50" i="10" s="1"/>
  <c r="AD14" i="10"/>
  <c r="AD50" i="10" s="1"/>
  <c r="D14" i="10"/>
  <c r="D50" i="10" l="1"/>
  <c r="AO183" i="18"/>
  <c r="AM178" i="18"/>
  <c r="AM179" i="18"/>
  <c r="AM180" i="18"/>
  <c r="AM181" i="18"/>
  <c r="AM182" i="18"/>
  <c r="AM183" i="18"/>
  <c r="AM185" i="18"/>
  <c r="AM186" i="18"/>
  <c r="AM187" i="18"/>
  <c r="AM188" i="18"/>
  <c r="AM189" i="18"/>
  <c r="AM177" i="18"/>
  <c r="A50" i="10" l="1"/>
  <c r="B50" i="10"/>
  <c r="AD32" i="23"/>
  <c r="AD31" i="23"/>
  <c r="AD30" i="23"/>
  <c r="AD29" i="23"/>
  <c r="T29" i="23" l="1"/>
  <c r="U29" i="23" s="1"/>
  <c r="V29" i="23" s="1"/>
  <c r="W29" i="23" s="1"/>
  <c r="X29" i="23" s="1"/>
  <c r="T30" i="23"/>
  <c r="T31" i="23"/>
  <c r="T32" i="23"/>
  <c r="U32" i="23" s="1"/>
  <c r="V32" i="23" s="1"/>
  <c r="W32" i="23" s="1"/>
  <c r="X32" i="23" s="1"/>
  <c r="T28" i="23"/>
  <c r="U28" i="23" s="1"/>
  <c r="V28" i="23" s="1"/>
  <c r="W28" i="23" s="1"/>
  <c r="X28" i="23" s="1"/>
  <c r="T29" i="58"/>
  <c r="T30" i="58"/>
  <c r="T31" i="58"/>
  <c r="T32" i="58"/>
  <c r="U29" i="58" l="1"/>
  <c r="V29" i="58" s="1"/>
  <c r="W29" i="58" s="1"/>
  <c r="X29" i="58" s="1"/>
  <c r="U32" i="58"/>
  <c r="V32" i="58" s="1"/>
  <c r="W32" i="58" s="1"/>
  <c r="X32" i="58" s="1"/>
  <c r="U30" i="58"/>
  <c r="V30" i="58" s="1"/>
  <c r="W30" i="58" s="1"/>
  <c r="X30" i="58" s="1"/>
  <c r="U31" i="58"/>
  <c r="V31" i="58" s="1"/>
  <c r="W31" i="58" s="1"/>
  <c r="X31" i="58" s="1"/>
  <c r="U31" i="23"/>
  <c r="V31" i="23" s="1"/>
  <c r="W31" i="23" s="1"/>
  <c r="X31" i="23" s="1"/>
  <c r="U30" i="23"/>
  <c r="V30" i="23" s="1"/>
  <c r="W30" i="23" s="1"/>
  <c r="X30" i="23" s="1"/>
  <c r="AD71" i="58"/>
  <c r="AC71" i="58"/>
  <c r="AB71" i="58"/>
  <c r="AA71" i="58"/>
  <c r="Z71" i="58"/>
  <c r="Y71" i="58"/>
  <c r="X71" i="58"/>
  <c r="W71" i="58"/>
  <c r="V71" i="58"/>
  <c r="U71" i="58"/>
  <c r="T71" i="58"/>
  <c r="S71" i="58"/>
  <c r="R71" i="58"/>
  <c r="Q71" i="58"/>
  <c r="P71" i="58"/>
  <c r="O71" i="58"/>
  <c r="N71" i="58"/>
  <c r="M71" i="58"/>
  <c r="L71" i="58"/>
  <c r="K71" i="58"/>
  <c r="J71" i="58"/>
  <c r="I71" i="58"/>
  <c r="H71" i="58"/>
  <c r="G71" i="58"/>
  <c r="F71" i="58"/>
  <c r="E71" i="58"/>
  <c r="D71" i="58"/>
  <c r="AD70" i="58"/>
  <c r="AC70" i="58"/>
  <c r="AB70" i="58"/>
  <c r="AA70" i="58"/>
  <c r="Z70" i="58"/>
  <c r="Y70" i="58"/>
  <c r="X70" i="58"/>
  <c r="W70" i="58"/>
  <c r="V70" i="58"/>
  <c r="U70" i="58"/>
  <c r="T70" i="58"/>
  <c r="S70" i="58"/>
  <c r="R70" i="58"/>
  <c r="Q70" i="58"/>
  <c r="P70" i="58"/>
  <c r="O70" i="58"/>
  <c r="N70" i="58"/>
  <c r="M70" i="58"/>
  <c r="L70" i="58"/>
  <c r="K70" i="58"/>
  <c r="J70" i="58"/>
  <c r="I70" i="58"/>
  <c r="H70" i="58"/>
  <c r="G70" i="58"/>
  <c r="F70" i="58"/>
  <c r="E70" i="58"/>
  <c r="D70" i="58"/>
  <c r="AD67" i="58"/>
  <c r="Y67" i="58"/>
  <c r="T67" i="58"/>
  <c r="J67" i="58"/>
  <c r="D67" i="58"/>
  <c r="AD66" i="58"/>
  <c r="Y66" i="58"/>
  <c r="T66" i="58"/>
  <c r="J66" i="58"/>
  <c r="D66" i="58"/>
  <c r="C64" i="58"/>
  <c r="B64" i="58"/>
  <c r="A64" i="58"/>
  <c r="C63" i="58"/>
  <c r="B63" i="58"/>
  <c r="A63" i="58"/>
  <c r="C62" i="58"/>
  <c r="B62" i="58"/>
  <c r="A62" i="58"/>
  <c r="C61" i="58"/>
  <c r="B61" i="58"/>
  <c r="A61" i="58"/>
  <c r="D39" i="58"/>
  <c r="E39" i="58" s="1"/>
  <c r="F39" i="58" s="1"/>
  <c r="G39" i="58" s="1"/>
  <c r="H39" i="58" s="1"/>
  <c r="I39" i="58" s="1"/>
  <c r="J39" i="58" s="1"/>
  <c r="K39" i="58" s="1"/>
  <c r="L39" i="58" s="1"/>
  <c r="M39" i="58" s="1"/>
  <c r="N39" i="58" s="1"/>
  <c r="O39" i="58" s="1"/>
  <c r="P39" i="58" s="1"/>
  <c r="Q39" i="58" s="1"/>
  <c r="R39" i="58" s="1"/>
  <c r="S39" i="58" s="1"/>
  <c r="T39" i="58" s="1"/>
  <c r="U39" i="58" s="1"/>
  <c r="V39" i="58" s="1"/>
  <c r="W39" i="58" s="1"/>
  <c r="X39" i="58" s="1"/>
  <c r="Y39" i="58" s="1"/>
  <c r="Z39" i="58" s="1"/>
  <c r="AA39" i="58" s="1"/>
  <c r="AB39" i="58" s="1"/>
  <c r="AC39" i="58" s="1"/>
  <c r="AD39" i="58" s="1"/>
  <c r="Z36" i="58"/>
  <c r="U36" i="58"/>
  <c r="P36" i="58"/>
  <c r="K36" i="58"/>
  <c r="E36" i="58"/>
  <c r="Z35" i="58"/>
  <c r="U35" i="58"/>
  <c r="P35" i="58"/>
  <c r="K35" i="58"/>
  <c r="K66" i="58" s="1"/>
  <c r="E35" i="58"/>
  <c r="Z32" i="58"/>
  <c r="AA32" i="58" s="1"/>
  <c r="AB32" i="58" s="1"/>
  <c r="AC32" i="58" s="1"/>
  <c r="Z31" i="58"/>
  <c r="AA31" i="58" s="1"/>
  <c r="AB31" i="58" s="1"/>
  <c r="AC31" i="58" s="1"/>
  <c r="Z30" i="58"/>
  <c r="AA30" i="58" s="1"/>
  <c r="AB30" i="58" s="1"/>
  <c r="AC30" i="58" s="1"/>
  <c r="Z23" i="58"/>
  <c r="AA23" i="58" s="1"/>
  <c r="AB23" i="58" s="1"/>
  <c r="AC23" i="58" s="1"/>
  <c r="U23" i="58"/>
  <c r="V23" i="58" s="1"/>
  <c r="W23" i="58" s="1"/>
  <c r="X23" i="58" s="1"/>
  <c r="P23" i="58"/>
  <c r="Q23" i="58" s="1"/>
  <c r="R23" i="58" s="1"/>
  <c r="S23" i="58" s="1"/>
  <c r="K23" i="58"/>
  <c r="L23" i="58" s="1"/>
  <c r="M23" i="58" s="1"/>
  <c r="N23" i="58" s="1"/>
  <c r="E23" i="58"/>
  <c r="Z22" i="58"/>
  <c r="AA22" i="58" s="1"/>
  <c r="AB22" i="58" s="1"/>
  <c r="AC22" i="58" s="1"/>
  <c r="U22" i="58"/>
  <c r="V22" i="58" s="1"/>
  <c r="W22" i="58" s="1"/>
  <c r="X22" i="58" s="1"/>
  <c r="P22" i="58"/>
  <c r="Q22" i="58" s="1"/>
  <c r="R22" i="58" s="1"/>
  <c r="S22" i="58" s="1"/>
  <c r="K22" i="58"/>
  <c r="L22" i="58" s="1"/>
  <c r="M22" i="58" s="1"/>
  <c r="N22" i="58" s="1"/>
  <c r="E22" i="58"/>
  <c r="Z21" i="58"/>
  <c r="AA21" i="58" s="1"/>
  <c r="AB21" i="58" s="1"/>
  <c r="AC21" i="58" s="1"/>
  <c r="U21" i="58"/>
  <c r="V21" i="58" s="1"/>
  <c r="W21" i="58" s="1"/>
  <c r="X21" i="58" s="1"/>
  <c r="P21" i="58"/>
  <c r="Q21" i="58" s="1"/>
  <c r="R21" i="58" s="1"/>
  <c r="S21" i="58" s="1"/>
  <c r="K21" i="58"/>
  <c r="L21" i="58" s="1"/>
  <c r="M21" i="58" s="1"/>
  <c r="N21" i="58" s="1"/>
  <c r="E21" i="58"/>
  <c r="F21" i="58" s="1"/>
  <c r="G21" i="58" s="1"/>
  <c r="H21" i="58" s="1"/>
  <c r="I21" i="58" s="1"/>
  <c r="Z20" i="58"/>
  <c r="AA20" i="58" s="1"/>
  <c r="AB20" i="58" s="1"/>
  <c r="AC20" i="58" s="1"/>
  <c r="U20" i="58"/>
  <c r="V20" i="58" s="1"/>
  <c r="W20" i="58" s="1"/>
  <c r="X20" i="58" s="1"/>
  <c r="P20" i="58"/>
  <c r="Q20" i="58" s="1"/>
  <c r="R20" i="58" s="1"/>
  <c r="S20" i="58" s="1"/>
  <c r="K20" i="58"/>
  <c r="L20" i="58" s="1"/>
  <c r="M20" i="58" s="1"/>
  <c r="N20" i="58" s="1"/>
  <c r="E20" i="58"/>
  <c r="F20" i="58" s="1"/>
  <c r="G20" i="58" s="1"/>
  <c r="H20" i="58" s="1"/>
  <c r="I20" i="58" s="1"/>
  <c r="Z19" i="58"/>
  <c r="AA19" i="58" s="1"/>
  <c r="AB19" i="58" s="1"/>
  <c r="AC19" i="58" s="1"/>
  <c r="U19" i="58"/>
  <c r="V19" i="58" s="1"/>
  <c r="W19" i="58" s="1"/>
  <c r="X19" i="58" s="1"/>
  <c r="P19" i="58"/>
  <c r="Q19" i="58" s="1"/>
  <c r="R19" i="58" s="1"/>
  <c r="S19" i="58" s="1"/>
  <c r="K19" i="58"/>
  <c r="L19" i="58" s="1"/>
  <c r="M19" i="58" s="1"/>
  <c r="N19" i="58" s="1"/>
  <c r="E19" i="58"/>
  <c r="F19" i="58" s="1"/>
  <c r="G19" i="58" s="1"/>
  <c r="H19" i="58" s="1"/>
  <c r="I19" i="58" s="1"/>
  <c r="AD12" i="58"/>
  <c r="AD57" i="58" s="1"/>
  <c r="Y12" i="58"/>
  <c r="Y57" i="58" s="1"/>
  <c r="T12" i="58"/>
  <c r="T57" i="58" s="1"/>
  <c r="N12" i="58"/>
  <c r="N57" i="58" s="1"/>
  <c r="J12" i="58"/>
  <c r="J57" i="58" s="1"/>
  <c r="E12" i="58"/>
  <c r="E57" i="58" s="1"/>
  <c r="D12" i="58"/>
  <c r="D57" i="58" s="1"/>
  <c r="AD11" i="58"/>
  <c r="AD56" i="58" s="1"/>
  <c r="Y11" i="58"/>
  <c r="Y56" i="58" s="1"/>
  <c r="T11" i="58"/>
  <c r="T56" i="58" s="1"/>
  <c r="N11" i="58"/>
  <c r="N56" i="58" s="1"/>
  <c r="J11" i="58"/>
  <c r="J56" i="58" s="1"/>
  <c r="E11" i="58"/>
  <c r="E56" i="58" s="1"/>
  <c r="D11" i="58"/>
  <c r="D56" i="58" s="1"/>
  <c r="AD10" i="58"/>
  <c r="AD55" i="58" s="1"/>
  <c r="Y10" i="58"/>
  <c r="Y55" i="58" s="1"/>
  <c r="T10" i="58"/>
  <c r="T55" i="58" s="1"/>
  <c r="N10" i="58"/>
  <c r="N55" i="58" s="1"/>
  <c r="J10" i="58"/>
  <c r="J55" i="58" s="1"/>
  <c r="E10" i="58"/>
  <c r="E55" i="58" s="1"/>
  <c r="D10" i="58"/>
  <c r="D55" i="58" s="1"/>
  <c r="AD9" i="58"/>
  <c r="AD54" i="58" s="1"/>
  <c r="Y9" i="58"/>
  <c r="Y54" i="58" s="1"/>
  <c r="T9" i="58"/>
  <c r="T54" i="58" s="1"/>
  <c r="N9" i="58"/>
  <c r="N54" i="58" s="1"/>
  <c r="J9" i="58"/>
  <c r="J54" i="58" s="1"/>
  <c r="E9" i="58"/>
  <c r="E54" i="58" s="1"/>
  <c r="D9" i="58"/>
  <c r="D54" i="58" s="1"/>
  <c r="AD8" i="58"/>
  <c r="AD53" i="58" s="1"/>
  <c r="Y8" i="58"/>
  <c r="Y53" i="58" s="1"/>
  <c r="T8" i="58"/>
  <c r="T53" i="58" s="1"/>
  <c r="N8" i="58"/>
  <c r="N53" i="58" s="1"/>
  <c r="J8" i="58"/>
  <c r="J53" i="58" s="1"/>
  <c r="E8" i="58"/>
  <c r="E53" i="58" s="1"/>
  <c r="D8" i="58"/>
  <c r="D53" i="58" s="1"/>
  <c r="AD7" i="58"/>
  <c r="AD49" i="58" s="1"/>
  <c r="Y7" i="58"/>
  <c r="Y49" i="58" s="1"/>
  <c r="T7" i="58"/>
  <c r="T49" i="58" s="1"/>
  <c r="N7" i="58"/>
  <c r="J7" i="58"/>
  <c r="J49" i="58" s="1"/>
  <c r="E7" i="58"/>
  <c r="D7" i="58"/>
  <c r="D49" i="58" s="1"/>
  <c r="AD6" i="58"/>
  <c r="AD48" i="58" s="1"/>
  <c r="Y6" i="58"/>
  <c r="Y48" i="58" s="1"/>
  <c r="T6" i="58"/>
  <c r="T48" i="58" s="1"/>
  <c r="N6" i="58"/>
  <c r="J6" i="58"/>
  <c r="J48" i="58" s="1"/>
  <c r="E6" i="58"/>
  <c r="E48" i="58" s="1"/>
  <c r="D6" i="58"/>
  <c r="D48" i="58" s="1"/>
  <c r="AD5" i="58"/>
  <c r="AD47" i="58" s="1"/>
  <c r="Y5" i="58"/>
  <c r="Y47" i="58" s="1"/>
  <c r="T5" i="58"/>
  <c r="T47" i="58" s="1"/>
  <c r="N5" i="58"/>
  <c r="J5" i="58"/>
  <c r="J47" i="58" s="1"/>
  <c r="E5" i="58"/>
  <c r="D5" i="58"/>
  <c r="D47" i="58" s="1"/>
  <c r="AD4" i="58"/>
  <c r="AD46" i="58" s="1"/>
  <c r="Y4" i="58"/>
  <c r="Y46" i="58" s="1"/>
  <c r="T4" i="58"/>
  <c r="T46" i="58" s="1"/>
  <c r="O4" i="58"/>
  <c r="O46" i="58" s="1"/>
  <c r="N4" i="58"/>
  <c r="K4" i="58"/>
  <c r="J4" i="58"/>
  <c r="J46" i="58" s="1"/>
  <c r="F4" i="58"/>
  <c r="E4" i="58"/>
  <c r="D4" i="58"/>
  <c r="D46" i="58" s="1"/>
  <c r="AD3" i="58"/>
  <c r="AD45" i="58" s="1"/>
  <c r="Y3" i="58"/>
  <c r="Y45" i="58" s="1"/>
  <c r="U3" i="58"/>
  <c r="T3" i="58"/>
  <c r="T45" i="58" s="1"/>
  <c r="O3" i="58"/>
  <c r="O45" i="58" s="1"/>
  <c r="N3" i="58"/>
  <c r="J3" i="58"/>
  <c r="J45" i="58" s="1"/>
  <c r="F3" i="58"/>
  <c r="E3" i="58"/>
  <c r="D3" i="58"/>
  <c r="D45" i="58" s="1"/>
  <c r="AD2" i="58"/>
  <c r="AD43" i="58" s="1"/>
  <c r="F2" i="58"/>
  <c r="F43" i="58" s="1"/>
  <c r="E2" i="58"/>
  <c r="E43" i="58" s="1"/>
  <c r="D2" i="58"/>
  <c r="D43" i="58" s="1"/>
  <c r="E47" i="58" l="1"/>
  <c r="E46" i="58"/>
  <c r="K46" i="58"/>
  <c r="J68" i="58"/>
  <c r="E45" i="58"/>
  <c r="U45" i="58"/>
  <c r="E72" i="58"/>
  <c r="M72" i="58"/>
  <c r="U72" i="58"/>
  <c r="AC72" i="58"/>
  <c r="T68" i="58"/>
  <c r="J72" i="58"/>
  <c r="R72" i="58"/>
  <c r="Z72" i="58"/>
  <c r="Y68" i="58"/>
  <c r="AD68" i="58"/>
  <c r="F45" i="58"/>
  <c r="V35" i="58"/>
  <c r="W35" i="58" s="1"/>
  <c r="F72" i="58"/>
  <c r="N72" i="58"/>
  <c r="V72" i="58"/>
  <c r="AD72" i="58"/>
  <c r="D68" i="58"/>
  <c r="AO179" i="18"/>
  <c r="L35" i="58"/>
  <c r="M35" i="58" s="1"/>
  <c r="F36" i="58"/>
  <c r="N45" i="58"/>
  <c r="F22" i="58"/>
  <c r="G22" i="58" s="1"/>
  <c r="H22" i="58" s="1"/>
  <c r="I22" i="58" s="1"/>
  <c r="AO180" i="18" s="1"/>
  <c r="F23" i="58"/>
  <c r="G23" i="58" s="1"/>
  <c r="H23" i="58" s="1"/>
  <c r="I23" i="58" s="1"/>
  <c r="AO188" i="18"/>
  <c r="AO189" i="18"/>
  <c r="L36" i="58"/>
  <c r="M36" i="58" s="1"/>
  <c r="E44" i="58"/>
  <c r="AO177" i="18"/>
  <c r="AA35" i="58"/>
  <c r="V36" i="58"/>
  <c r="W36" i="58" s="1"/>
  <c r="I72" i="58"/>
  <c r="Q72" i="58"/>
  <c r="Y72" i="58"/>
  <c r="F44" i="58"/>
  <c r="AO178" i="18"/>
  <c r="AO187" i="18"/>
  <c r="K72" i="58"/>
  <c r="S72" i="58"/>
  <c r="D72" i="58"/>
  <c r="L72" i="58"/>
  <c r="T72" i="58"/>
  <c r="AB72" i="58"/>
  <c r="C71" i="58"/>
  <c r="AA72" i="58"/>
  <c r="G72" i="58"/>
  <c r="W72" i="58"/>
  <c r="H72" i="58"/>
  <c r="P72" i="58"/>
  <c r="X72" i="58"/>
  <c r="O72" i="58"/>
  <c r="Z29" i="58"/>
  <c r="N47" i="58"/>
  <c r="D44" i="58"/>
  <c r="F46" i="58"/>
  <c r="N46" i="58"/>
  <c r="E49" i="58"/>
  <c r="N49" i="58"/>
  <c r="AD44" i="58"/>
  <c r="Q36" i="58"/>
  <c r="AA36" i="58"/>
  <c r="N48" i="58"/>
  <c r="F35" i="58"/>
  <c r="Q35" i="58"/>
  <c r="C70" i="58"/>
  <c r="Z23" i="47"/>
  <c r="AA23" i="47" s="1"/>
  <c r="AB23" i="47" s="1"/>
  <c r="AC23" i="47" s="1"/>
  <c r="U23" i="47"/>
  <c r="V23" i="47" s="1"/>
  <c r="W23" i="47" s="1"/>
  <c r="X23" i="47" s="1"/>
  <c r="P23" i="47"/>
  <c r="Q23" i="47" s="1"/>
  <c r="R23" i="47" s="1"/>
  <c r="S23" i="47" s="1"/>
  <c r="K23" i="47"/>
  <c r="L23" i="47" s="1"/>
  <c r="M23" i="47" s="1"/>
  <c r="E23" i="47"/>
  <c r="F23" i="47" s="1"/>
  <c r="G23" i="47" s="1"/>
  <c r="H23" i="47" s="1"/>
  <c r="I23" i="47" s="1"/>
  <c r="Z22" i="47"/>
  <c r="AA22" i="47" s="1"/>
  <c r="AB22" i="47" s="1"/>
  <c r="AC22" i="47" s="1"/>
  <c r="U22" i="47"/>
  <c r="V22" i="47" s="1"/>
  <c r="W22" i="47" s="1"/>
  <c r="X22" i="47" s="1"/>
  <c r="P22" i="47"/>
  <c r="Q22" i="47" s="1"/>
  <c r="R22" i="47" s="1"/>
  <c r="S22" i="47" s="1"/>
  <c r="K22" i="47"/>
  <c r="L22" i="47" s="1"/>
  <c r="M22" i="47" s="1"/>
  <c r="E22" i="47"/>
  <c r="Z21" i="47"/>
  <c r="AA21" i="47" s="1"/>
  <c r="AB21" i="47" s="1"/>
  <c r="AC21" i="47" s="1"/>
  <c r="U21" i="47"/>
  <c r="V21" i="47" s="1"/>
  <c r="W21" i="47" s="1"/>
  <c r="X21" i="47" s="1"/>
  <c r="P21" i="47"/>
  <c r="Q21" i="47" s="1"/>
  <c r="R21" i="47" s="1"/>
  <c r="S21" i="47" s="1"/>
  <c r="K21" i="47"/>
  <c r="L21" i="47" s="1"/>
  <c r="M21" i="47" s="1"/>
  <c r="E21" i="47"/>
  <c r="F21" i="47" s="1"/>
  <c r="G21" i="47" s="1"/>
  <c r="H21" i="47" s="1"/>
  <c r="I21" i="47" s="1"/>
  <c r="Z20" i="47"/>
  <c r="AA20" i="47" s="1"/>
  <c r="AB20" i="47" s="1"/>
  <c r="AC20" i="47" s="1"/>
  <c r="U20" i="47"/>
  <c r="V20" i="47" s="1"/>
  <c r="W20" i="47" s="1"/>
  <c r="X20" i="47" s="1"/>
  <c r="P20" i="47"/>
  <c r="Q20" i="47" s="1"/>
  <c r="R20" i="47" s="1"/>
  <c r="S20" i="47" s="1"/>
  <c r="K20" i="47"/>
  <c r="L20" i="47" s="1"/>
  <c r="M20" i="47" s="1"/>
  <c r="E20" i="47"/>
  <c r="Z19" i="47"/>
  <c r="AA19" i="47" s="1"/>
  <c r="AB19" i="47" s="1"/>
  <c r="AC19" i="47" s="1"/>
  <c r="U19" i="47"/>
  <c r="V19" i="47" s="1"/>
  <c r="W19" i="47" s="1"/>
  <c r="X19" i="47" s="1"/>
  <c r="P19" i="47"/>
  <c r="Q19" i="47" s="1"/>
  <c r="R19" i="47" s="1"/>
  <c r="S19" i="47" s="1"/>
  <c r="K19" i="47"/>
  <c r="L19" i="47" s="1"/>
  <c r="M19" i="47" s="1"/>
  <c r="E19" i="47"/>
  <c r="G36" i="58" l="1"/>
  <c r="O29" i="18"/>
  <c r="AN183" i="18" s="1"/>
  <c r="AA29" i="58"/>
  <c r="AB29" i="58" s="1"/>
  <c r="AC29" i="58" s="1"/>
  <c r="AB35" i="58"/>
  <c r="AO181" i="18"/>
  <c r="C72" i="58"/>
  <c r="O26" i="59" s="1"/>
  <c r="AL98" i="59" s="1"/>
  <c r="C42" i="59" s="1"/>
  <c r="F22" i="47"/>
  <c r="G22" i="47" s="1"/>
  <c r="H22" i="47" s="1"/>
  <c r="I22" i="47" s="1"/>
  <c r="F20" i="47"/>
  <c r="G20" i="47" s="1"/>
  <c r="H20" i="47" s="1"/>
  <c r="I20" i="47" s="1"/>
  <c r="F19" i="47"/>
  <c r="G19" i="47" s="1"/>
  <c r="H19" i="47" s="1"/>
  <c r="I19" i="47" s="1"/>
  <c r="R35" i="58"/>
  <c r="R36" i="58"/>
  <c r="N36" i="58"/>
  <c r="N67" i="58" s="1"/>
  <c r="G35" i="58"/>
  <c r="X35" i="58"/>
  <c r="N35" i="58"/>
  <c r="N66" i="58" s="1"/>
  <c r="AB36" i="58"/>
  <c r="X36" i="58"/>
  <c r="P20" i="38"/>
  <c r="Q20" i="38" s="1"/>
  <c r="R20" i="38" s="1"/>
  <c r="S20" i="38" s="1"/>
  <c r="P21" i="38"/>
  <c r="Q21" i="38" s="1"/>
  <c r="R21" i="38" s="1"/>
  <c r="S21" i="38" s="1"/>
  <c r="P22" i="38"/>
  <c r="Q22" i="38" s="1"/>
  <c r="R22" i="38" s="1"/>
  <c r="S22" i="38" s="1"/>
  <c r="P23" i="38"/>
  <c r="Q23" i="38" s="1"/>
  <c r="R23" i="38" s="1"/>
  <c r="S23" i="38" s="1"/>
  <c r="P19" i="38"/>
  <c r="Q19" i="38" s="1"/>
  <c r="R19" i="38" s="1"/>
  <c r="S19" i="38" s="1"/>
  <c r="H36" i="58" l="1"/>
  <c r="N68" i="58"/>
  <c r="AO185" i="18"/>
  <c r="AC35" i="58"/>
  <c r="AO186" i="18"/>
  <c r="S36" i="58"/>
  <c r="AC36" i="58"/>
  <c r="S35" i="58"/>
  <c r="H35" i="58"/>
  <c r="I36" i="58" l="1"/>
  <c r="I35" i="58"/>
  <c r="D17" i="17"/>
  <c r="B50" i="47" l="1"/>
  <c r="D32" i="17"/>
  <c r="D61" i="58"/>
  <c r="D74" i="58" s="1"/>
  <c r="B12" i="16" l="1"/>
  <c r="P20" i="23" l="1"/>
  <c r="Q20" i="23" s="1"/>
  <c r="R20" i="23" s="1"/>
  <c r="S20" i="23" s="1"/>
  <c r="P21" i="23"/>
  <c r="Q21" i="23" s="1"/>
  <c r="R21" i="23" s="1"/>
  <c r="S21" i="23" s="1"/>
  <c r="P22" i="23"/>
  <c r="Q22" i="23" s="1"/>
  <c r="R22" i="23" s="1"/>
  <c r="S22" i="23" s="1"/>
  <c r="P23" i="23"/>
  <c r="Q23" i="23" s="1"/>
  <c r="R23" i="23" s="1"/>
  <c r="S23" i="23" s="1"/>
  <c r="K20" i="23"/>
  <c r="L20" i="23" s="1"/>
  <c r="M20" i="23" s="1"/>
  <c r="N20" i="23" s="1"/>
  <c r="K21" i="23"/>
  <c r="L21" i="23" s="1"/>
  <c r="M21" i="23" s="1"/>
  <c r="N21" i="23" s="1"/>
  <c r="K22" i="23"/>
  <c r="L22" i="23" s="1"/>
  <c r="M22" i="23" s="1"/>
  <c r="N22" i="23" s="1"/>
  <c r="K23" i="23"/>
  <c r="L23" i="23" s="1"/>
  <c r="M23" i="23" s="1"/>
  <c r="N23" i="23" s="1"/>
  <c r="K19" i="23"/>
  <c r="L19" i="23" s="1"/>
  <c r="M19" i="23" s="1"/>
  <c r="N19" i="23" s="1"/>
  <c r="P19" i="23"/>
  <c r="Q19" i="23" s="1"/>
  <c r="R19" i="23" s="1"/>
  <c r="S19" i="23" s="1"/>
  <c r="AD42" i="17" l="1"/>
  <c r="D42" i="17"/>
  <c r="D81" i="13" s="1"/>
  <c r="D81" i="61" l="1"/>
  <c r="D82" i="47"/>
  <c r="D81" i="15"/>
  <c r="D82" i="58"/>
  <c r="D81" i="11"/>
  <c r="D81" i="38"/>
  <c r="D82" i="45"/>
  <c r="D81" i="50"/>
  <c r="D81" i="10"/>
  <c r="D82" i="23"/>
  <c r="D81" i="43"/>
  <c r="D82" i="12"/>
  <c r="AD81" i="61"/>
  <c r="AD83" i="61" s="1"/>
  <c r="AD84" i="61" s="1"/>
  <c r="AD81" i="38"/>
  <c r="AD81" i="11"/>
  <c r="AD82" i="45"/>
  <c r="AD81" i="50"/>
  <c r="AD81" i="13"/>
  <c r="AD82" i="23"/>
  <c r="AD81" i="10"/>
  <c r="AD81" i="43"/>
  <c r="AD82" i="12"/>
  <c r="AD82" i="47"/>
  <c r="AD81" i="15"/>
  <c r="AD82" i="58"/>
  <c r="AO21" i="18"/>
  <c r="AL21" i="18"/>
  <c r="AM21" i="18" s="1"/>
  <c r="D83" i="61" l="1"/>
  <c r="D84" i="61" s="1"/>
  <c r="D69" i="10"/>
  <c r="D20" i="17" l="1"/>
  <c r="D64" i="58" s="1"/>
  <c r="D79" i="58" s="1"/>
  <c r="D18" i="17"/>
  <c r="D36" i="17" s="1"/>
  <c r="D62" i="58" l="1"/>
  <c r="D78" i="58" s="1"/>
  <c r="D80" i="58" s="1"/>
  <c r="D19" i="17"/>
  <c r="E17" i="17"/>
  <c r="J66" i="23"/>
  <c r="N66" i="23"/>
  <c r="T66" i="23"/>
  <c r="Y66" i="23"/>
  <c r="AD66" i="23"/>
  <c r="J67" i="23"/>
  <c r="N67" i="23"/>
  <c r="T67" i="23"/>
  <c r="Y67" i="23"/>
  <c r="AD67" i="23"/>
  <c r="J68" i="23" l="1"/>
  <c r="F17" i="17"/>
  <c r="E61" i="58"/>
  <c r="D63" i="58"/>
  <c r="T68" i="23"/>
  <c r="AD68" i="23"/>
  <c r="Y68" i="23"/>
  <c r="N68" i="23"/>
  <c r="B50" i="23" l="1"/>
  <c r="E78" i="58"/>
  <c r="E74" i="58"/>
  <c r="G17" i="17"/>
  <c r="F61" i="58"/>
  <c r="Z29" i="23"/>
  <c r="Z30" i="23"/>
  <c r="Z31" i="23"/>
  <c r="Z32" i="23"/>
  <c r="Z28" i="23"/>
  <c r="B50" i="45" l="1"/>
  <c r="H17" i="17"/>
  <c r="G61" i="58"/>
  <c r="F78" i="58"/>
  <c r="F74" i="58"/>
  <c r="AA31" i="23"/>
  <c r="AB31" i="23" s="1"/>
  <c r="AC31" i="23" s="1"/>
  <c r="AA30" i="23"/>
  <c r="AB30" i="23" s="1"/>
  <c r="AC30" i="23" s="1"/>
  <c r="AA28" i="23"/>
  <c r="AB28" i="23" s="1"/>
  <c r="AC28" i="23" s="1"/>
  <c r="AA32" i="23"/>
  <c r="AB32" i="23" s="1"/>
  <c r="AC32" i="23" s="1"/>
  <c r="AA29" i="23"/>
  <c r="AB29" i="23" s="1"/>
  <c r="AC29" i="23" s="1"/>
  <c r="AO22" i="18"/>
  <c r="AO20" i="18"/>
  <c r="AL22" i="18"/>
  <c r="AM22" i="18" s="1"/>
  <c r="AL20" i="18"/>
  <c r="AM20" i="18" s="1"/>
  <c r="AM13" i="18"/>
  <c r="AO11" i="18"/>
  <c r="AM11" i="18"/>
  <c r="O42" i="18"/>
  <c r="N42" i="18"/>
  <c r="M42" i="18"/>
  <c r="L42" i="18"/>
  <c r="K42" i="18"/>
  <c r="J42" i="18"/>
  <c r="E70" i="23"/>
  <c r="F70" i="23"/>
  <c r="G70" i="23"/>
  <c r="H70" i="23"/>
  <c r="I70" i="23"/>
  <c r="J70" i="23"/>
  <c r="K70" i="23"/>
  <c r="L70" i="23"/>
  <c r="M70" i="23"/>
  <c r="N70" i="23"/>
  <c r="O70" i="23"/>
  <c r="P70" i="23"/>
  <c r="Q70" i="23"/>
  <c r="R70" i="23"/>
  <c r="S70" i="23"/>
  <c r="T70" i="23"/>
  <c r="U70" i="23"/>
  <c r="V70" i="23"/>
  <c r="W70" i="23"/>
  <c r="X70" i="23"/>
  <c r="Y70" i="23"/>
  <c r="Z70" i="23"/>
  <c r="AA70" i="23"/>
  <c r="AB70" i="23"/>
  <c r="E71" i="23"/>
  <c r="F71" i="23"/>
  <c r="F72" i="23" s="1"/>
  <c r="G71" i="23"/>
  <c r="H71" i="23"/>
  <c r="I71" i="23"/>
  <c r="I72" i="23" s="1"/>
  <c r="J71" i="23"/>
  <c r="K71" i="23"/>
  <c r="L71" i="23"/>
  <c r="M71" i="23"/>
  <c r="N71" i="23"/>
  <c r="N72" i="23" s="1"/>
  <c r="O71" i="23"/>
  <c r="P71" i="23"/>
  <c r="Q71" i="23"/>
  <c r="Q72" i="23" s="1"/>
  <c r="R71" i="23"/>
  <c r="R72" i="23" s="1"/>
  <c r="S71" i="23"/>
  <c r="T71" i="23"/>
  <c r="U71" i="23"/>
  <c r="V71" i="23"/>
  <c r="W71" i="23"/>
  <c r="X71" i="23"/>
  <c r="Y71" i="23"/>
  <c r="Y72" i="23" s="1"/>
  <c r="Z71" i="23"/>
  <c r="Z72" i="23" s="1"/>
  <c r="AA71" i="23"/>
  <c r="AB71" i="23"/>
  <c r="D71" i="23"/>
  <c r="D70" i="23"/>
  <c r="D67" i="23"/>
  <c r="D66" i="23"/>
  <c r="V72" i="23" l="1"/>
  <c r="G78" i="58"/>
  <c r="G74" i="58"/>
  <c r="I17" i="17"/>
  <c r="H61" i="58"/>
  <c r="D72" i="23"/>
  <c r="AB72" i="23"/>
  <c r="H72" i="23"/>
  <c r="W72" i="23"/>
  <c r="O72" i="23"/>
  <c r="G72" i="23"/>
  <c r="D68" i="23"/>
  <c r="T72" i="23"/>
  <c r="L72" i="23"/>
  <c r="U72" i="23"/>
  <c r="M72" i="23"/>
  <c r="E72" i="23"/>
  <c r="X72" i="23"/>
  <c r="P72" i="23"/>
  <c r="AA72" i="23"/>
  <c r="S72" i="23"/>
  <c r="K72" i="23"/>
  <c r="J72" i="23"/>
  <c r="Z36" i="23"/>
  <c r="Z35" i="23"/>
  <c r="U36" i="23"/>
  <c r="U35" i="23"/>
  <c r="O36" i="23"/>
  <c r="O35" i="23"/>
  <c r="K36" i="23"/>
  <c r="K35" i="23"/>
  <c r="E36" i="23"/>
  <c r="E35" i="23"/>
  <c r="J17" i="17" l="1"/>
  <c r="I61" i="58"/>
  <c r="H78" i="58"/>
  <c r="H74" i="58"/>
  <c r="AA35" i="23"/>
  <c r="AA36" i="23"/>
  <c r="V35" i="23"/>
  <c r="V36" i="23"/>
  <c r="P35" i="23"/>
  <c r="P36" i="23"/>
  <c r="L35" i="23"/>
  <c r="L36" i="23"/>
  <c r="F35" i="23"/>
  <c r="F36" i="23"/>
  <c r="I78" i="58" l="1"/>
  <c r="I74" i="58"/>
  <c r="K17" i="17"/>
  <c r="J61" i="58"/>
  <c r="AB36" i="23"/>
  <c r="AB35" i="23"/>
  <c r="W36" i="23"/>
  <c r="W35" i="23"/>
  <c r="Q36" i="23"/>
  <c r="Q35" i="23"/>
  <c r="M36" i="23"/>
  <c r="M35" i="23"/>
  <c r="G36" i="23"/>
  <c r="G35" i="23"/>
  <c r="E69" i="50"/>
  <c r="F69" i="50"/>
  <c r="G69" i="50"/>
  <c r="H69" i="50"/>
  <c r="I69" i="50"/>
  <c r="J69" i="50"/>
  <c r="K69" i="50"/>
  <c r="L69" i="50"/>
  <c r="M69" i="50"/>
  <c r="N69" i="50"/>
  <c r="O69" i="50"/>
  <c r="P69" i="50"/>
  <c r="Q69" i="50"/>
  <c r="R69" i="50"/>
  <c r="S69" i="50"/>
  <c r="T69" i="50"/>
  <c r="U69" i="50"/>
  <c r="V69" i="50"/>
  <c r="W69" i="50"/>
  <c r="X69" i="50"/>
  <c r="Y69" i="50"/>
  <c r="Z69" i="50"/>
  <c r="AA69" i="50"/>
  <c r="AB69" i="50"/>
  <c r="E70" i="50"/>
  <c r="F70" i="50"/>
  <c r="G70" i="50"/>
  <c r="H70" i="50"/>
  <c r="I70" i="50"/>
  <c r="J70" i="50"/>
  <c r="K70" i="50"/>
  <c r="L70" i="50"/>
  <c r="M70" i="50"/>
  <c r="N70" i="50"/>
  <c r="O70" i="50"/>
  <c r="O71" i="50" s="1"/>
  <c r="P70" i="50"/>
  <c r="Q70" i="50"/>
  <c r="Q71" i="50" s="1"/>
  <c r="R70" i="50"/>
  <c r="S70" i="50"/>
  <c r="T70" i="50"/>
  <c r="U70" i="50"/>
  <c r="V70" i="50"/>
  <c r="W70" i="50"/>
  <c r="W71" i="50" s="1"/>
  <c r="X70" i="50"/>
  <c r="Y70" i="50"/>
  <c r="Y71" i="50" s="1"/>
  <c r="Z70" i="50"/>
  <c r="AA70" i="50"/>
  <c r="AA71" i="50" s="1"/>
  <c r="AB70" i="50"/>
  <c r="D70" i="50"/>
  <c r="D69" i="50"/>
  <c r="J65" i="50"/>
  <c r="N65" i="50"/>
  <c r="T65" i="50"/>
  <c r="Y65" i="50"/>
  <c r="AD65" i="50"/>
  <c r="J66" i="50"/>
  <c r="N66" i="50"/>
  <c r="T66" i="50"/>
  <c r="Y66" i="50"/>
  <c r="AD66" i="50"/>
  <c r="D66" i="50"/>
  <c r="D65" i="50"/>
  <c r="E70" i="47"/>
  <c r="F70" i="47"/>
  <c r="G70" i="47"/>
  <c r="H70" i="47"/>
  <c r="I70" i="47"/>
  <c r="J70" i="47"/>
  <c r="K70" i="47"/>
  <c r="L70" i="47"/>
  <c r="M70" i="47"/>
  <c r="N70" i="47"/>
  <c r="O70" i="47"/>
  <c r="P70" i="47"/>
  <c r="Q70" i="47"/>
  <c r="R70" i="47"/>
  <c r="S70" i="47"/>
  <c r="T70" i="47"/>
  <c r="U70" i="47"/>
  <c r="V70" i="47"/>
  <c r="W70" i="47"/>
  <c r="X70" i="47"/>
  <c r="Y70" i="47"/>
  <c r="Z70" i="47"/>
  <c r="AA70" i="47"/>
  <c r="AB70" i="47"/>
  <c r="E71" i="47"/>
  <c r="F71" i="47"/>
  <c r="F72" i="47" s="1"/>
  <c r="G71" i="47"/>
  <c r="H71" i="47"/>
  <c r="I71" i="47"/>
  <c r="J71" i="47"/>
  <c r="K71" i="47"/>
  <c r="L71" i="47"/>
  <c r="M71" i="47"/>
  <c r="N71" i="47"/>
  <c r="O71" i="47"/>
  <c r="P71" i="47"/>
  <c r="Q71" i="47"/>
  <c r="Q72" i="47" s="1"/>
  <c r="R71" i="47"/>
  <c r="S71" i="47"/>
  <c r="T71" i="47"/>
  <c r="U71" i="47"/>
  <c r="V71" i="47"/>
  <c r="W71" i="47"/>
  <c r="X71" i="47"/>
  <c r="X72" i="47" s="1"/>
  <c r="Y71" i="47"/>
  <c r="Y72" i="47" s="1"/>
  <c r="Z71" i="47"/>
  <c r="AA71" i="47"/>
  <c r="AB71" i="47"/>
  <c r="D71" i="47"/>
  <c r="D70" i="47"/>
  <c r="J66" i="47"/>
  <c r="N66" i="47"/>
  <c r="T66" i="47"/>
  <c r="Y66" i="47"/>
  <c r="AD66" i="47"/>
  <c r="J67" i="47"/>
  <c r="N67" i="47"/>
  <c r="T67" i="47"/>
  <c r="Y67" i="47"/>
  <c r="AD67" i="47"/>
  <c r="D67" i="47"/>
  <c r="D66" i="47"/>
  <c r="E70" i="45"/>
  <c r="F70" i="45"/>
  <c r="G70" i="45"/>
  <c r="H70" i="45"/>
  <c r="I70" i="45"/>
  <c r="J70" i="45"/>
  <c r="K70" i="45"/>
  <c r="L70" i="45"/>
  <c r="M70" i="45"/>
  <c r="N70" i="45"/>
  <c r="O70" i="45"/>
  <c r="P70" i="45"/>
  <c r="Q70" i="45"/>
  <c r="R70" i="45"/>
  <c r="S70" i="45"/>
  <c r="T70" i="45"/>
  <c r="U70" i="45"/>
  <c r="V70" i="45"/>
  <c r="W70" i="45"/>
  <c r="X70" i="45"/>
  <c r="Y70" i="45"/>
  <c r="Z70" i="45"/>
  <c r="AA70" i="45"/>
  <c r="AB70" i="45"/>
  <c r="E71" i="45"/>
  <c r="E72" i="45" s="1"/>
  <c r="F71" i="45"/>
  <c r="G71" i="45"/>
  <c r="H71" i="45"/>
  <c r="H72" i="45" s="1"/>
  <c r="I71" i="45"/>
  <c r="I72" i="45" s="1"/>
  <c r="J71" i="45"/>
  <c r="K71" i="45"/>
  <c r="L71" i="45"/>
  <c r="M71" i="45"/>
  <c r="M72" i="45" s="1"/>
  <c r="N71" i="45"/>
  <c r="O71" i="45"/>
  <c r="P71" i="45"/>
  <c r="P72" i="45" s="1"/>
  <c r="Q71" i="45"/>
  <c r="R71" i="45"/>
  <c r="S71" i="45"/>
  <c r="T71" i="45"/>
  <c r="U71" i="45"/>
  <c r="U72" i="45" s="1"/>
  <c r="V71" i="45"/>
  <c r="W71" i="45"/>
  <c r="X71" i="45"/>
  <c r="Y71" i="45"/>
  <c r="Y72" i="45" s="1"/>
  <c r="Z71" i="45"/>
  <c r="AA71" i="45"/>
  <c r="AB71" i="45"/>
  <c r="D70" i="43"/>
  <c r="D71" i="45"/>
  <c r="D70" i="45"/>
  <c r="J66" i="45"/>
  <c r="N66" i="45"/>
  <c r="T66" i="45"/>
  <c r="Y66" i="45"/>
  <c r="AD66" i="45"/>
  <c r="J67" i="45"/>
  <c r="N67" i="45"/>
  <c r="T67" i="45"/>
  <c r="Y67" i="45"/>
  <c r="AD67" i="45"/>
  <c r="D67" i="45"/>
  <c r="D66" i="45"/>
  <c r="E35" i="45"/>
  <c r="F35" i="45" s="1"/>
  <c r="G35" i="45" s="1"/>
  <c r="H35" i="45" s="1"/>
  <c r="I35" i="45" s="1"/>
  <c r="K35" i="45"/>
  <c r="L35" i="45" s="1"/>
  <c r="M35" i="45" s="1"/>
  <c r="O35" i="45"/>
  <c r="P35" i="45" s="1"/>
  <c r="Q35" i="45" s="1"/>
  <c r="R35" i="45" s="1"/>
  <c r="S35" i="45" s="1"/>
  <c r="U35" i="45"/>
  <c r="V35" i="45" s="1"/>
  <c r="W35" i="45" s="1"/>
  <c r="X35" i="45" s="1"/>
  <c r="Z35" i="45"/>
  <c r="AA35" i="45" s="1"/>
  <c r="AB35" i="45" s="1"/>
  <c r="AC35" i="45" s="1"/>
  <c r="E36" i="45"/>
  <c r="F36" i="45" s="1"/>
  <c r="G36" i="45" s="1"/>
  <c r="H36" i="45" s="1"/>
  <c r="I36" i="45" s="1"/>
  <c r="K36" i="45"/>
  <c r="L36" i="45" s="1"/>
  <c r="M36" i="45" s="1"/>
  <c r="O36" i="45"/>
  <c r="P36" i="45" s="1"/>
  <c r="Q36" i="45" s="1"/>
  <c r="R36" i="45" s="1"/>
  <c r="S36" i="45" s="1"/>
  <c r="U36" i="45"/>
  <c r="V36" i="45" s="1"/>
  <c r="W36" i="45" s="1"/>
  <c r="X36" i="45" s="1"/>
  <c r="Z36" i="45"/>
  <c r="AA36" i="45" s="1"/>
  <c r="AB36" i="45" s="1"/>
  <c r="AC36" i="45" s="1"/>
  <c r="E69" i="43"/>
  <c r="F69" i="43"/>
  <c r="G69" i="43"/>
  <c r="H69" i="43"/>
  <c r="I69" i="43"/>
  <c r="J69" i="43"/>
  <c r="K69" i="43"/>
  <c r="L69" i="43"/>
  <c r="M69" i="43"/>
  <c r="N69" i="43"/>
  <c r="O69" i="43"/>
  <c r="P69" i="43"/>
  <c r="Q69" i="43"/>
  <c r="R69" i="43"/>
  <c r="S69" i="43"/>
  <c r="T69" i="43"/>
  <c r="U69" i="43"/>
  <c r="V69" i="43"/>
  <c r="W69" i="43"/>
  <c r="X69" i="43"/>
  <c r="Y69" i="43"/>
  <c r="Z69" i="43"/>
  <c r="AA69" i="43"/>
  <c r="AB69" i="43"/>
  <c r="E70" i="43"/>
  <c r="F70" i="43"/>
  <c r="G70" i="43"/>
  <c r="H70" i="43"/>
  <c r="H71" i="43" s="1"/>
  <c r="I70" i="43"/>
  <c r="J70" i="43"/>
  <c r="K70" i="43"/>
  <c r="L70" i="43"/>
  <c r="M70" i="43"/>
  <c r="N70" i="43"/>
  <c r="O70" i="43"/>
  <c r="P70" i="43"/>
  <c r="P71" i="43" s="1"/>
  <c r="Q70" i="43"/>
  <c r="R70" i="43"/>
  <c r="S70" i="43"/>
  <c r="T70" i="43"/>
  <c r="U70" i="43"/>
  <c r="V70" i="43"/>
  <c r="W70" i="43"/>
  <c r="X70" i="43"/>
  <c r="Y70" i="43"/>
  <c r="Z70" i="43"/>
  <c r="AA70" i="43"/>
  <c r="AB70" i="43"/>
  <c r="D69" i="43"/>
  <c r="J65" i="43"/>
  <c r="T65" i="43"/>
  <c r="Y65" i="43"/>
  <c r="AD65" i="43"/>
  <c r="J66" i="43"/>
  <c r="T66" i="43"/>
  <c r="Y66" i="43"/>
  <c r="AD66" i="43"/>
  <c r="D66" i="43"/>
  <c r="D65" i="43"/>
  <c r="E69" i="38"/>
  <c r="F69" i="38"/>
  <c r="G69" i="38"/>
  <c r="H69" i="38"/>
  <c r="I69" i="38"/>
  <c r="J69" i="38"/>
  <c r="K69" i="38"/>
  <c r="L69" i="38"/>
  <c r="M69" i="38"/>
  <c r="N69" i="38"/>
  <c r="O69" i="38"/>
  <c r="P69" i="38"/>
  <c r="Q69" i="38"/>
  <c r="R69" i="38"/>
  <c r="S69" i="38"/>
  <c r="T69" i="38"/>
  <c r="U69" i="38"/>
  <c r="V69" i="38"/>
  <c r="W69" i="38"/>
  <c r="X69" i="38"/>
  <c r="Y69" i="38"/>
  <c r="Z69" i="38"/>
  <c r="AA69" i="38"/>
  <c r="AB69" i="38"/>
  <c r="E70" i="38"/>
  <c r="E71" i="38" s="1"/>
  <c r="F70" i="38"/>
  <c r="G70" i="38"/>
  <c r="H70" i="38"/>
  <c r="H71" i="38" s="1"/>
  <c r="I70" i="38"/>
  <c r="J70" i="38"/>
  <c r="K70" i="38"/>
  <c r="K71" i="38" s="1"/>
  <c r="L70" i="38"/>
  <c r="L71" i="38" s="1"/>
  <c r="M70" i="38"/>
  <c r="N70" i="38"/>
  <c r="O70" i="38"/>
  <c r="O71" i="38" s="1"/>
  <c r="P70" i="38"/>
  <c r="P71" i="38" s="1"/>
  <c r="Q70" i="38"/>
  <c r="R70" i="38"/>
  <c r="S70" i="38"/>
  <c r="S71" i="38" s="1"/>
  <c r="T70" i="38"/>
  <c r="T71" i="38" s="1"/>
  <c r="U70" i="38"/>
  <c r="V70" i="38"/>
  <c r="W70" i="38"/>
  <c r="W71" i="38" s="1"/>
  <c r="X70" i="38"/>
  <c r="X71" i="38" s="1"/>
  <c r="Y70" i="38"/>
  <c r="Z70" i="38"/>
  <c r="AA70" i="38"/>
  <c r="AA71" i="38" s="1"/>
  <c r="AB70" i="38"/>
  <c r="AB71" i="38" s="1"/>
  <c r="D70" i="38"/>
  <c r="D69" i="38"/>
  <c r="J65" i="38"/>
  <c r="N65" i="38"/>
  <c r="T65" i="38"/>
  <c r="Y65" i="38"/>
  <c r="AD65" i="38"/>
  <c r="J66" i="38"/>
  <c r="N66" i="38"/>
  <c r="T66" i="38"/>
  <c r="Y66" i="38"/>
  <c r="AD66" i="38"/>
  <c r="D66" i="38"/>
  <c r="D65" i="38"/>
  <c r="V72" i="47" l="1"/>
  <c r="G71" i="50"/>
  <c r="S71" i="50"/>
  <c r="M71" i="50"/>
  <c r="X71" i="43"/>
  <c r="P72" i="47"/>
  <c r="J78" i="58"/>
  <c r="J74" i="58"/>
  <c r="D68" i="47"/>
  <c r="L17" i="17"/>
  <c r="K61" i="58"/>
  <c r="U71" i="50"/>
  <c r="K71" i="50"/>
  <c r="X71" i="50"/>
  <c r="H72" i="47"/>
  <c r="X72" i="45"/>
  <c r="Q72" i="45"/>
  <c r="N71" i="43"/>
  <c r="F71" i="43"/>
  <c r="U71" i="38"/>
  <c r="M71" i="38"/>
  <c r="G71" i="38"/>
  <c r="D71" i="38"/>
  <c r="V71" i="38"/>
  <c r="I72" i="47"/>
  <c r="K71" i="43"/>
  <c r="P71" i="50"/>
  <c r="J68" i="47"/>
  <c r="W72" i="45"/>
  <c r="O72" i="45"/>
  <c r="Z71" i="43"/>
  <c r="R71" i="43"/>
  <c r="J71" i="43"/>
  <c r="D71" i="50"/>
  <c r="Z71" i="50"/>
  <c r="R71" i="50"/>
  <c r="J71" i="50"/>
  <c r="AA72" i="45"/>
  <c r="S72" i="45"/>
  <c r="K72" i="45"/>
  <c r="I71" i="50"/>
  <c r="N67" i="38"/>
  <c r="N71" i="38"/>
  <c r="F71" i="38"/>
  <c r="U71" i="43"/>
  <c r="M71" i="43"/>
  <c r="Z72" i="47"/>
  <c r="R72" i="47"/>
  <c r="AC35" i="23"/>
  <c r="AC36" i="23"/>
  <c r="X35" i="23"/>
  <c r="X36" i="23"/>
  <c r="R35" i="23"/>
  <c r="R36" i="23"/>
  <c r="H35" i="23"/>
  <c r="H36" i="23"/>
  <c r="Y68" i="45"/>
  <c r="T67" i="38"/>
  <c r="AD68" i="45"/>
  <c r="E71" i="43"/>
  <c r="J72" i="47"/>
  <c r="Z71" i="38"/>
  <c r="R71" i="38"/>
  <c r="J71" i="38"/>
  <c r="T67" i="43"/>
  <c r="D71" i="43"/>
  <c r="V71" i="43"/>
  <c r="Y68" i="47"/>
  <c r="V71" i="50"/>
  <c r="N71" i="50"/>
  <c r="F71" i="50"/>
  <c r="Y71" i="38"/>
  <c r="Q71" i="38"/>
  <c r="I71" i="38"/>
  <c r="G72" i="45"/>
  <c r="E71" i="50"/>
  <c r="J67" i="43"/>
  <c r="W72" i="47"/>
  <c r="O72" i="47"/>
  <c r="G72" i="47"/>
  <c r="AA71" i="43"/>
  <c r="S71" i="43"/>
  <c r="N72" i="47"/>
  <c r="Y67" i="38"/>
  <c r="Y67" i="43"/>
  <c r="W71" i="43"/>
  <c r="G71" i="43"/>
  <c r="Y71" i="43"/>
  <c r="I71" i="43"/>
  <c r="AD67" i="38"/>
  <c r="D67" i="43"/>
  <c r="T68" i="45"/>
  <c r="V72" i="45"/>
  <c r="N72" i="45"/>
  <c r="F72" i="45"/>
  <c r="N68" i="47"/>
  <c r="J67" i="50"/>
  <c r="AA72" i="47"/>
  <c r="S72" i="47"/>
  <c r="K72" i="47"/>
  <c r="U72" i="47"/>
  <c r="M72" i="47"/>
  <c r="E72" i="47"/>
  <c r="AB71" i="50"/>
  <c r="T71" i="50"/>
  <c r="L71" i="50"/>
  <c r="AB71" i="43"/>
  <c r="T71" i="43"/>
  <c r="L71" i="43"/>
  <c r="Z72" i="45"/>
  <c r="R72" i="45"/>
  <c r="J72" i="45"/>
  <c r="AB72" i="45"/>
  <c r="T72" i="45"/>
  <c r="L72" i="45"/>
  <c r="T68" i="47"/>
  <c r="D72" i="47"/>
  <c r="AB72" i="47"/>
  <c r="T72" i="47"/>
  <c r="L72" i="47"/>
  <c r="N67" i="50"/>
  <c r="AD67" i="43"/>
  <c r="N68" i="45"/>
  <c r="AD67" i="50"/>
  <c r="O71" i="43"/>
  <c r="Q71" i="43"/>
  <c r="J68" i="45"/>
  <c r="AD68" i="47"/>
  <c r="H71" i="50"/>
  <c r="Y67" i="50"/>
  <c r="T67" i="50"/>
  <c r="J67" i="38"/>
  <c r="D67" i="50"/>
  <c r="D68" i="45"/>
  <c r="D67" i="38"/>
  <c r="D72" i="45"/>
  <c r="U20" i="45"/>
  <c r="V20" i="45" s="1"/>
  <c r="W20" i="45" s="1"/>
  <c r="X20" i="45" s="1"/>
  <c r="U21" i="45"/>
  <c r="V21" i="45" s="1"/>
  <c r="W21" i="45" s="1"/>
  <c r="X21" i="45" s="1"/>
  <c r="U22" i="45"/>
  <c r="V22" i="45" s="1"/>
  <c r="W22" i="45" s="1"/>
  <c r="X22" i="45" s="1"/>
  <c r="U23" i="45"/>
  <c r="V23" i="45" s="1"/>
  <c r="W23" i="45" s="1"/>
  <c r="X23" i="45" s="1"/>
  <c r="U19" i="45"/>
  <c r="V19" i="45" s="1"/>
  <c r="W19" i="45" s="1"/>
  <c r="X19" i="45" s="1"/>
  <c r="P20" i="45"/>
  <c r="Q20" i="45" s="1"/>
  <c r="R20" i="45" s="1"/>
  <c r="S20" i="45" s="1"/>
  <c r="P21" i="45"/>
  <c r="Q21" i="45" s="1"/>
  <c r="R21" i="45" s="1"/>
  <c r="S21" i="45" s="1"/>
  <c r="P22" i="45"/>
  <c r="Q22" i="45" s="1"/>
  <c r="R22" i="45" s="1"/>
  <c r="S22" i="45" s="1"/>
  <c r="P23" i="45"/>
  <c r="Q23" i="45" s="1"/>
  <c r="R23" i="45" s="1"/>
  <c r="S23" i="45" s="1"/>
  <c r="P19" i="45"/>
  <c r="Q19" i="45" s="1"/>
  <c r="R19" i="45" s="1"/>
  <c r="S19" i="45" s="1"/>
  <c r="K78" i="58" l="1"/>
  <c r="K74" i="58"/>
  <c r="M17" i="17"/>
  <c r="L61" i="58"/>
  <c r="S36" i="23"/>
  <c r="S35" i="23"/>
  <c r="I36" i="23"/>
  <c r="I35" i="23"/>
  <c r="Z35" i="43"/>
  <c r="AA35" i="43" s="1"/>
  <c r="AB35" i="43" s="1"/>
  <c r="AC35" i="43" s="1"/>
  <c r="Z34" i="43"/>
  <c r="AA34" i="43" s="1"/>
  <c r="AB34" i="43" s="1"/>
  <c r="AC34" i="43" s="1"/>
  <c r="U35" i="43"/>
  <c r="V35" i="43" s="1"/>
  <c r="W35" i="43" s="1"/>
  <c r="X35" i="43" s="1"/>
  <c r="U34" i="43"/>
  <c r="V34" i="43" s="1"/>
  <c r="W34" i="43" s="1"/>
  <c r="X34" i="43" s="1"/>
  <c r="P35" i="43"/>
  <c r="Q35" i="43" s="1"/>
  <c r="R35" i="43" s="1"/>
  <c r="S35" i="43" s="1"/>
  <c r="P34" i="43"/>
  <c r="Q34" i="43" s="1"/>
  <c r="R34" i="43" s="1"/>
  <c r="S34" i="43" s="1"/>
  <c r="K35" i="43"/>
  <c r="L35" i="43" s="1"/>
  <c r="M35" i="43" s="1"/>
  <c r="N35" i="43" s="1"/>
  <c r="N66" i="43" s="1"/>
  <c r="K34" i="43"/>
  <c r="L34" i="43" s="1"/>
  <c r="M34" i="43" s="1"/>
  <c r="N34" i="43" s="1"/>
  <c r="N65" i="43" s="1"/>
  <c r="K20" i="43"/>
  <c r="K21" i="43"/>
  <c r="K22" i="43"/>
  <c r="K23" i="43"/>
  <c r="K19" i="43"/>
  <c r="L78" i="58" l="1"/>
  <c r="L74" i="58"/>
  <c r="N17" i="17"/>
  <c r="M61" i="58"/>
  <c r="N67" i="43"/>
  <c r="L23" i="43"/>
  <c r="M23" i="43" s="1"/>
  <c r="N23" i="43" s="1"/>
  <c r="L22" i="43"/>
  <c r="M22" i="43" s="1"/>
  <c r="N22" i="43" s="1"/>
  <c r="L21" i="43"/>
  <c r="M21" i="43" s="1"/>
  <c r="N21" i="43" s="1"/>
  <c r="L20" i="43"/>
  <c r="M20" i="43" s="1"/>
  <c r="N20" i="43" s="1"/>
  <c r="L19" i="43"/>
  <c r="M19" i="43" s="1"/>
  <c r="N19" i="43" s="1"/>
  <c r="M78" i="58" l="1"/>
  <c r="M74" i="58"/>
  <c r="O17" i="17"/>
  <c r="N61" i="58"/>
  <c r="Z35" i="38"/>
  <c r="AA35" i="38" s="1"/>
  <c r="AB35" i="38" s="1"/>
  <c r="AC35" i="38" s="1"/>
  <c r="Z34" i="38"/>
  <c r="AA34" i="38" s="1"/>
  <c r="AB34" i="38" s="1"/>
  <c r="AC34" i="38" s="1"/>
  <c r="U35" i="38"/>
  <c r="V35" i="38" s="1"/>
  <c r="W35" i="38" s="1"/>
  <c r="X35" i="38" s="1"/>
  <c r="U34" i="38"/>
  <c r="V34" i="38" s="1"/>
  <c r="W34" i="38" s="1"/>
  <c r="X34" i="38" s="1"/>
  <c r="O35" i="38"/>
  <c r="P35" i="38" s="1"/>
  <c r="Q35" i="38" s="1"/>
  <c r="R35" i="38" s="1"/>
  <c r="S35" i="38" s="1"/>
  <c r="O34" i="38"/>
  <c r="P34" i="38" s="1"/>
  <c r="Q34" i="38" s="1"/>
  <c r="R34" i="38" s="1"/>
  <c r="S34" i="38" s="1"/>
  <c r="K35" i="38"/>
  <c r="L35" i="38" s="1"/>
  <c r="M35" i="38" s="1"/>
  <c r="K34" i="38"/>
  <c r="L34" i="38" s="1"/>
  <c r="M34" i="38" s="1"/>
  <c r="E35" i="38"/>
  <c r="F35" i="38" s="1"/>
  <c r="G35" i="38" s="1"/>
  <c r="H35" i="38" s="1"/>
  <c r="I35" i="38" s="1"/>
  <c r="E34" i="38"/>
  <c r="F34" i="38" s="1"/>
  <c r="G34" i="38" s="1"/>
  <c r="H34" i="38" s="1"/>
  <c r="I34" i="38" s="1"/>
  <c r="B50" i="58" l="1"/>
  <c r="N78" i="58"/>
  <c r="N74" i="58"/>
  <c r="P17" i="17"/>
  <c r="O61" i="58"/>
  <c r="E69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W69" i="15"/>
  <c r="X69" i="15"/>
  <c r="Y69" i="15"/>
  <c r="Z69" i="15"/>
  <c r="AA69" i="15"/>
  <c r="AB69" i="15"/>
  <c r="E70" i="15"/>
  <c r="F70" i="15"/>
  <c r="G70" i="15"/>
  <c r="H70" i="15"/>
  <c r="I70" i="15"/>
  <c r="I71" i="15" s="1"/>
  <c r="J70" i="15"/>
  <c r="J71" i="15" s="1"/>
  <c r="K70" i="15"/>
  <c r="L70" i="15"/>
  <c r="M70" i="15"/>
  <c r="N70" i="15"/>
  <c r="O70" i="15"/>
  <c r="O71" i="15" s="1"/>
  <c r="P70" i="15"/>
  <c r="Q70" i="15"/>
  <c r="Q71" i="15" s="1"/>
  <c r="R70" i="15"/>
  <c r="R71" i="15" s="1"/>
  <c r="S70" i="15"/>
  <c r="T70" i="15"/>
  <c r="U70" i="15"/>
  <c r="V70" i="15"/>
  <c r="V71" i="15" s="1"/>
  <c r="W70" i="15"/>
  <c r="X70" i="15"/>
  <c r="Y70" i="15"/>
  <c r="Y71" i="15" s="1"/>
  <c r="Z70" i="15"/>
  <c r="Z71" i="15" s="1"/>
  <c r="AA70" i="15"/>
  <c r="AB70" i="15"/>
  <c r="D70" i="15"/>
  <c r="D69" i="15"/>
  <c r="J65" i="15"/>
  <c r="T65" i="15"/>
  <c r="Y65" i="15"/>
  <c r="AD65" i="15"/>
  <c r="J66" i="15"/>
  <c r="T66" i="15"/>
  <c r="Y66" i="15"/>
  <c r="AD66" i="15"/>
  <c r="D66" i="15"/>
  <c r="D65" i="15"/>
  <c r="AO182" i="18" l="1"/>
  <c r="F71" i="15"/>
  <c r="W71" i="15"/>
  <c r="O78" i="58"/>
  <c r="O74" i="58"/>
  <c r="Q17" i="17"/>
  <c r="P61" i="58"/>
  <c r="N71" i="15"/>
  <c r="AB71" i="15"/>
  <c r="T71" i="15"/>
  <c r="L71" i="15"/>
  <c r="D67" i="15"/>
  <c r="AA71" i="15"/>
  <c r="S71" i="15"/>
  <c r="K71" i="15"/>
  <c r="D71" i="15"/>
  <c r="X71" i="15"/>
  <c r="P71" i="15"/>
  <c r="H71" i="15"/>
  <c r="G71" i="15"/>
  <c r="Y67" i="15"/>
  <c r="J67" i="15"/>
  <c r="T67" i="15"/>
  <c r="U71" i="15"/>
  <c r="M71" i="15"/>
  <c r="E71" i="15"/>
  <c r="AD67" i="15"/>
  <c r="Z35" i="15"/>
  <c r="AA35" i="15" s="1"/>
  <c r="AB35" i="15" s="1"/>
  <c r="AC35" i="15" s="1"/>
  <c r="Z34" i="15"/>
  <c r="AA34" i="15" s="1"/>
  <c r="AB34" i="15" s="1"/>
  <c r="AC34" i="15" s="1"/>
  <c r="U35" i="15"/>
  <c r="V35" i="15" s="1"/>
  <c r="W35" i="15" s="1"/>
  <c r="X35" i="15" s="1"/>
  <c r="U34" i="15"/>
  <c r="V34" i="15" s="1"/>
  <c r="W34" i="15" s="1"/>
  <c r="X34" i="15" s="1"/>
  <c r="P35" i="15"/>
  <c r="Q35" i="15" s="1"/>
  <c r="R35" i="15" s="1"/>
  <c r="S35" i="15" s="1"/>
  <c r="P34" i="15"/>
  <c r="Q34" i="15" s="1"/>
  <c r="R34" i="15" s="1"/>
  <c r="S34" i="15" s="1"/>
  <c r="K35" i="15"/>
  <c r="L35" i="15" s="1"/>
  <c r="M35" i="15" s="1"/>
  <c r="N35" i="15" s="1"/>
  <c r="N66" i="15" s="1"/>
  <c r="K34" i="15"/>
  <c r="L34" i="15" s="1"/>
  <c r="M34" i="15" s="1"/>
  <c r="N34" i="15" s="1"/>
  <c r="N65" i="15" s="1"/>
  <c r="P78" i="58" l="1"/>
  <c r="P74" i="58"/>
  <c r="R17" i="17"/>
  <c r="Q61" i="58"/>
  <c r="N67" i="15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E70" i="13"/>
  <c r="F70" i="13"/>
  <c r="G70" i="13"/>
  <c r="H70" i="13"/>
  <c r="H71" i="13" s="1"/>
  <c r="I70" i="13"/>
  <c r="I71" i="13" s="1"/>
  <c r="J70" i="13"/>
  <c r="K70" i="13"/>
  <c r="L70" i="13"/>
  <c r="M70" i="13"/>
  <c r="M71" i="13" s="1"/>
  <c r="N70" i="13"/>
  <c r="O70" i="13"/>
  <c r="P70" i="13"/>
  <c r="Q70" i="13"/>
  <c r="Q71" i="13" s="1"/>
  <c r="R70" i="13"/>
  <c r="S70" i="13"/>
  <c r="T70" i="13"/>
  <c r="U70" i="13"/>
  <c r="V70" i="13"/>
  <c r="W70" i="13"/>
  <c r="X70" i="13"/>
  <c r="X71" i="13" s="1"/>
  <c r="Y70" i="13"/>
  <c r="Y71" i="13" s="1"/>
  <c r="Z70" i="13"/>
  <c r="AA70" i="13"/>
  <c r="AB70" i="13"/>
  <c r="D70" i="13"/>
  <c r="D69" i="13"/>
  <c r="J65" i="13"/>
  <c r="N65" i="13"/>
  <c r="T65" i="13"/>
  <c r="Y65" i="13"/>
  <c r="AD65" i="13"/>
  <c r="J66" i="13"/>
  <c r="N66" i="13"/>
  <c r="T66" i="13"/>
  <c r="Y66" i="13"/>
  <c r="AD66" i="13"/>
  <c r="D66" i="13"/>
  <c r="D65" i="13"/>
  <c r="E71" i="13" l="1"/>
  <c r="Q78" i="58"/>
  <c r="Q74" i="58"/>
  <c r="S17" i="17"/>
  <c r="R61" i="58"/>
  <c r="P71" i="13"/>
  <c r="G71" i="13"/>
  <c r="O71" i="13"/>
  <c r="R71" i="13"/>
  <c r="J71" i="13"/>
  <c r="Z71" i="13"/>
  <c r="W71" i="13"/>
  <c r="T67" i="13"/>
  <c r="N67" i="13"/>
  <c r="AD67" i="13"/>
  <c r="F71" i="13"/>
  <c r="Y67" i="13"/>
  <c r="U71" i="13"/>
  <c r="AB71" i="13"/>
  <c r="T71" i="13"/>
  <c r="L71" i="13"/>
  <c r="AA71" i="13"/>
  <c r="S71" i="13"/>
  <c r="K71" i="13"/>
  <c r="V71" i="13"/>
  <c r="N71" i="13"/>
  <c r="J67" i="13"/>
  <c r="D67" i="13"/>
  <c r="B49" i="50" l="1"/>
  <c r="R78" i="58"/>
  <c r="R74" i="58"/>
  <c r="T17" i="17"/>
  <c r="S61" i="58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E71" i="12"/>
  <c r="F71" i="12"/>
  <c r="G71" i="12"/>
  <c r="H71" i="12"/>
  <c r="I71" i="12"/>
  <c r="I72" i="12" s="1"/>
  <c r="J71" i="12"/>
  <c r="K71" i="12"/>
  <c r="L71" i="12"/>
  <c r="M71" i="12"/>
  <c r="M72" i="12" s="1"/>
  <c r="N71" i="12"/>
  <c r="O71" i="12"/>
  <c r="P71" i="12"/>
  <c r="Q71" i="12"/>
  <c r="Q72" i="12" s="1"/>
  <c r="R71" i="12"/>
  <c r="S71" i="12"/>
  <c r="T71" i="12"/>
  <c r="U71" i="12"/>
  <c r="V71" i="12"/>
  <c r="W71" i="12"/>
  <c r="X71" i="12"/>
  <c r="Y71" i="12"/>
  <c r="Z71" i="12"/>
  <c r="AA71" i="12"/>
  <c r="AB71" i="12"/>
  <c r="D71" i="12"/>
  <c r="D70" i="12"/>
  <c r="J66" i="12"/>
  <c r="T66" i="12"/>
  <c r="Y66" i="12"/>
  <c r="AD66" i="12"/>
  <c r="J67" i="12"/>
  <c r="T67" i="12"/>
  <c r="Y67" i="12"/>
  <c r="AD67" i="12"/>
  <c r="D67" i="12"/>
  <c r="D66" i="12"/>
  <c r="O12" i="60" l="1"/>
  <c r="O28" i="18"/>
  <c r="AN182" i="18" s="1"/>
  <c r="U72" i="12"/>
  <c r="E72" i="12"/>
  <c r="S78" i="58"/>
  <c r="S74" i="58"/>
  <c r="U17" i="17"/>
  <c r="T61" i="58"/>
  <c r="S72" i="12"/>
  <c r="K72" i="12"/>
  <c r="D72" i="12"/>
  <c r="AA72" i="12"/>
  <c r="Y72" i="12"/>
  <c r="J72" i="12"/>
  <c r="X72" i="12"/>
  <c r="P72" i="12"/>
  <c r="H72" i="12"/>
  <c r="R72" i="12"/>
  <c r="AB72" i="12"/>
  <c r="T72" i="12"/>
  <c r="L72" i="12"/>
  <c r="Z72" i="12"/>
  <c r="W72" i="12"/>
  <c r="O72" i="12"/>
  <c r="G72" i="12"/>
  <c r="V72" i="12"/>
  <c r="F72" i="12"/>
  <c r="N72" i="12"/>
  <c r="Z36" i="12"/>
  <c r="AA36" i="12" s="1"/>
  <c r="AB36" i="12" s="1"/>
  <c r="AC36" i="12" s="1"/>
  <c r="Z35" i="12"/>
  <c r="AA35" i="12" s="1"/>
  <c r="AB35" i="12" s="1"/>
  <c r="AC35" i="12" s="1"/>
  <c r="U36" i="12"/>
  <c r="V36" i="12" s="1"/>
  <c r="W36" i="12" s="1"/>
  <c r="X36" i="12" s="1"/>
  <c r="U35" i="12"/>
  <c r="V35" i="12" s="1"/>
  <c r="W35" i="12" s="1"/>
  <c r="X35" i="12" s="1"/>
  <c r="P36" i="12"/>
  <c r="Q36" i="12" s="1"/>
  <c r="R36" i="12" s="1"/>
  <c r="S36" i="12" s="1"/>
  <c r="P35" i="12"/>
  <c r="Q35" i="12" s="1"/>
  <c r="R35" i="12" s="1"/>
  <c r="S35" i="12" s="1"/>
  <c r="K36" i="12"/>
  <c r="L36" i="12" s="1"/>
  <c r="M36" i="12" s="1"/>
  <c r="N36" i="12" s="1"/>
  <c r="N67" i="12" s="1"/>
  <c r="K35" i="12"/>
  <c r="L35" i="12" s="1"/>
  <c r="M35" i="12" s="1"/>
  <c r="N35" i="12" s="1"/>
  <c r="N66" i="12" s="1"/>
  <c r="E36" i="12"/>
  <c r="F36" i="12" s="1"/>
  <c r="G36" i="12" s="1"/>
  <c r="H36" i="12" s="1"/>
  <c r="I36" i="12" s="1"/>
  <c r="E35" i="12"/>
  <c r="F35" i="12" s="1"/>
  <c r="G35" i="12" s="1"/>
  <c r="H35" i="12" s="1"/>
  <c r="I35" i="12" s="1"/>
  <c r="T78" i="58" l="1"/>
  <c r="T74" i="58"/>
  <c r="V17" i="17"/>
  <c r="U61" i="58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X69" i="11"/>
  <c r="Y69" i="11"/>
  <c r="Z69" i="11"/>
  <c r="AA69" i="11"/>
  <c r="AB69" i="11"/>
  <c r="E70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W70" i="11"/>
  <c r="X70" i="11"/>
  <c r="Y70" i="11"/>
  <c r="Z70" i="11"/>
  <c r="AA70" i="11"/>
  <c r="AB70" i="11"/>
  <c r="D70" i="11"/>
  <c r="J65" i="11"/>
  <c r="N65" i="11"/>
  <c r="T65" i="11"/>
  <c r="Y65" i="11"/>
  <c r="AD65" i="11"/>
  <c r="J66" i="11"/>
  <c r="N66" i="11"/>
  <c r="T66" i="11"/>
  <c r="Y66" i="11"/>
  <c r="AD66" i="11"/>
  <c r="D66" i="11"/>
  <c r="D65" i="11"/>
  <c r="D69" i="11"/>
  <c r="U78" i="58" l="1"/>
  <c r="U74" i="58"/>
  <c r="W17" i="17"/>
  <c r="V61" i="58"/>
  <c r="V27" i="11"/>
  <c r="V28" i="11"/>
  <c r="V29" i="11"/>
  <c r="V30" i="11"/>
  <c r="W30" i="11" s="1"/>
  <c r="X30" i="11" s="1"/>
  <c r="V31" i="11"/>
  <c r="W31" i="11" s="1"/>
  <c r="X31" i="11" s="1"/>
  <c r="X17" i="17" l="1"/>
  <c r="W61" i="58"/>
  <c r="V78" i="58"/>
  <c r="V74" i="58"/>
  <c r="W29" i="11"/>
  <c r="X29" i="11" s="1"/>
  <c r="W28" i="11"/>
  <c r="X28" i="11" s="1"/>
  <c r="W27" i="11"/>
  <c r="X27" i="11" s="1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70" i="10"/>
  <c r="X70" i="10"/>
  <c r="Y70" i="10"/>
  <c r="Z70" i="10"/>
  <c r="AA70" i="10"/>
  <c r="AB70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D66" i="10"/>
  <c r="J66" i="10"/>
  <c r="N66" i="10"/>
  <c r="T66" i="10"/>
  <c r="Y66" i="10"/>
  <c r="AD66" i="10"/>
  <c r="J65" i="10"/>
  <c r="N65" i="10"/>
  <c r="T65" i="10"/>
  <c r="Y65" i="10"/>
  <c r="AD65" i="10"/>
  <c r="D65" i="10"/>
  <c r="W78" i="58" l="1"/>
  <c r="W74" i="58"/>
  <c r="Y17" i="17"/>
  <c r="X61" i="58"/>
  <c r="E71" i="10"/>
  <c r="D71" i="10"/>
  <c r="Z35" i="10"/>
  <c r="Z34" i="10"/>
  <c r="U35" i="10"/>
  <c r="U34" i="10"/>
  <c r="Z17" i="17" l="1"/>
  <c r="Y61" i="58"/>
  <c r="X78" i="58"/>
  <c r="X74" i="58"/>
  <c r="V35" i="10"/>
  <c r="AA34" i="10"/>
  <c r="V34" i="10"/>
  <c r="AA35" i="10"/>
  <c r="Y78" i="58" l="1"/>
  <c r="Y74" i="58"/>
  <c r="AA17" i="17"/>
  <c r="Z61" i="58"/>
  <c r="W35" i="10"/>
  <c r="W34" i="10"/>
  <c r="AB35" i="10"/>
  <c r="AB34" i="10"/>
  <c r="C41" i="17"/>
  <c r="C40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R81" i="61" l="1"/>
  <c r="R83" i="61" s="1"/>
  <c r="R84" i="61" s="1"/>
  <c r="R81" i="43"/>
  <c r="R81" i="11"/>
  <c r="R81" i="38"/>
  <c r="R81" i="10"/>
  <c r="R82" i="23"/>
  <c r="R81" i="15"/>
  <c r="R82" i="58"/>
  <c r="R81" i="50"/>
  <c r="R82" i="12"/>
  <c r="R82" i="45"/>
  <c r="R82" i="47"/>
  <c r="R81" i="13"/>
  <c r="H81" i="61"/>
  <c r="H83" i="61" s="1"/>
  <c r="H84" i="61" s="1"/>
  <c r="H82" i="47"/>
  <c r="H82" i="45"/>
  <c r="H82" i="12"/>
  <c r="H81" i="43"/>
  <c r="H81" i="38"/>
  <c r="H82" i="23"/>
  <c r="H81" i="13"/>
  <c r="H81" i="15"/>
  <c r="H81" i="10"/>
  <c r="H82" i="58"/>
  <c r="H81" i="11"/>
  <c r="H81" i="50"/>
  <c r="Z81" i="61"/>
  <c r="Z83" i="61" s="1"/>
  <c r="Z84" i="61" s="1"/>
  <c r="Z81" i="43"/>
  <c r="Z81" i="11"/>
  <c r="Z81" i="38"/>
  <c r="Z81" i="10"/>
  <c r="Z82" i="23"/>
  <c r="Z81" i="15"/>
  <c r="Z82" i="58"/>
  <c r="Z82" i="45"/>
  <c r="Z81" i="50"/>
  <c r="Z82" i="12"/>
  <c r="Z82" i="47"/>
  <c r="Z81" i="13"/>
  <c r="Q81" i="61"/>
  <c r="Q83" i="61" s="1"/>
  <c r="Q84" i="61" s="1"/>
  <c r="Q82" i="45"/>
  <c r="Q81" i="10"/>
  <c r="Q81" i="43"/>
  <c r="Q82" i="47"/>
  <c r="Q81" i="38"/>
  <c r="Q82" i="23"/>
  <c r="Q81" i="15"/>
  <c r="Q81" i="11"/>
  <c r="Q82" i="58"/>
  <c r="Q81" i="13"/>
  <c r="Q81" i="50"/>
  <c r="Q82" i="12"/>
  <c r="P81" i="61"/>
  <c r="P83" i="61" s="1"/>
  <c r="P84" i="61" s="1"/>
  <c r="P82" i="47"/>
  <c r="P82" i="45"/>
  <c r="P81" i="50"/>
  <c r="P81" i="43"/>
  <c r="P81" i="38"/>
  <c r="P82" i="23"/>
  <c r="P81" i="13"/>
  <c r="P81" i="15"/>
  <c r="P82" i="12"/>
  <c r="P82" i="58"/>
  <c r="P81" i="11"/>
  <c r="P81" i="10"/>
  <c r="W81" i="61"/>
  <c r="W83" i="61" s="1"/>
  <c r="W84" i="61" s="1"/>
  <c r="W81" i="50"/>
  <c r="W82" i="12"/>
  <c r="W82" i="47"/>
  <c r="W82" i="45"/>
  <c r="W81" i="43"/>
  <c r="W81" i="13"/>
  <c r="W81" i="38"/>
  <c r="W82" i="58"/>
  <c r="W82" i="23"/>
  <c r="W81" i="11"/>
  <c r="W81" i="15"/>
  <c r="W81" i="10"/>
  <c r="O81" i="61"/>
  <c r="O83" i="61" s="1"/>
  <c r="O84" i="61" s="1"/>
  <c r="O81" i="50"/>
  <c r="O82" i="12"/>
  <c r="O82" i="47"/>
  <c r="O82" i="58"/>
  <c r="O82" i="45"/>
  <c r="O81" i="43"/>
  <c r="O81" i="13"/>
  <c r="O81" i="38"/>
  <c r="O82" i="23"/>
  <c r="O81" i="11"/>
  <c r="O81" i="15"/>
  <c r="O81" i="10"/>
  <c r="G81" i="61"/>
  <c r="G83" i="61" s="1"/>
  <c r="G84" i="61" s="1"/>
  <c r="G81" i="50"/>
  <c r="G82" i="12"/>
  <c r="G82" i="47"/>
  <c r="G82" i="45"/>
  <c r="G81" i="43"/>
  <c r="G81" i="13"/>
  <c r="G81" i="38"/>
  <c r="G82" i="23"/>
  <c r="G81" i="11"/>
  <c r="G81" i="15"/>
  <c r="G81" i="10"/>
  <c r="G82" i="58"/>
  <c r="Y81" i="61"/>
  <c r="Y83" i="61" s="1"/>
  <c r="Y84" i="61" s="1"/>
  <c r="Y82" i="45"/>
  <c r="Y81" i="10"/>
  <c r="Y81" i="43"/>
  <c r="Y81" i="11"/>
  <c r="Y81" i="38"/>
  <c r="Y82" i="23"/>
  <c r="Y81" i="15"/>
  <c r="Y82" i="58"/>
  <c r="Y81" i="13"/>
  <c r="Y82" i="47"/>
  <c r="Y81" i="50"/>
  <c r="Y82" i="12"/>
  <c r="X81" i="61"/>
  <c r="X83" i="61" s="1"/>
  <c r="X84" i="61" s="1"/>
  <c r="X82" i="47"/>
  <c r="X82" i="45"/>
  <c r="X81" i="43"/>
  <c r="X81" i="38"/>
  <c r="X82" i="23"/>
  <c r="X81" i="13"/>
  <c r="X81" i="15"/>
  <c r="X81" i="50"/>
  <c r="X82" i="58"/>
  <c r="X81" i="11"/>
  <c r="X82" i="12"/>
  <c r="X81" i="10"/>
  <c r="V81" i="61"/>
  <c r="V83" i="61" s="1"/>
  <c r="V84" i="61" s="1"/>
  <c r="V82" i="58"/>
  <c r="V81" i="50"/>
  <c r="V82" i="12"/>
  <c r="V82" i="47"/>
  <c r="V81" i="13"/>
  <c r="V82" i="45"/>
  <c r="V81" i="43"/>
  <c r="V81" i="11"/>
  <c r="V81" i="38"/>
  <c r="V81" i="10"/>
  <c r="V82" i="23"/>
  <c r="V81" i="15"/>
  <c r="N81" i="61"/>
  <c r="N83" i="61" s="1"/>
  <c r="N84" i="61" s="1"/>
  <c r="N82" i="58"/>
  <c r="N81" i="50"/>
  <c r="N82" i="12"/>
  <c r="N81" i="15"/>
  <c r="N82" i="47"/>
  <c r="N81" i="13"/>
  <c r="N82" i="45"/>
  <c r="N81" i="43"/>
  <c r="N81" i="11"/>
  <c r="N81" i="38"/>
  <c r="N81" i="10"/>
  <c r="N82" i="23"/>
  <c r="F81" i="61"/>
  <c r="F83" i="61" s="1"/>
  <c r="F84" i="61" s="1"/>
  <c r="F82" i="58"/>
  <c r="F81" i="50"/>
  <c r="F82" i="12"/>
  <c r="F82" i="47"/>
  <c r="F81" i="13"/>
  <c r="F82" i="45"/>
  <c r="F81" i="43"/>
  <c r="F81" i="11"/>
  <c r="F81" i="38"/>
  <c r="F81" i="10"/>
  <c r="F82" i="23"/>
  <c r="F81" i="15"/>
  <c r="J81" i="61"/>
  <c r="J83" i="61" s="1"/>
  <c r="J84" i="61" s="1"/>
  <c r="J81" i="43"/>
  <c r="J81" i="11"/>
  <c r="J81" i="38"/>
  <c r="J81" i="10"/>
  <c r="J82" i="45"/>
  <c r="J82" i="23"/>
  <c r="J81" i="15"/>
  <c r="J82" i="58"/>
  <c r="J81" i="50"/>
  <c r="J82" i="12"/>
  <c r="J82" i="47"/>
  <c r="J81" i="13"/>
  <c r="I81" i="61"/>
  <c r="I83" i="61" s="1"/>
  <c r="I84" i="61" s="1"/>
  <c r="I82" i="45"/>
  <c r="I81" i="10"/>
  <c r="I81" i="43"/>
  <c r="I81" i="38"/>
  <c r="I82" i="23"/>
  <c r="I81" i="15"/>
  <c r="I82" i="58"/>
  <c r="I81" i="13"/>
  <c r="I81" i="50"/>
  <c r="I82" i="12"/>
  <c r="I82" i="47"/>
  <c r="I81" i="11"/>
  <c r="AC81" i="61"/>
  <c r="AC83" i="61" s="1"/>
  <c r="AC84" i="61" s="1"/>
  <c r="AC81" i="15"/>
  <c r="AC82" i="58"/>
  <c r="AC81" i="13"/>
  <c r="AC81" i="10"/>
  <c r="AC82" i="23"/>
  <c r="AC81" i="50"/>
  <c r="AC82" i="12"/>
  <c r="AC82" i="47"/>
  <c r="AC81" i="11"/>
  <c r="AC82" i="45"/>
  <c r="AC81" i="43"/>
  <c r="AC81" i="38"/>
  <c r="U81" i="61"/>
  <c r="U83" i="61" s="1"/>
  <c r="U84" i="61" s="1"/>
  <c r="U81" i="15"/>
  <c r="U82" i="58"/>
  <c r="U81" i="13"/>
  <c r="U81" i="50"/>
  <c r="U82" i="12"/>
  <c r="U82" i="47"/>
  <c r="U81" i="11"/>
  <c r="U82" i="45"/>
  <c r="U81" i="10"/>
  <c r="U81" i="43"/>
  <c r="U81" i="38"/>
  <c r="U82" i="23"/>
  <c r="M81" i="61"/>
  <c r="M83" i="61" s="1"/>
  <c r="M84" i="61" s="1"/>
  <c r="M81" i="15"/>
  <c r="M82" i="58"/>
  <c r="M81" i="13"/>
  <c r="M81" i="50"/>
  <c r="M82" i="12"/>
  <c r="M82" i="47"/>
  <c r="M81" i="11"/>
  <c r="M82" i="45"/>
  <c r="M81" i="10"/>
  <c r="M81" i="43"/>
  <c r="M82" i="23"/>
  <c r="M81" i="38"/>
  <c r="E81" i="61"/>
  <c r="E81" i="15"/>
  <c r="E82" i="58"/>
  <c r="E81" i="13"/>
  <c r="E81" i="50"/>
  <c r="E82" i="12"/>
  <c r="E82" i="47"/>
  <c r="E81" i="11"/>
  <c r="E82" i="45"/>
  <c r="E81" i="10"/>
  <c r="E82" i="23"/>
  <c r="E81" i="43"/>
  <c r="E81" i="38"/>
  <c r="AB81" i="61"/>
  <c r="AB83" i="61" s="1"/>
  <c r="AB84" i="61" s="1"/>
  <c r="AB82" i="23"/>
  <c r="AB81" i="13"/>
  <c r="AB81" i="15"/>
  <c r="AB82" i="58"/>
  <c r="AB81" i="11"/>
  <c r="AB81" i="50"/>
  <c r="AB82" i="12"/>
  <c r="AB81" i="10"/>
  <c r="AB82" i="47"/>
  <c r="AB82" i="45"/>
  <c r="AB81" i="43"/>
  <c r="AB81" i="38"/>
  <c r="T81" i="61"/>
  <c r="T83" i="61" s="1"/>
  <c r="T84" i="61" s="1"/>
  <c r="T82" i="23"/>
  <c r="T81" i="13"/>
  <c r="T81" i="15"/>
  <c r="T82" i="58"/>
  <c r="T81" i="11"/>
  <c r="T81" i="50"/>
  <c r="T82" i="12"/>
  <c r="T81" i="10"/>
  <c r="T82" i="47"/>
  <c r="T81" i="38"/>
  <c r="T82" i="45"/>
  <c r="T81" i="43"/>
  <c r="L81" i="61"/>
  <c r="L83" i="61" s="1"/>
  <c r="L84" i="61" s="1"/>
  <c r="L82" i="23"/>
  <c r="L81" i="13"/>
  <c r="L81" i="15"/>
  <c r="L82" i="58"/>
  <c r="L81" i="11"/>
  <c r="L81" i="50"/>
  <c r="L82" i="12"/>
  <c r="L81" i="10"/>
  <c r="L82" i="47"/>
  <c r="L82" i="45"/>
  <c r="L81" i="38"/>
  <c r="L81" i="43"/>
  <c r="AA81" i="61"/>
  <c r="AA83" i="61" s="1"/>
  <c r="AA84" i="61" s="1"/>
  <c r="AA81" i="38"/>
  <c r="AA82" i="23"/>
  <c r="AA81" i="11"/>
  <c r="AA81" i="15"/>
  <c r="AA81" i="10"/>
  <c r="AA82" i="58"/>
  <c r="AA81" i="50"/>
  <c r="AA82" i="12"/>
  <c r="AA81" i="13"/>
  <c r="AA82" i="47"/>
  <c r="AA82" i="45"/>
  <c r="AA81" i="43"/>
  <c r="S81" i="61"/>
  <c r="S83" i="61" s="1"/>
  <c r="S84" i="61" s="1"/>
  <c r="S81" i="38"/>
  <c r="S82" i="23"/>
  <c r="S81" i="11"/>
  <c r="S81" i="13"/>
  <c r="S81" i="15"/>
  <c r="S81" i="10"/>
  <c r="S82" i="58"/>
  <c r="S81" i="50"/>
  <c r="S82" i="12"/>
  <c r="S82" i="47"/>
  <c r="S81" i="43"/>
  <c r="S82" i="45"/>
  <c r="K81" i="61"/>
  <c r="K83" i="61" s="1"/>
  <c r="K84" i="61" s="1"/>
  <c r="K81" i="38"/>
  <c r="K82" i="23"/>
  <c r="K81" i="11"/>
  <c r="K81" i="43"/>
  <c r="K81" i="15"/>
  <c r="K81" i="10"/>
  <c r="K82" i="58"/>
  <c r="K81" i="50"/>
  <c r="K82" i="12"/>
  <c r="K82" i="47"/>
  <c r="K81" i="13"/>
  <c r="K82" i="45"/>
  <c r="Z78" i="58"/>
  <c r="Z74" i="58"/>
  <c r="AB17" i="17"/>
  <c r="AA61" i="58"/>
  <c r="C42" i="17"/>
  <c r="X35" i="10"/>
  <c r="AC34" i="10"/>
  <c r="AC35" i="10"/>
  <c r="X34" i="10"/>
  <c r="J26" i="17"/>
  <c r="N26" i="17"/>
  <c r="T26" i="17"/>
  <c r="Y26" i="17"/>
  <c r="AD26" i="17"/>
  <c r="Z25" i="17"/>
  <c r="Z24" i="17"/>
  <c r="U25" i="17"/>
  <c r="U24" i="17"/>
  <c r="O25" i="17"/>
  <c r="O24" i="17"/>
  <c r="K25" i="17"/>
  <c r="K66" i="23"/>
  <c r="E25" i="17"/>
  <c r="E24" i="17"/>
  <c r="D26" i="17"/>
  <c r="C81" i="61" l="1"/>
  <c r="C82" i="12"/>
  <c r="C81" i="38"/>
  <c r="I31" i="59" s="1"/>
  <c r="AL61" i="59" s="1"/>
  <c r="C81" i="50"/>
  <c r="N31" i="59" s="1"/>
  <c r="AL96" i="59" s="1"/>
  <c r="C81" i="43"/>
  <c r="K31" i="59" s="1"/>
  <c r="AL75" i="59" s="1"/>
  <c r="C81" i="13"/>
  <c r="C82" i="23"/>
  <c r="H31" i="59" s="1"/>
  <c r="AL54" i="59" s="1"/>
  <c r="C82" i="58"/>
  <c r="O31" i="59" s="1"/>
  <c r="AL103" i="59" s="1"/>
  <c r="C81" i="10"/>
  <c r="C81" i="15"/>
  <c r="G31" i="59" s="1"/>
  <c r="AL40" i="59" s="1"/>
  <c r="C82" i="45"/>
  <c r="L31" i="59" s="1"/>
  <c r="AL82" i="59" s="1"/>
  <c r="E83" i="61"/>
  <c r="E84" i="61" s="1"/>
  <c r="J31" i="59"/>
  <c r="AL68" i="59" s="1"/>
  <c r="C81" i="11"/>
  <c r="C82" i="47"/>
  <c r="M31" i="59" s="1"/>
  <c r="AL89" i="59" s="1"/>
  <c r="K67" i="23"/>
  <c r="K68" i="23" s="1"/>
  <c r="K67" i="58"/>
  <c r="K68" i="58" s="1"/>
  <c r="O67" i="23"/>
  <c r="O67" i="58"/>
  <c r="AA78" i="58"/>
  <c r="AA74" i="58"/>
  <c r="AC17" i="17"/>
  <c r="AB61" i="58"/>
  <c r="O66" i="23"/>
  <c r="O66" i="58"/>
  <c r="U66" i="23"/>
  <c r="U66" i="58"/>
  <c r="U67" i="23"/>
  <c r="U67" i="58"/>
  <c r="E66" i="23"/>
  <c r="E66" i="58"/>
  <c r="Z66" i="23"/>
  <c r="Z66" i="58"/>
  <c r="E67" i="23"/>
  <c r="E67" i="58"/>
  <c r="Z67" i="23"/>
  <c r="Z67" i="58"/>
  <c r="AA25" i="17"/>
  <c r="Z67" i="47"/>
  <c r="Z66" i="38"/>
  <c r="Z66" i="43"/>
  <c r="Z67" i="45"/>
  <c r="Z66" i="50"/>
  <c r="Z66" i="15"/>
  <c r="Z66" i="13"/>
  <c r="Z67" i="12"/>
  <c r="Z66" i="11"/>
  <c r="Z66" i="10"/>
  <c r="AA24" i="17"/>
  <c r="AA66" i="58" s="1"/>
  <c r="Z65" i="38"/>
  <c r="Z65" i="43"/>
  <c r="Z66" i="45"/>
  <c r="Z65" i="50"/>
  <c r="Z66" i="47"/>
  <c r="Z65" i="15"/>
  <c r="Z65" i="13"/>
  <c r="Z66" i="12"/>
  <c r="Z65" i="11"/>
  <c r="Z65" i="10"/>
  <c r="V25" i="17"/>
  <c r="U67" i="47"/>
  <c r="U66" i="43"/>
  <c r="U66" i="50"/>
  <c r="U66" i="38"/>
  <c r="U67" i="45"/>
  <c r="U66" i="15"/>
  <c r="U66" i="13"/>
  <c r="U67" i="12"/>
  <c r="U66" i="11"/>
  <c r="U66" i="10"/>
  <c r="V24" i="17"/>
  <c r="V66" i="58" s="1"/>
  <c r="U65" i="38"/>
  <c r="U66" i="45"/>
  <c r="U66" i="47"/>
  <c r="U65" i="43"/>
  <c r="U65" i="50"/>
  <c r="U65" i="15"/>
  <c r="U65" i="13"/>
  <c r="U66" i="12"/>
  <c r="U65" i="11"/>
  <c r="U65" i="10"/>
  <c r="O26" i="17"/>
  <c r="O66" i="47"/>
  <c r="O66" i="45"/>
  <c r="O65" i="43"/>
  <c r="O65" i="50"/>
  <c r="O65" i="38"/>
  <c r="O65" i="15"/>
  <c r="O65" i="13"/>
  <c r="O66" i="12"/>
  <c r="O65" i="11"/>
  <c r="O65" i="10"/>
  <c r="P25" i="17"/>
  <c r="O66" i="50"/>
  <c r="O66" i="38"/>
  <c r="O67" i="47"/>
  <c r="O66" i="43"/>
  <c r="O67" i="45"/>
  <c r="O66" i="15"/>
  <c r="O66" i="13"/>
  <c r="O67" i="12"/>
  <c r="O66" i="11"/>
  <c r="O66" i="10"/>
  <c r="K26" i="17"/>
  <c r="K66" i="45"/>
  <c r="K65" i="38"/>
  <c r="K65" i="50"/>
  <c r="K66" i="47"/>
  <c r="K65" i="43"/>
  <c r="K65" i="15"/>
  <c r="K65" i="13"/>
  <c r="K66" i="12"/>
  <c r="K65" i="11"/>
  <c r="K65" i="10"/>
  <c r="L25" i="17"/>
  <c r="K66" i="50"/>
  <c r="K67" i="47"/>
  <c r="K66" i="43"/>
  <c r="K66" i="38"/>
  <c r="K67" i="45"/>
  <c r="K66" i="15"/>
  <c r="K66" i="13"/>
  <c r="K67" i="12"/>
  <c r="K66" i="11"/>
  <c r="K66" i="10"/>
  <c r="E66" i="45"/>
  <c r="E65" i="38"/>
  <c r="E65" i="50"/>
  <c r="E66" i="47"/>
  <c r="E65" i="43"/>
  <c r="E65" i="15"/>
  <c r="E65" i="13"/>
  <c r="E66" i="12"/>
  <c r="E65" i="11"/>
  <c r="E65" i="10"/>
  <c r="F25" i="17"/>
  <c r="E67" i="45"/>
  <c r="E66" i="38"/>
  <c r="E66" i="43"/>
  <c r="E67" i="47"/>
  <c r="E66" i="50"/>
  <c r="E66" i="15"/>
  <c r="E66" i="13"/>
  <c r="E67" i="12"/>
  <c r="E66" i="11"/>
  <c r="E66" i="10"/>
  <c r="E26" i="17"/>
  <c r="L24" i="17"/>
  <c r="Z26" i="17"/>
  <c r="P24" i="17"/>
  <c r="F24" i="17"/>
  <c r="U26" i="17"/>
  <c r="K67" i="43" l="1"/>
  <c r="D31" i="59"/>
  <c r="AL18" i="59" s="1"/>
  <c r="F31" i="59"/>
  <c r="AL33" i="59" s="1"/>
  <c r="E31" i="59"/>
  <c r="AL26" i="59" s="1"/>
  <c r="C31" i="59"/>
  <c r="AL11" i="59" s="1"/>
  <c r="C47" i="59"/>
  <c r="O68" i="23"/>
  <c r="U68" i="23"/>
  <c r="I47" i="59"/>
  <c r="Z68" i="23"/>
  <c r="C84" i="61"/>
  <c r="C83" i="61"/>
  <c r="M47" i="59"/>
  <c r="K47" i="59"/>
  <c r="E68" i="23"/>
  <c r="Z68" i="47"/>
  <c r="E68" i="58"/>
  <c r="AB78" i="58"/>
  <c r="AB74" i="58"/>
  <c r="P66" i="23"/>
  <c r="P66" i="58"/>
  <c r="AA67" i="23"/>
  <c r="AB25" i="17"/>
  <c r="AB67" i="58" s="1"/>
  <c r="AA67" i="58"/>
  <c r="AA68" i="58" s="1"/>
  <c r="AD17" i="17"/>
  <c r="AD61" i="58" s="1"/>
  <c r="AC61" i="58"/>
  <c r="P67" i="23"/>
  <c r="P67" i="58"/>
  <c r="V67" i="23"/>
  <c r="V67" i="58"/>
  <c r="V68" i="58" s="1"/>
  <c r="L67" i="23"/>
  <c r="L67" i="58"/>
  <c r="U68" i="58"/>
  <c r="F66" i="23"/>
  <c r="F66" i="58"/>
  <c r="Z68" i="58"/>
  <c r="O68" i="58"/>
  <c r="F67" i="23"/>
  <c r="F67" i="58"/>
  <c r="K68" i="45"/>
  <c r="L66" i="23"/>
  <c r="L66" i="58"/>
  <c r="V26" i="17"/>
  <c r="V66" i="23"/>
  <c r="AB24" i="17"/>
  <c r="AB65" i="50" s="1"/>
  <c r="AA66" i="23"/>
  <c r="K67" i="15"/>
  <c r="Z68" i="45"/>
  <c r="E67" i="15"/>
  <c r="Z67" i="43"/>
  <c r="Z67" i="38"/>
  <c r="W24" i="17"/>
  <c r="W65" i="43" s="1"/>
  <c r="K67" i="38"/>
  <c r="AA26" i="17"/>
  <c r="U67" i="38"/>
  <c r="AA66" i="47"/>
  <c r="AA65" i="38"/>
  <c r="AA65" i="43"/>
  <c r="AA66" i="45"/>
  <c r="AA65" i="50"/>
  <c r="AA65" i="15"/>
  <c r="AA65" i="13"/>
  <c r="AA66" i="12"/>
  <c r="AA65" i="11"/>
  <c r="AA65" i="10"/>
  <c r="Z67" i="15"/>
  <c r="U67" i="50"/>
  <c r="U68" i="47"/>
  <c r="Z67" i="50"/>
  <c r="U68" i="45"/>
  <c r="Z67" i="13"/>
  <c r="AA66" i="50"/>
  <c r="AA67" i="47"/>
  <c r="AA66" i="38"/>
  <c r="AA66" i="43"/>
  <c r="AA67" i="45"/>
  <c r="AA66" i="15"/>
  <c r="AA66" i="13"/>
  <c r="AA67" i="12"/>
  <c r="AA66" i="11"/>
  <c r="AA66" i="10"/>
  <c r="V65" i="38"/>
  <c r="V66" i="45"/>
  <c r="V66" i="47"/>
  <c r="V65" i="43"/>
  <c r="V65" i="50"/>
  <c r="V65" i="15"/>
  <c r="V65" i="13"/>
  <c r="V66" i="12"/>
  <c r="V65" i="11"/>
  <c r="V65" i="10"/>
  <c r="O68" i="45"/>
  <c r="U67" i="15"/>
  <c r="O67" i="13"/>
  <c r="O67" i="15"/>
  <c r="U67" i="43"/>
  <c r="O67" i="43"/>
  <c r="U67" i="13"/>
  <c r="W25" i="17"/>
  <c r="V67" i="45"/>
  <c r="V67" i="47"/>
  <c r="V66" i="43"/>
  <c r="V66" i="50"/>
  <c r="V66" i="38"/>
  <c r="V66" i="15"/>
  <c r="V66" i="13"/>
  <c r="V67" i="12"/>
  <c r="V66" i="11"/>
  <c r="V66" i="10"/>
  <c r="O67" i="38"/>
  <c r="O67" i="50"/>
  <c r="Q25" i="17"/>
  <c r="P66" i="50"/>
  <c r="P66" i="38"/>
  <c r="P67" i="47"/>
  <c r="P67" i="45"/>
  <c r="P66" i="43"/>
  <c r="P66" i="15"/>
  <c r="P66" i="13"/>
  <c r="P67" i="12"/>
  <c r="P66" i="11"/>
  <c r="P66" i="10"/>
  <c r="Q24" i="17"/>
  <c r="P66" i="47"/>
  <c r="P65" i="43"/>
  <c r="P66" i="45"/>
  <c r="P65" i="50"/>
  <c r="P65" i="38"/>
  <c r="P65" i="15"/>
  <c r="P65" i="13"/>
  <c r="P66" i="12"/>
  <c r="P65" i="11"/>
  <c r="P65" i="10"/>
  <c r="O68" i="47"/>
  <c r="K68" i="47"/>
  <c r="E68" i="47"/>
  <c r="K67" i="50"/>
  <c r="M25" i="17"/>
  <c r="L66" i="38"/>
  <c r="L66" i="50"/>
  <c r="L67" i="47"/>
  <c r="L66" i="43"/>
  <c r="L67" i="45"/>
  <c r="L66" i="15"/>
  <c r="L66" i="13"/>
  <c r="L67" i="12"/>
  <c r="L66" i="11"/>
  <c r="L66" i="10"/>
  <c r="L66" i="45"/>
  <c r="L65" i="38"/>
  <c r="L65" i="43"/>
  <c r="L65" i="50"/>
  <c r="L66" i="47"/>
  <c r="L65" i="15"/>
  <c r="L65" i="13"/>
  <c r="L66" i="12"/>
  <c r="L65" i="11"/>
  <c r="L65" i="10"/>
  <c r="K67" i="13"/>
  <c r="E67" i="43"/>
  <c r="E67" i="50"/>
  <c r="E67" i="13"/>
  <c r="E67" i="38"/>
  <c r="F66" i="45"/>
  <c r="F65" i="38"/>
  <c r="F66" i="47"/>
  <c r="F65" i="50"/>
  <c r="F65" i="43"/>
  <c r="F65" i="15"/>
  <c r="F65" i="13"/>
  <c r="F66" i="12"/>
  <c r="F65" i="11"/>
  <c r="F65" i="10"/>
  <c r="G25" i="17"/>
  <c r="F66" i="43"/>
  <c r="F67" i="45"/>
  <c r="F66" i="38"/>
  <c r="F66" i="50"/>
  <c r="F67" i="47"/>
  <c r="F66" i="15"/>
  <c r="F66" i="13"/>
  <c r="F67" i="12"/>
  <c r="F66" i="11"/>
  <c r="F66" i="10"/>
  <c r="E68" i="45"/>
  <c r="P26" i="17"/>
  <c r="L26" i="17"/>
  <c r="M24" i="17"/>
  <c r="AC24" i="17"/>
  <c r="G24" i="17"/>
  <c r="F26" i="17"/>
  <c r="AA47" i="59" l="1"/>
  <c r="W47" i="59"/>
  <c r="Y47" i="59"/>
  <c r="S47" i="59"/>
  <c r="U47" i="59"/>
  <c r="E47" i="59"/>
  <c r="G47" i="59"/>
  <c r="O47" i="59"/>
  <c r="Q47" i="59"/>
  <c r="P68" i="23"/>
  <c r="F68" i="23"/>
  <c r="J32" i="59"/>
  <c r="C88" i="61"/>
  <c r="P68" i="58"/>
  <c r="X24" i="17"/>
  <c r="X66" i="23" s="1"/>
  <c r="AA68" i="23"/>
  <c r="V68" i="23"/>
  <c r="AB65" i="10"/>
  <c r="AB65" i="13"/>
  <c r="F68" i="58"/>
  <c r="AB65" i="15"/>
  <c r="Q67" i="23"/>
  <c r="Q67" i="58"/>
  <c r="W65" i="13"/>
  <c r="G66" i="23"/>
  <c r="G66" i="58"/>
  <c r="W65" i="15"/>
  <c r="L68" i="23"/>
  <c r="M67" i="23"/>
  <c r="M67" i="58"/>
  <c r="G67" i="23"/>
  <c r="G67" i="58"/>
  <c r="AC66" i="23"/>
  <c r="AC66" i="58"/>
  <c r="Q66" i="23"/>
  <c r="Q66" i="58"/>
  <c r="W67" i="23"/>
  <c r="W67" i="58"/>
  <c r="AB67" i="23"/>
  <c r="AB66" i="23"/>
  <c r="AB26" i="17"/>
  <c r="AB66" i="58"/>
  <c r="AB68" i="58" s="1"/>
  <c r="AC78" i="58"/>
  <c r="AC74" i="58"/>
  <c r="W66" i="23"/>
  <c r="W66" i="58"/>
  <c r="W68" i="58" s="1"/>
  <c r="AD78" i="58"/>
  <c r="AD74" i="58"/>
  <c r="W66" i="12"/>
  <c r="AB66" i="12"/>
  <c r="L68" i="58"/>
  <c r="M66" i="23"/>
  <c r="M66" i="58"/>
  <c r="W66" i="47"/>
  <c r="W65" i="10"/>
  <c r="W65" i="50"/>
  <c r="AB66" i="45"/>
  <c r="AB65" i="43"/>
  <c r="F67" i="43"/>
  <c r="W66" i="45"/>
  <c r="AB65" i="38"/>
  <c r="W65" i="11"/>
  <c r="W65" i="38"/>
  <c r="AA68" i="45"/>
  <c r="AB65" i="11"/>
  <c r="AB66" i="47"/>
  <c r="V67" i="38"/>
  <c r="V68" i="47"/>
  <c r="F67" i="13"/>
  <c r="AA67" i="15"/>
  <c r="P67" i="15"/>
  <c r="L67" i="38"/>
  <c r="AA68" i="47"/>
  <c r="V67" i="43"/>
  <c r="AC25" i="17"/>
  <c r="AB67" i="45"/>
  <c r="AB66" i="50"/>
  <c r="AB67" i="50" s="1"/>
  <c r="AB67" i="47"/>
  <c r="AB66" i="38"/>
  <c r="AB66" i="43"/>
  <c r="AB66" i="15"/>
  <c r="AB66" i="13"/>
  <c r="AB67" i="12"/>
  <c r="AB66" i="11"/>
  <c r="AB66" i="10"/>
  <c r="AA67" i="13"/>
  <c r="AC66" i="45"/>
  <c r="AC65" i="50"/>
  <c r="AC66" i="47"/>
  <c r="AC65" i="38"/>
  <c r="AC65" i="43"/>
  <c r="AC65" i="15"/>
  <c r="AC65" i="13"/>
  <c r="AC66" i="12"/>
  <c r="AC65" i="11"/>
  <c r="AC65" i="10"/>
  <c r="AA67" i="43"/>
  <c r="V67" i="50"/>
  <c r="AA67" i="38"/>
  <c r="AA67" i="50"/>
  <c r="X25" i="17"/>
  <c r="X67" i="58" s="1"/>
  <c r="W66" i="38"/>
  <c r="W67" i="45"/>
  <c r="W67" i="47"/>
  <c r="W66" i="43"/>
  <c r="W67" i="43" s="1"/>
  <c r="W66" i="50"/>
  <c r="W66" i="15"/>
  <c r="W66" i="13"/>
  <c r="W67" i="12"/>
  <c r="W66" i="11"/>
  <c r="W66" i="10"/>
  <c r="P67" i="38"/>
  <c r="W26" i="17"/>
  <c r="V68" i="45"/>
  <c r="V67" i="13"/>
  <c r="P67" i="50"/>
  <c r="P67" i="13"/>
  <c r="P68" i="45"/>
  <c r="V67" i="15"/>
  <c r="R24" i="17"/>
  <c r="Q65" i="50"/>
  <c r="Q65" i="38"/>
  <c r="Q66" i="47"/>
  <c r="Q65" i="43"/>
  <c r="Q66" i="45"/>
  <c r="Q65" i="15"/>
  <c r="Q65" i="13"/>
  <c r="Q66" i="12"/>
  <c r="Q65" i="11"/>
  <c r="Q65" i="10"/>
  <c r="P68" i="47"/>
  <c r="L68" i="45"/>
  <c r="L67" i="43"/>
  <c r="L68" i="47"/>
  <c r="R25" i="17"/>
  <c r="Q67" i="45"/>
  <c r="Q66" i="50"/>
  <c r="Q66" i="38"/>
  <c r="Q67" i="47"/>
  <c r="Q66" i="43"/>
  <c r="Q66" i="15"/>
  <c r="Q66" i="13"/>
  <c r="Q67" i="12"/>
  <c r="Q66" i="11"/>
  <c r="Q66" i="10"/>
  <c r="Q26" i="17"/>
  <c r="L67" i="13"/>
  <c r="L67" i="15"/>
  <c r="P67" i="43"/>
  <c r="M26" i="17"/>
  <c r="M66" i="47"/>
  <c r="M65" i="43"/>
  <c r="M66" i="45"/>
  <c r="M65" i="38"/>
  <c r="M65" i="50"/>
  <c r="M65" i="15"/>
  <c r="M65" i="13"/>
  <c r="M66" i="12"/>
  <c r="M65" i="11"/>
  <c r="M65" i="10"/>
  <c r="M66" i="38"/>
  <c r="M66" i="50"/>
  <c r="M67" i="45"/>
  <c r="M67" i="47"/>
  <c r="M66" i="43"/>
  <c r="M66" i="15"/>
  <c r="M66" i="13"/>
  <c r="M67" i="12"/>
  <c r="M66" i="11"/>
  <c r="M66" i="10"/>
  <c r="L67" i="50"/>
  <c r="F68" i="45"/>
  <c r="F67" i="15"/>
  <c r="G66" i="45"/>
  <c r="G65" i="38"/>
  <c r="G66" i="47"/>
  <c r="G65" i="50"/>
  <c r="G65" i="43"/>
  <c r="G65" i="15"/>
  <c r="G65" i="13"/>
  <c r="G66" i="12"/>
  <c r="G65" i="11"/>
  <c r="G65" i="10"/>
  <c r="F67" i="38"/>
  <c r="F67" i="50"/>
  <c r="H25" i="17"/>
  <c r="G66" i="50"/>
  <c r="G66" i="43"/>
  <c r="G67" i="45"/>
  <c r="G66" i="38"/>
  <c r="G67" i="47"/>
  <c r="G66" i="15"/>
  <c r="G66" i="13"/>
  <c r="G67" i="12"/>
  <c r="G66" i="11"/>
  <c r="G66" i="10"/>
  <c r="F68" i="47"/>
  <c r="H24" i="17"/>
  <c r="G26" i="17"/>
  <c r="X65" i="13" l="1"/>
  <c r="G68" i="23"/>
  <c r="W68" i="23"/>
  <c r="X65" i="15"/>
  <c r="X66" i="47"/>
  <c r="X66" i="45"/>
  <c r="X65" i="38"/>
  <c r="X65" i="10"/>
  <c r="X65" i="43"/>
  <c r="X65" i="11"/>
  <c r="X65" i="50"/>
  <c r="X66" i="12"/>
  <c r="J7" i="7"/>
  <c r="F14" i="7"/>
  <c r="E14" i="7" s="1"/>
  <c r="X66" i="58"/>
  <c r="X68" i="58" s="1"/>
  <c r="M68" i="23"/>
  <c r="Q68" i="23"/>
  <c r="W67" i="15"/>
  <c r="AB68" i="23"/>
  <c r="AB67" i="43"/>
  <c r="AB67" i="15"/>
  <c r="M68" i="58"/>
  <c r="AB68" i="45"/>
  <c r="AB67" i="13"/>
  <c r="Q68" i="58"/>
  <c r="W67" i="13"/>
  <c r="G68" i="58"/>
  <c r="C78" i="58"/>
  <c r="R66" i="23"/>
  <c r="R66" i="58"/>
  <c r="Q67" i="13"/>
  <c r="H66" i="23"/>
  <c r="H66" i="58"/>
  <c r="R67" i="23"/>
  <c r="R67" i="58"/>
  <c r="H67" i="23"/>
  <c r="H67" i="58"/>
  <c r="C74" i="58"/>
  <c r="W67" i="50"/>
  <c r="W68" i="47"/>
  <c r="W68" i="45"/>
  <c r="M67" i="15"/>
  <c r="AC67" i="23"/>
  <c r="AC68" i="23" s="1"/>
  <c r="AC67" i="58"/>
  <c r="W67" i="38"/>
  <c r="AB67" i="38"/>
  <c r="AB68" i="47"/>
  <c r="X26" i="17"/>
  <c r="X67" i="23"/>
  <c r="X68" i="23" s="1"/>
  <c r="M67" i="13"/>
  <c r="G68" i="45"/>
  <c r="G67" i="38"/>
  <c r="AC66" i="43"/>
  <c r="AC67" i="43" s="1"/>
  <c r="AC67" i="45"/>
  <c r="AC68" i="45" s="1"/>
  <c r="AC66" i="50"/>
  <c r="AC67" i="50" s="1"/>
  <c r="AC67" i="47"/>
  <c r="AC68" i="47" s="1"/>
  <c r="AC66" i="38"/>
  <c r="AC67" i="38" s="1"/>
  <c r="AC66" i="15"/>
  <c r="AC67" i="15" s="1"/>
  <c r="AC66" i="13"/>
  <c r="AC67" i="13" s="1"/>
  <c r="AC67" i="12"/>
  <c r="AC66" i="11"/>
  <c r="AC66" i="10"/>
  <c r="AC26" i="17"/>
  <c r="Q67" i="15"/>
  <c r="Q68" i="45"/>
  <c r="X66" i="38"/>
  <c r="X67" i="45"/>
  <c r="X67" i="47"/>
  <c r="X66" i="43"/>
  <c r="X66" i="50"/>
  <c r="X66" i="15"/>
  <c r="X67" i="15" s="1"/>
  <c r="X66" i="13"/>
  <c r="X67" i="13" s="1"/>
  <c r="X67" i="12"/>
  <c r="X66" i="11"/>
  <c r="X66" i="10"/>
  <c r="Q67" i="43"/>
  <c r="Q68" i="47"/>
  <c r="Q67" i="38"/>
  <c r="Q67" i="50"/>
  <c r="S25" i="17"/>
  <c r="R66" i="43"/>
  <c r="R67" i="45"/>
  <c r="R66" i="38"/>
  <c r="R66" i="50"/>
  <c r="R67" i="47"/>
  <c r="R66" i="15"/>
  <c r="R66" i="13"/>
  <c r="R67" i="12"/>
  <c r="R66" i="11"/>
  <c r="R66" i="10"/>
  <c r="S24" i="17"/>
  <c r="R65" i="50"/>
  <c r="R65" i="38"/>
  <c r="R66" i="47"/>
  <c r="R65" i="43"/>
  <c r="R66" i="45"/>
  <c r="R65" i="15"/>
  <c r="R65" i="13"/>
  <c r="R66" i="12"/>
  <c r="R65" i="11"/>
  <c r="R65" i="10"/>
  <c r="R26" i="17"/>
  <c r="M67" i="50"/>
  <c r="M67" i="38"/>
  <c r="M68" i="45"/>
  <c r="M67" i="43"/>
  <c r="M68" i="47"/>
  <c r="G67" i="15"/>
  <c r="G67" i="50"/>
  <c r="G68" i="47"/>
  <c r="H65" i="50"/>
  <c r="H66" i="45"/>
  <c r="H65" i="38"/>
  <c r="H66" i="47"/>
  <c r="H65" i="43"/>
  <c r="H65" i="15"/>
  <c r="H65" i="13"/>
  <c r="H66" i="12"/>
  <c r="H65" i="11"/>
  <c r="H65" i="10"/>
  <c r="I25" i="17"/>
  <c r="H67" i="47"/>
  <c r="H66" i="50"/>
  <c r="H66" i="43"/>
  <c r="H67" i="45"/>
  <c r="H66" i="38"/>
  <c r="H66" i="15"/>
  <c r="H66" i="13"/>
  <c r="H67" i="12"/>
  <c r="H66" i="11"/>
  <c r="H66" i="10"/>
  <c r="G67" i="43"/>
  <c r="G67" i="13"/>
  <c r="I24" i="17"/>
  <c r="H26" i="17"/>
  <c r="X68" i="47" l="1"/>
  <c r="X68" i="45"/>
  <c r="X67" i="43"/>
  <c r="X67" i="50"/>
  <c r="X67" i="38"/>
  <c r="R68" i="23"/>
  <c r="H68" i="23"/>
  <c r="I66" i="23"/>
  <c r="I66" i="58"/>
  <c r="S66" i="23"/>
  <c r="S66" i="58"/>
  <c r="R68" i="58"/>
  <c r="I67" i="23"/>
  <c r="I67" i="58"/>
  <c r="S67" i="23"/>
  <c r="S67" i="58"/>
  <c r="H68" i="58"/>
  <c r="H67" i="38"/>
  <c r="AC68" i="58"/>
  <c r="R67" i="50"/>
  <c r="R67" i="43"/>
  <c r="R67" i="38"/>
  <c r="R68" i="45"/>
  <c r="R67" i="13"/>
  <c r="R68" i="47"/>
  <c r="S66" i="43"/>
  <c r="S66" i="38"/>
  <c r="S67" i="45"/>
  <c r="S66" i="50"/>
  <c r="S67" i="47"/>
  <c r="S66" i="15"/>
  <c r="S66" i="13"/>
  <c r="S67" i="12"/>
  <c r="S66" i="11"/>
  <c r="S66" i="10"/>
  <c r="S26" i="17"/>
  <c r="S66" i="45"/>
  <c r="S65" i="50"/>
  <c r="S65" i="38"/>
  <c r="S66" i="47"/>
  <c r="S65" i="43"/>
  <c r="S65" i="15"/>
  <c r="S65" i="13"/>
  <c r="S66" i="12"/>
  <c r="S65" i="11"/>
  <c r="S65" i="10"/>
  <c r="R67" i="15"/>
  <c r="H67" i="43"/>
  <c r="H67" i="15"/>
  <c r="I67" i="47"/>
  <c r="I67" i="45"/>
  <c r="I66" i="50"/>
  <c r="I66" i="43"/>
  <c r="I66" i="38"/>
  <c r="I66" i="15"/>
  <c r="I66" i="13"/>
  <c r="I67" i="12"/>
  <c r="I66" i="11"/>
  <c r="I66" i="10"/>
  <c r="H68" i="47"/>
  <c r="H68" i="45"/>
  <c r="H67" i="50"/>
  <c r="H67" i="13"/>
  <c r="I26" i="17"/>
  <c r="I65" i="50"/>
  <c r="I65" i="43"/>
  <c r="I66" i="47"/>
  <c r="I66" i="45"/>
  <c r="I65" i="38"/>
  <c r="I65" i="15"/>
  <c r="I65" i="13"/>
  <c r="I66" i="12"/>
  <c r="I65" i="11"/>
  <c r="I65" i="10"/>
  <c r="W30" i="12"/>
  <c r="W31" i="12"/>
  <c r="S68" i="58" l="1"/>
  <c r="I68" i="23"/>
  <c r="C67" i="58"/>
  <c r="S68" i="23"/>
  <c r="I68" i="58"/>
  <c r="C66" i="58"/>
  <c r="X30" i="12"/>
  <c r="X31" i="12"/>
  <c r="I68" i="45"/>
  <c r="I68" i="47"/>
  <c r="S67" i="50"/>
  <c r="S68" i="47"/>
  <c r="S68" i="45"/>
  <c r="S67" i="15"/>
  <c r="S67" i="38"/>
  <c r="S67" i="13"/>
  <c r="S67" i="43"/>
  <c r="I67" i="50"/>
  <c r="I67" i="13"/>
  <c r="I67" i="38"/>
  <c r="I67" i="43"/>
  <c r="I67" i="15"/>
  <c r="Y32" i="47"/>
  <c r="AD32" i="47"/>
  <c r="AD29" i="47"/>
  <c r="AD28" i="47"/>
  <c r="Y29" i="47"/>
  <c r="Y28" i="47"/>
  <c r="C68" i="58" l="1"/>
  <c r="O28" i="59" s="1"/>
  <c r="AL100" i="59" s="1"/>
  <c r="Y32" i="12"/>
  <c r="W32" i="12" s="1"/>
  <c r="Y29" i="12"/>
  <c r="W29" i="12" s="1"/>
  <c r="W28" i="12"/>
  <c r="AD32" i="12"/>
  <c r="AD29" i="12"/>
  <c r="X29" i="12" l="1"/>
  <c r="X28" i="12"/>
  <c r="X32" i="12"/>
  <c r="W29" i="47"/>
  <c r="W30" i="47"/>
  <c r="X30" i="47" s="1"/>
  <c r="W31" i="47"/>
  <c r="X31" i="47" s="1"/>
  <c r="W32" i="47"/>
  <c r="W28" i="47"/>
  <c r="X29" i="47" l="1"/>
  <c r="X28" i="47"/>
  <c r="X32" i="47"/>
  <c r="X29" i="45"/>
  <c r="X30" i="45"/>
  <c r="X31" i="45"/>
  <c r="X32" i="45"/>
  <c r="X28" i="45"/>
  <c r="V28" i="43" l="1"/>
  <c r="V29" i="43"/>
  <c r="W29" i="43" s="1"/>
  <c r="X29" i="43" s="1"/>
  <c r="V30" i="43"/>
  <c r="W30" i="43" s="1"/>
  <c r="X30" i="43" s="1"/>
  <c r="V31" i="43"/>
  <c r="V27" i="43"/>
  <c r="Z28" i="43"/>
  <c r="AA28" i="43" s="1"/>
  <c r="AB28" i="43" s="1"/>
  <c r="AC28" i="43" s="1"/>
  <c r="Z29" i="43"/>
  <c r="AA29" i="43" s="1"/>
  <c r="AB29" i="43" s="1"/>
  <c r="AC29" i="43" s="1"/>
  <c r="Z30" i="43"/>
  <c r="AA30" i="43" s="1"/>
  <c r="AB30" i="43" s="1"/>
  <c r="AC30" i="43" s="1"/>
  <c r="Z31" i="43"/>
  <c r="AA31" i="43" s="1"/>
  <c r="AB31" i="43" s="1"/>
  <c r="AC31" i="43" s="1"/>
  <c r="Z27" i="43"/>
  <c r="AA27" i="43" s="1"/>
  <c r="AB27" i="43" s="1"/>
  <c r="AC27" i="43" s="1"/>
  <c r="W27" i="43" l="1"/>
  <c r="X27" i="43" s="1"/>
  <c r="W31" i="43"/>
  <c r="X31" i="43" s="1"/>
  <c r="W28" i="43"/>
  <c r="X28" i="43" s="1"/>
  <c r="AB28" i="10" l="1"/>
  <c r="AB29" i="10"/>
  <c r="AB30" i="10"/>
  <c r="AB31" i="10"/>
  <c r="AB27" i="10"/>
  <c r="AC31" i="10" l="1"/>
  <c r="AC29" i="10"/>
  <c r="AC30" i="10"/>
  <c r="AC28" i="10"/>
  <c r="AC27" i="10"/>
  <c r="AO13" i="18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D30" i="17"/>
  <c r="C28" i="17" l="1"/>
  <c r="C54" i="17" s="1"/>
  <c r="AC70" i="23"/>
  <c r="AC70" i="45"/>
  <c r="AC69" i="50"/>
  <c r="AC69" i="43"/>
  <c r="AC69" i="38"/>
  <c r="AC70" i="47"/>
  <c r="AC69" i="15"/>
  <c r="AC69" i="13"/>
  <c r="AC70" i="12"/>
  <c r="AC69" i="11"/>
  <c r="AC69" i="10"/>
  <c r="AD30" i="17"/>
  <c r="AD70" i="23"/>
  <c r="AD69" i="50"/>
  <c r="AD70" i="47"/>
  <c r="AD70" i="45"/>
  <c r="AD69" i="43"/>
  <c r="AD69" i="38"/>
  <c r="AD69" i="15"/>
  <c r="AD69" i="13"/>
  <c r="AD70" i="12"/>
  <c r="AD69" i="11"/>
  <c r="AD69" i="10"/>
  <c r="AC71" i="23"/>
  <c r="AC70" i="38"/>
  <c r="AC71" i="47"/>
  <c r="AC71" i="45"/>
  <c r="AC70" i="50"/>
  <c r="AC70" i="43"/>
  <c r="AC70" i="15"/>
  <c r="AC70" i="13"/>
  <c r="AC71" i="12"/>
  <c r="AC70" i="11"/>
  <c r="AC70" i="10"/>
  <c r="AD71" i="23"/>
  <c r="AD70" i="38"/>
  <c r="AD70" i="50"/>
  <c r="AD71" i="47"/>
  <c r="AD71" i="45"/>
  <c r="AD70" i="43"/>
  <c r="AD70" i="15"/>
  <c r="AD70" i="13"/>
  <c r="AD71" i="12"/>
  <c r="AD70" i="11"/>
  <c r="AD70" i="10"/>
  <c r="AC30" i="17"/>
  <c r="AC72" i="47" l="1"/>
  <c r="AC71" i="38"/>
  <c r="AC72" i="45"/>
  <c r="AC72" i="12"/>
  <c r="C69" i="10"/>
  <c r="AC71" i="43"/>
  <c r="AD71" i="15"/>
  <c r="AD72" i="23"/>
  <c r="AD72" i="47"/>
  <c r="AC71" i="15"/>
  <c r="AD71" i="13"/>
  <c r="AD72" i="12"/>
  <c r="AD71" i="38"/>
  <c r="AC71" i="50"/>
  <c r="AD71" i="43"/>
  <c r="AD71" i="50"/>
  <c r="AD72" i="45"/>
  <c r="AC71" i="13"/>
  <c r="AC72" i="23"/>
  <c r="Z20" i="23" l="1"/>
  <c r="AA20" i="23" s="1"/>
  <c r="AB20" i="23" s="1"/>
  <c r="AC20" i="23" s="1"/>
  <c r="Z21" i="23"/>
  <c r="AA21" i="23" s="1"/>
  <c r="AB21" i="23" s="1"/>
  <c r="AC21" i="23" s="1"/>
  <c r="Z22" i="23"/>
  <c r="AA22" i="23" s="1"/>
  <c r="AB22" i="23" s="1"/>
  <c r="AC22" i="23" s="1"/>
  <c r="Z23" i="23"/>
  <c r="Z19" i="23"/>
  <c r="AA19" i="23" s="1"/>
  <c r="AB19" i="23" s="1"/>
  <c r="AC19" i="23" s="1"/>
  <c r="U20" i="23"/>
  <c r="V20" i="23" s="1"/>
  <c r="W20" i="23" s="1"/>
  <c r="X20" i="23" s="1"/>
  <c r="U21" i="23"/>
  <c r="V21" i="23" s="1"/>
  <c r="W21" i="23" s="1"/>
  <c r="X21" i="23" s="1"/>
  <c r="U22" i="23"/>
  <c r="V22" i="23" s="1"/>
  <c r="W22" i="23" s="1"/>
  <c r="X22" i="23" s="1"/>
  <c r="U23" i="23"/>
  <c r="V23" i="23" s="1"/>
  <c r="W23" i="23" s="1"/>
  <c r="X23" i="23" s="1"/>
  <c r="U19" i="23"/>
  <c r="V19" i="23" s="1"/>
  <c r="W19" i="23" s="1"/>
  <c r="X19" i="23" s="1"/>
  <c r="E20" i="23"/>
  <c r="E21" i="23"/>
  <c r="E22" i="23"/>
  <c r="E23" i="23"/>
  <c r="E19" i="23"/>
  <c r="F23" i="23" l="1"/>
  <c r="G23" i="23" s="1"/>
  <c r="H23" i="23" s="1"/>
  <c r="I23" i="23" s="1"/>
  <c r="F22" i="23"/>
  <c r="G22" i="23" s="1"/>
  <c r="H22" i="23" s="1"/>
  <c r="I22" i="23" s="1"/>
  <c r="F21" i="23"/>
  <c r="G21" i="23" s="1"/>
  <c r="H21" i="23" s="1"/>
  <c r="I21" i="23" s="1"/>
  <c r="AA23" i="23"/>
  <c r="AB23" i="23" s="1"/>
  <c r="AC23" i="23" s="1"/>
  <c r="F19" i="23"/>
  <c r="G19" i="23" s="1"/>
  <c r="H19" i="23" s="1"/>
  <c r="I19" i="23" s="1"/>
  <c r="F20" i="23"/>
  <c r="G20" i="23" s="1"/>
  <c r="H20" i="23" s="1"/>
  <c r="I20" i="23" s="1"/>
  <c r="Z20" i="15"/>
  <c r="AA20" i="15" s="1"/>
  <c r="AB20" i="15" s="1"/>
  <c r="AC20" i="15" s="1"/>
  <c r="Z21" i="15"/>
  <c r="AA21" i="15" s="1"/>
  <c r="AB21" i="15" s="1"/>
  <c r="AC21" i="15" s="1"/>
  <c r="Z22" i="15"/>
  <c r="AA22" i="15" s="1"/>
  <c r="AB22" i="15" s="1"/>
  <c r="AC22" i="15" s="1"/>
  <c r="Z23" i="15"/>
  <c r="AA23" i="15" s="1"/>
  <c r="AB23" i="15" s="1"/>
  <c r="AC23" i="15" s="1"/>
  <c r="Z19" i="15"/>
  <c r="AA19" i="15" s="1"/>
  <c r="AB19" i="15" s="1"/>
  <c r="AC19" i="15" s="1"/>
  <c r="U20" i="15"/>
  <c r="V20" i="15" s="1"/>
  <c r="W20" i="15" s="1"/>
  <c r="X20" i="15" s="1"/>
  <c r="U21" i="15"/>
  <c r="V21" i="15" s="1"/>
  <c r="W21" i="15" s="1"/>
  <c r="X21" i="15" s="1"/>
  <c r="U22" i="15"/>
  <c r="V22" i="15" s="1"/>
  <c r="W22" i="15" s="1"/>
  <c r="X22" i="15" s="1"/>
  <c r="U23" i="15"/>
  <c r="V23" i="15" s="1"/>
  <c r="W23" i="15" s="1"/>
  <c r="X23" i="15" s="1"/>
  <c r="U19" i="15"/>
  <c r="V19" i="15" s="1"/>
  <c r="W19" i="15" s="1"/>
  <c r="X19" i="15" s="1"/>
  <c r="P20" i="15"/>
  <c r="Q20" i="15" s="1"/>
  <c r="R20" i="15" s="1"/>
  <c r="S20" i="15" s="1"/>
  <c r="P21" i="15"/>
  <c r="Q21" i="15" s="1"/>
  <c r="R21" i="15" s="1"/>
  <c r="S21" i="15" s="1"/>
  <c r="P22" i="15"/>
  <c r="Q22" i="15" s="1"/>
  <c r="R22" i="15" s="1"/>
  <c r="S22" i="15" s="1"/>
  <c r="P23" i="15"/>
  <c r="Q23" i="15" s="1"/>
  <c r="R23" i="15" s="1"/>
  <c r="S23" i="15" s="1"/>
  <c r="P19" i="15"/>
  <c r="Q19" i="15" s="1"/>
  <c r="R19" i="15" s="1"/>
  <c r="S19" i="15" s="1"/>
  <c r="K20" i="15"/>
  <c r="K21" i="15"/>
  <c r="L21" i="15" s="1"/>
  <c r="M21" i="15" s="1"/>
  <c r="N21" i="15" s="1"/>
  <c r="K22" i="15"/>
  <c r="K23" i="15"/>
  <c r="K19" i="15"/>
  <c r="C40" i="23" l="1"/>
  <c r="L20" i="15"/>
  <c r="M20" i="15" s="1"/>
  <c r="N20" i="15" s="1"/>
  <c r="L23" i="15"/>
  <c r="M23" i="15" s="1"/>
  <c r="N23" i="15" s="1"/>
  <c r="L22" i="15"/>
  <c r="M22" i="15" s="1"/>
  <c r="N22" i="15" s="1"/>
  <c r="L19" i="15"/>
  <c r="M19" i="15" s="1"/>
  <c r="N19" i="15" s="1"/>
  <c r="Z32" i="47"/>
  <c r="Z31" i="47"/>
  <c r="Z30" i="47"/>
  <c r="Z29" i="47"/>
  <c r="Z28" i="47"/>
  <c r="Z29" i="45"/>
  <c r="Z30" i="45"/>
  <c r="Z31" i="45"/>
  <c r="Z32" i="45"/>
  <c r="Z28" i="45"/>
  <c r="Z20" i="45"/>
  <c r="AA20" i="45" s="1"/>
  <c r="AB20" i="45" s="1"/>
  <c r="AC20" i="45" s="1"/>
  <c r="Z21" i="45"/>
  <c r="AA21" i="45" s="1"/>
  <c r="AB21" i="45" s="1"/>
  <c r="AC21" i="45" s="1"/>
  <c r="Z22" i="45"/>
  <c r="AA22" i="45" s="1"/>
  <c r="AB22" i="45" s="1"/>
  <c r="AC22" i="45" s="1"/>
  <c r="Z23" i="45"/>
  <c r="AA23" i="45" s="1"/>
  <c r="AB23" i="45" s="1"/>
  <c r="AC23" i="45" s="1"/>
  <c r="Z19" i="45"/>
  <c r="AA19" i="45" s="1"/>
  <c r="AB19" i="45" s="1"/>
  <c r="AC19" i="45" s="1"/>
  <c r="K20" i="45"/>
  <c r="L20" i="45" s="1"/>
  <c r="M20" i="45" s="1"/>
  <c r="K21" i="45"/>
  <c r="L21" i="45" s="1"/>
  <c r="M21" i="45" s="1"/>
  <c r="K22" i="45"/>
  <c r="L22" i="45" s="1"/>
  <c r="M22" i="45" s="1"/>
  <c r="K23" i="45"/>
  <c r="L23" i="45" s="1"/>
  <c r="M23" i="45" s="1"/>
  <c r="K19" i="45"/>
  <c r="L19" i="45" s="1"/>
  <c r="M19" i="45" s="1"/>
  <c r="E20" i="45"/>
  <c r="E21" i="45"/>
  <c r="E22" i="45"/>
  <c r="E23" i="45"/>
  <c r="E19" i="45"/>
  <c r="AA28" i="47" l="1"/>
  <c r="AB28" i="47" s="1"/>
  <c r="AC28" i="47" s="1"/>
  <c r="AA31" i="47"/>
  <c r="AB31" i="47" s="1"/>
  <c r="AC31" i="47" s="1"/>
  <c r="AA29" i="47"/>
  <c r="AB29" i="47" s="1"/>
  <c r="AC29" i="47" s="1"/>
  <c r="AA32" i="47"/>
  <c r="AB32" i="47" s="1"/>
  <c r="AC32" i="47" s="1"/>
  <c r="AA30" i="47"/>
  <c r="AB30" i="47" s="1"/>
  <c r="AC30" i="47" s="1"/>
  <c r="AA31" i="45"/>
  <c r="AB31" i="45" s="1"/>
  <c r="AC31" i="45" s="1"/>
  <c r="F22" i="45"/>
  <c r="G22" i="45" s="1"/>
  <c r="H22" i="45" s="1"/>
  <c r="I22" i="45" s="1"/>
  <c r="AA30" i="45"/>
  <c r="AB30" i="45" s="1"/>
  <c r="AC30" i="45" s="1"/>
  <c r="AA28" i="45"/>
  <c r="AB28" i="45" s="1"/>
  <c r="AC28" i="45" s="1"/>
  <c r="F20" i="45"/>
  <c r="G20" i="45" s="1"/>
  <c r="H20" i="45" s="1"/>
  <c r="I20" i="45" s="1"/>
  <c r="F19" i="45"/>
  <c r="G19" i="45" s="1"/>
  <c r="H19" i="45" s="1"/>
  <c r="I19" i="45" s="1"/>
  <c r="AA32" i="45"/>
  <c r="AB32" i="45" s="1"/>
  <c r="AC32" i="45" s="1"/>
  <c r="F23" i="45"/>
  <c r="G23" i="45" s="1"/>
  <c r="H23" i="45" s="1"/>
  <c r="I23" i="45" s="1"/>
  <c r="F21" i="45"/>
  <c r="G21" i="45" s="1"/>
  <c r="H21" i="45" s="1"/>
  <c r="I21" i="45" s="1"/>
  <c r="AA29" i="45"/>
  <c r="AB29" i="45" s="1"/>
  <c r="AC29" i="45" s="1"/>
  <c r="Z20" i="43" l="1"/>
  <c r="AA20" i="43" s="1"/>
  <c r="AB20" i="43" s="1"/>
  <c r="AC20" i="43" s="1"/>
  <c r="Z21" i="43"/>
  <c r="AA21" i="43" s="1"/>
  <c r="AB21" i="43" s="1"/>
  <c r="AC21" i="43" s="1"/>
  <c r="Z22" i="43"/>
  <c r="AA22" i="43" s="1"/>
  <c r="AB22" i="43" s="1"/>
  <c r="AC22" i="43" s="1"/>
  <c r="Z23" i="43"/>
  <c r="AA23" i="43" s="1"/>
  <c r="AB23" i="43" s="1"/>
  <c r="AC23" i="43" s="1"/>
  <c r="Z19" i="43"/>
  <c r="AA19" i="43" s="1"/>
  <c r="AB19" i="43" s="1"/>
  <c r="AC19" i="43" s="1"/>
  <c r="U20" i="43"/>
  <c r="V20" i="43" s="1"/>
  <c r="W20" i="43" s="1"/>
  <c r="X20" i="43" s="1"/>
  <c r="U21" i="43"/>
  <c r="V21" i="43" s="1"/>
  <c r="W21" i="43" s="1"/>
  <c r="X21" i="43" s="1"/>
  <c r="U22" i="43"/>
  <c r="V22" i="43" s="1"/>
  <c r="W22" i="43" s="1"/>
  <c r="X22" i="43" s="1"/>
  <c r="U23" i="43"/>
  <c r="V23" i="43" s="1"/>
  <c r="W23" i="43" s="1"/>
  <c r="X23" i="43" s="1"/>
  <c r="U19" i="43"/>
  <c r="V19" i="43" s="1"/>
  <c r="W19" i="43" s="1"/>
  <c r="X19" i="43" s="1"/>
  <c r="P20" i="43"/>
  <c r="P21" i="43"/>
  <c r="P22" i="43"/>
  <c r="P23" i="43"/>
  <c r="P19" i="43"/>
  <c r="Q23" i="43" l="1"/>
  <c r="R23" i="43" s="1"/>
  <c r="S23" i="43" s="1"/>
  <c r="Q22" i="43"/>
  <c r="R22" i="43" s="1"/>
  <c r="S22" i="43" s="1"/>
  <c r="Q21" i="43"/>
  <c r="R21" i="43" s="1"/>
  <c r="S21" i="43" s="1"/>
  <c r="Q20" i="43"/>
  <c r="R20" i="43" s="1"/>
  <c r="S20" i="43" s="1"/>
  <c r="Q19" i="43"/>
  <c r="R19" i="43" s="1"/>
  <c r="S19" i="43" s="1"/>
  <c r="Z29" i="12"/>
  <c r="Z30" i="12"/>
  <c r="Z31" i="12"/>
  <c r="Z32" i="12"/>
  <c r="Z28" i="12"/>
  <c r="Z20" i="12"/>
  <c r="AA20" i="12" s="1"/>
  <c r="AB20" i="12" s="1"/>
  <c r="AC20" i="12" s="1"/>
  <c r="Z21" i="12"/>
  <c r="AA21" i="12" s="1"/>
  <c r="AB21" i="12" s="1"/>
  <c r="AC21" i="12" s="1"/>
  <c r="Z22" i="12"/>
  <c r="AA22" i="12" s="1"/>
  <c r="AB22" i="12" s="1"/>
  <c r="AC22" i="12" s="1"/>
  <c r="Z23" i="12"/>
  <c r="AA23" i="12" s="1"/>
  <c r="AB23" i="12" s="1"/>
  <c r="AC23" i="12" s="1"/>
  <c r="Z19" i="12"/>
  <c r="AA19" i="12" s="1"/>
  <c r="AB19" i="12" s="1"/>
  <c r="AC19" i="12" s="1"/>
  <c r="U20" i="12"/>
  <c r="V20" i="12" s="1"/>
  <c r="W20" i="12" s="1"/>
  <c r="X20" i="12" s="1"/>
  <c r="U21" i="12"/>
  <c r="V21" i="12" s="1"/>
  <c r="W21" i="12" s="1"/>
  <c r="X21" i="12" s="1"/>
  <c r="U22" i="12"/>
  <c r="V22" i="12" s="1"/>
  <c r="W22" i="12" s="1"/>
  <c r="X22" i="12" s="1"/>
  <c r="U23" i="12"/>
  <c r="V23" i="12" s="1"/>
  <c r="W23" i="12" s="1"/>
  <c r="X23" i="12" s="1"/>
  <c r="U19" i="12"/>
  <c r="V19" i="12" s="1"/>
  <c r="W19" i="12" s="1"/>
  <c r="X19" i="12" s="1"/>
  <c r="P20" i="12"/>
  <c r="Q20" i="12" s="1"/>
  <c r="R20" i="12" s="1"/>
  <c r="S20" i="12" s="1"/>
  <c r="P21" i="12"/>
  <c r="Q21" i="12" s="1"/>
  <c r="R21" i="12" s="1"/>
  <c r="S21" i="12" s="1"/>
  <c r="P22" i="12"/>
  <c r="Q22" i="12" s="1"/>
  <c r="R22" i="12" s="1"/>
  <c r="S22" i="12" s="1"/>
  <c r="P23" i="12"/>
  <c r="Q23" i="12" s="1"/>
  <c r="R23" i="12" s="1"/>
  <c r="S23" i="12" s="1"/>
  <c r="P19" i="12"/>
  <c r="Q19" i="12" s="1"/>
  <c r="R19" i="12" s="1"/>
  <c r="S19" i="12" s="1"/>
  <c r="K20" i="12"/>
  <c r="L20" i="12" s="1"/>
  <c r="M20" i="12" s="1"/>
  <c r="N20" i="12" s="1"/>
  <c r="K21" i="12"/>
  <c r="L21" i="12" s="1"/>
  <c r="M21" i="12" s="1"/>
  <c r="N21" i="12" s="1"/>
  <c r="K22" i="12"/>
  <c r="L22" i="12" s="1"/>
  <c r="M22" i="12" s="1"/>
  <c r="N22" i="12" s="1"/>
  <c r="K23" i="12"/>
  <c r="L23" i="12" s="1"/>
  <c r="M23" i="12" s="1"/>
  <c r="N23" i="12" s="1"/>
  <c r="K19" i="12"/>
  <c r="L19" i="12" s="1"/>
  <c r="M19" i="12" s="1"/>
  <c r="N19" i="12" s="1"/>
  <c r="E20" i="12"/>
  <c r="E21" i="12"/>
  <c r="E22" i="12"/>
  <c r="E23" i="12"/>
  <c r="E19" i="12"/>
  <c r="F23" i="12" l="1"/>
  <c r="G23" i="12" s="1"/>
  <c r="H23" i="12" s="1"/>
  <c r="I23" i="12" s="1"/>
  <c r="AA28" i="12"/>
  <c r="AB28" i="12" s="1"/>
  <c r="AC28" i="12" s="1"/>
  <c r="AA32" i="12"/>
  <c r="AB32" i="12" s="1"/>
  <c r="AC32" i="12" s="1"/>
  <c r="F19" i="12"/>
  <c r="G19" i="12" s="1"/>
  <c r="H19" i="12" s="1"/>
  <c r="I19" i="12" s="1"/>
  <c r="F21" i="12"/>
  <c r="G21" i="12" s="1"/>
  <c r="H21" i="12" s="1"/>
  <c r="I21" i="12" s="1"/>
  <c r="AA31" i="12"/>
  <c r="AB31" i="12" s="1"/>
  <c r="AC31" i="12" s="1"/>
  <c r="F20" i="12"/>
  <c r="G20" i="12" s="1"/>
  <c r="H20" i="12" s="1"/>
  <c r="I20" i="12" s="1"/>
  <c r="AA30" i="12"/>
  <c r="AB30" i="12" s="1"/>
  <c r="AC30" i="12" s="1"/>
  <c r="F22" i="12"/>
  <c r="G22" i="12" s="1"/>
  <c r="H22" i="12" s="1"/>
  <c r="I22" i="12" s="1"/>
  <c r="AA29" i="12"/>
  <c r="AB29" i="12" s="1"/>
  <c r="AC29" i="12" s="1"/>
  <c r="Z31" i="38"/>
  <c r="Z30" i="38"/>
  <c r="Z29" i="38"/>
  <c r="Z28" i="38"/>
  <c r="Z27" i="38"/>
  <c r="Z23" i="38"/>
  <c r="AA23" i="38" s="1"/>
  <c r="AB23" i="38" s="1"/>
  <c r="AC23" i="38" s="1"/>
  <c r="Z20" i="38"/>
  <c r="AA20" i="38" s="1"/>
  <c r="AB20" i="38" s="1"/>
  <c r="AC20" i="38" s="1"/>
  <c r="AA21" i="38"/>
  <c r="AB21" i="38" s="1"/>
  <c r="AC21" i="38" s="1"/>
  <c r="Z22" i="38"/>
  <c r="AA22" i="38" s="1"/>
  <c r="AB22" i="38" s="1"/>
  <c r="AC22" i="38" s="1"/>
  <c r="AA19" i="38"/>
  <c r="AB19" i="38" s="1"/>
  <c r="AC19" i="38" s="1"/>
  <c r="U20" i="38"/>
  <c r="V20" i="38" s="1"/>
  <c r="W20" i="38" s="1"/>
  <c r="X20" i="38" s="1"/>
  <c r="U21" i="38"/>
  <c r="V21" i="38" s="1"/>
  <c r="W21" i="38" s="1"/>
  <c r="X21" i="38" s="1"/>
  <c r="U22" i="38"/>
  <c r="V22" i="38" s="1"/>
  <c r="W22" i="38" s="1"/>
  <c r="X22" i="38" s="1"/>
  <c r="U23" i="38"/>
  <c r="V23" i="38" s="1"/>
  <c r="W23" i="38" s="1"/>
  <c r="X23" i="38" s="1"/>
  <c r="U19" i="38"/>
  <c r="V19" i="38" s="1"/>
  <c r="W19" i="38" s="1"/>
  <c r="X19" i="38" s="1"/>
  <c r="K20" i="38"/>
  <c r="L20" i="38" s="1"/>
  <c r="M20" i="38" s="1"/>
  <c r="K21" i="38"/>
  <c r="L21" i="38" s="1"/>
  <c r="M21" i="38" s="1"/>
  <c r="K22" i="38"/>
  <c r="L22" i="38" s="1"/>
  <c r="M22" i="38" s="1"/>
  <c r="K23" i="38"/>
  <c r="L23" i="38" s="1"/>
  <c r="M23" i="38" s="1"/>
  <c r="K19" i="38"/>
  <c r="L19" i="38" s="1"/>
  <c r="M19" i="38" s="1"/>
  <c r="AA31" i="38" l="1"/>
  <c r="AB31" i="38" s="1"/>
  <c r="AC31" i="38" s="1"/>
  <c r="AA27" i="38"/>
  <c r="AB27" i="38" s="1"/>
  <c r="AC27" i="38" s="1"/>
  <c r="AA30" i="38"/>
  <c r="AB30" i="38" s="1"/>
  <c r="AC30" i="38" s="1"/>
  <c r="AA28" i="38"/>
  <c r="AB28" i="38" s="1"/>
  <c r="AC28" i="38" s="1"/>
  <c r="AA29" i="38"/>
  <c r="AB29" i="38" s="1"/>
  <c r="AC29" i="38" s="1"/>
  <c r="F20" i="38"/>
  <c r="F21" i="38"/>
  <c r="F22" i="38"/>
  <c r="F23" i="38"/>
  <c r="G19" i="38"/>
  <c r="G21" i="38" l="1"/>
  <c r="H21" i="38" s="1"/>
  <c r="I21" i="38" s="1"/>
  <c r="G22" i="38"/>
  <c r="H22" i="38" s="1"/>
  <c r="I22" i="38" s="1"/>
  <c r="G20" i="38"/>
  <c r="H20" i="38" s="1"/>
  <c r="I20" i="38" s="1"/>
  <c r="H19" i="38"/>
  <c r="I19" i="38" s="1"/>
  <c r="G23" i="38"/>
  <c r="H23" i="38" s="1"/>
  <c r="I23" i="38" s="1"/>
  <c r="U20" i="10"/>
  <c r="U21" i="10"/>
  <c r="U22" i="10"/>
  <c r="U23" i="10"/>
  <c r="U19" i="10"/>
  <c r="V22" i="10" l="1"/>
  <c r="W22" i="10" s="1"/>
  <c r="X22" i="10" s="1"/>
  <c r="V21" i="10"/>
  <c r="W21" i="10" s="1"/>
  <c r="X21" i="10" s="1"/>
  <c r="V23" i="10"/>
  <c r="W23" i="10" s="1"/>
  <c r="X23" i="10" s="1"/>
  <c r="V20" i="10"/>
  <c r="W20" i="10" s="1"/>
  <c r="X20" i="10" s="1"/>
  <c r="V19" i="10"/>
  <c r="W19" i="10" s="1"/>
  <c r="X19" i="10" s="1"/>
  <c r="I32" i="17" l="1"/>
  <c r="Z12" i="17"/>
  <c r="Z11" i="17"/>
  <c r="Z10" i="17"/>
  <c r="Z9" i="17"/>
  <c r="Z8" i="17"/>
  <c r="Z4" i="17"/>
  <c r="Z5" i="17"/>
  <c r="Z6" i="17"/>
  <c r="Z7" i="17"/>
  <c r="U9" i="17"/>
  <c r="U10" i="17"/>
  <c r="U11" i="17"/>
  <c r="U12" i="17"/>
  <c r="U8" i="17"/>
  <c r="U5" i="17"/>
  <c r="U6" i="17"/>
  <c r="U7" i="17"/>
  <c r="U4" i="17"/>
  <c r="AA8" i="17" l="1"/>
  <c r="Z8" i="58"/>
  <c r="Z53" i="58" s="1"/>
  <c r="AA9" i="17"/>
  <c r="Z9" i="58"/>
  <c r="Z54" i="58" s="1"/>
  <c r="AA10" i="17"/>
  <c r="Z10" i="58"/>
  <c r="Z55" i="58" s="1"/>
  <c r="V5" i="17"/>
  <c r="U5" i="58"/>
  <c r="U47" i="58" s="1"/>
  <c r="V12" i="17"/>
  <c r="U12" i="58"/>
  <c r="U57" i="58" s="1"/>
  <c r="V4" i="17"/>
  <c r="U4" i="58"/>
  <c r="U46" i="58" s="1"/>
  <c r="V9" i="17"/>
  <c r="U9" i="58"/>
  <c r="U54" i="58" s="1"/>
  <c r="AA11" i="17"/>
  <c r="Z11" i="58"/>
  <c r="Z56" i="58" s="1"/>
  <c r="V8" i="17"/>
  <c r="U8" i="58"/>
  <c r="U53" i="58" s="1"/>
  <c r="V10" i="17"/>
  <c r="U10" i="58"/>
  <c r="U55" i="58" s="1"/>
  <c r="AA7" i="17"/>
  <c r="Z7" i="58"/>
  <c r="Z49" i="58" s="1"/>
  <c r="AA12" i="17"/>
  <c r="Z12" i="58"/>
  <c r="Z57" i="58" s="1"/>
  <c r="AA4" i="17"/>
  <c r="Z4" i="58"/>
  <c r="Z46" i="58" s="1"/>
  <c r="V11" i="17"/>
  <c r="U11" i="58"/>
  <c r="U56" i="58" s="1"/>
  <c r="V7" i="17"/>
  <c r="U7" i="58"/>
  <c r="U49" i="58" s="1"/>
  <c r="V6" i="17"/>
  <c r="U6" i="58"/>
  <c r="U48" i="58" s="1"/>
  <c r="AA6" i="17"/>
  <c r="Z6" i="58"/>
  <c r="Z48" i="58" s="1"/>
  <c r="AA5" i="17"/>
  <c r="Z5" i="58"/>
  <c r="Z47" i="58" s="1"/>
  <c r="AA3" i="17"/>
  <c r="Z3" i="58"/>
  <c r="Z45" i="58" s="1"/>
  <c r="O9" i="17"/>
  <c r="O10" i="17"/>
  <c r="O11" i="17"/>
  <c r="O12" i="17"/>
  <c r="P4" i="17"/>
  <c r="O5" i="17"/>
  <c r="O6" i="17"/>
  <c r="O7" i="17"/>
  <c r="P3" i="17"/>
  <c r="AB4" i="17" l="1"/>
  <c r="AA4" i="58"/>
  <c r="AA46" i="58" s="1"/>
  <c r="P9" i="17"/>
  <c r="O9" i="58"/>
  <c r="O54" i="58" s="1"/>
  <c r="W6" i="17"/>
  <c r="V6" i="58"/>
  <c r="V48" i="58" s="1"/>
  <c r="AB12" i="17"/>
  <c r="AA12" i="58"/>
  <c r="AA57" i="58" s="1"/>
  <c r="AB11" i="17"/>
  <c r="AA11" i="58"/>
  <c r="AA56" i="58" s="1"/>
  <c r="W5" i="17"/>
  <c r="V5" i="58"/>
  <c r="V47" i="58" s="1"/>
  <c r="P11" i="17"/>
  <c r="O11" i="58"/>
  <c r="O56" i="58" s="1"/>
  <c r="W12" i="17"/>
  <c r="V12" i="58"/>
  <c r="V57" i="58" s="1"/>
  <c r="P7" i="17"/>
  <c r="O7" i="58"/>
  <c r="O49" i="58" s="1"/>
  <c r="AB8" i="17"/>
  <c r="AA8" i="58"/>
  <c r="AA53" i="58" s="1"/>
  <c r="P6" i="17"/>
  <c r="O6" i="58"/>
  <c r="O48" i="58" s="1"/>
  <c r="W7" i="17"/>
  <c r="V7" i="58"/>
  <c r="V49" i="58" s="1"/>
  <c r="AB7" i="17"/>
  <c r="AA7" i="58"/>
  <c r="AA49" i="58" s="1"/>
  <c r="W9" i="17"/>
  <c r="V9" i="58"/>
  <c r="V54" i="58" s="1"/>
  <c r="AB10" i="17"/>
  <c r="AA10" i="58"/>
  <c r="AA55" i="58" s="1"/>
  <c r="W8" i="17"/>
  <c r="V8" i="58"/>
  <c r="V53" i="58" s="1"/>
  <c r="P5" i="17"/>
  <c r="O5" i="58"/>
  <c r="O47" i="58" s="1"/>
  <c r="AB5" i="17"/>
  <c r="AA5" i="58"/>
  <c r="AA47" i="58" s="1"/>
  <c r="W11" i="17"/>
  <c r="V11" i="58"/>
  <c r="V56" i="58" s="1"/>
  <c r="W10" i="17"/>
  <c r="V10" i="58"/>
  <c r="V55" i="58" s="1"/>
  <c r="W4" i="17"/>
  <c r="V4" i="58"/>
  <c r="V46" i="58" s="1"/>
  <c r="AB9" i="17"/>
  <c r="AA9" i="58"/>
  <c r="AA54" i="58" s="1"/>
  <c r="AB6" i="17"/>
  <c r="AA6" i="58"/>
  <c r="AA48" i="58" s="1"/>
  <c r="P10" i="17"/>
  <c r="O10" i="58"/>
  <c r="O55" i="58" s="1"/>
  <c r="P12" i="17"/>
  <c r="O12" i="58"/>
  <c r="O57" i="58" s="1"/>
  <c r="AB3" i="17"/>
  <c r="AA3" i="58"/>
  <c r="AA45" i="58" s="1"/>
  <c r="Q3" i="17"/>
  <c r="P3" i="58"/>
  <c r="P45" i="58" s="1"/>
  <c r="Q4" i="17"/>
  <c r="P4" i="58"/>
  <c r="P46" i="58" s="1"/>
  <c r="O8" i="17"/>
  <c r="K9" i="17"/>
  <c r="K10" i="17"/>
  <c r="K11" i="17"/>
  <c r="K12" i="17"/>
  <c r="K12" i="58" s="1"/>
  <c r="K57" i="58" s="1"/>
  <c r="K8" i="17"/>
  <c r="L4" i="17"/>
  <c r="K5" i="17"/>
  <c r="K6" i="17"/>
  <c r="K7" i="17"/>
  <c r="K3" i="17"/>
  <c r="L12" i="17" l="1"/>
  <c r="Q10" i="17"/>
  <c r="P10" i="58"/>
  <c r="P55" i="58" s="1"/>
  <c r="X10" i="17"/>
  <c r="X10" i="58" s="1"/>
  <c r="X55" i="58" s="1"/>
  <c r="W10" i="58"/>
  <c r="W55" i="58" s="1"/>
  <c r="X8" i="17"/>
  <c r="X8" i="58" s="1"/>
  <c r="X53" i="58" s="1"/>
  <c r="W8" i="58"/>
  <c r="W53" i="58" s="1"/>
  <c r="X7" i="17"/>
  <c r="X7" i="58" s="1"/>
  <c r="X49" i="58" s="1"/>
  <c r="W7" i="58"/>
  <c r="W49" i="58" s="1"/>
  <c r="X12" i="17"/>
  <c r="X12" i="58" s="1"/>
  <c r="X57" i="58" s="1"/>
  <c r="W12" i="58"/>
  <c r="W57" i="58" s="1"/>
  <c r="AC12" i="17"/>
  <c r="AC12" i="58" s="1"/>
  <c r="AC57" i="58" s="1"/>
  <c r="AB12" i="58"/>
  <c r="AB57" i="58" s="1"/>
  <c r="AC6" i="17"/>
  <c r="AC6" i="58" s="1"/>
  <c r="AC48" i="58" s="1"/>
  <c r="AB6" i="58"/>
  <c r="AB48" i="58" s="1"/>
  <c r="X11" i="17"/>
  <c r="X11" i="58" s="1"/>
  <c r="X56" i="58" s="1"/>
  <c r="W11" i="58"/>
  <c r="W56" i="58" s="1"/>
  <c r="AC10" i="17"/>
  <c r="AC10" i="58" s="1"/>
  <c r="AC55" i="58" s="1"/>
  <c r="AB10" i="58"/>
  <c r="AB55" i="58" s="1"/>
  <c r="Q6" i="17"/>
  <c r="P6" i="58"/>
  <c r="P48" i="58" s="1"/>
  <c r="Q11" i="17"/>
  <c r="P11" i="58"/>
  <c r="P56" i="58" s="1"/>
  <c r="X6" i="17"/>
  <c r="X6" i="58" s="1"/>
  <c r="X48" i="58" s="1"/>
  <c r="W6" i="58"/>
  <c r="W48" i="58" s="1"/>
  <c r="M12" i="17"/>
  <c r="M12" i="58" s="1"/>
  <c r="M57" i="58" s="1"/>
  <c r="L12" i="58"/>
  <c r="L57" i="58" s="1"/>
  <c r="L3" i="17"/>
  <c r="K3" i="58"/>
  <c r="K45" i="58" s="1"/>
  <c r="L11" i="17"/>
  <c r="K11" i="58"/>
  <c r="K56" i="58" s="1"/>
  <c r="L7" i="17"/>
  <c r="K7" i="58"/>
  <c r="K49" i="58" s="1"/>
  <c r="AC9" i="17"/>
  <c r="AC9" i="58" s="1"/>
  <c r="AC54" i="58" s="1"/>
  <c r="AB9" i="58"/>
  <c r="AB54" i="58" s="1"/>
  <c r="AC5" i="17"/>
  <c r="AC5" i="58" s="1"/>
  <c r="AC47" i="58" s="1"/>
  <c r="AB5" i="58"/>
  <c r="AB47" i="58" s="1"/>
  <c r="X9" i="17"/>
  <c r="X9" i="58" s="1"/>
  <c r="X54" i="58" s="1"/>
  <c r="W9" i="58"/>
  <c r="W54" i="58" s="1"/>
  <c r="AC8" i="17"/>
  <c r="AC8" i="58" s="1"/>
  <c r="AC53" i="58" s="1"/>
  <c r="AB8" i="58"/>
  <c r="AB53" i="58" s="1"/>
  <c r="X5" i="17"/>
  <c r="X5" i="58" s="1"/>
  <c r="X47" i="58" s="1"/>
  <c r="W5" i="58"/>
  <c r="W47" i="58" s="1"/>
  <c r="Q9" i="17"/>
  <c r="P9" i="58"/>
  <c r="P54" i="58" s="1"/>
  <c r="L8" i="17"/>
  <c r="K8" i="58"/>
  <c r="K53" i="58" s="1"/>
  <c r="L10" i="17"/>
  <c r="K10" i="58"/>
  <c r="K55" i="58" s="1"/>
  <c r="L6" i="17"/>
  <c r="K6" i="58"/>
  <c r="K48" i="58" s="1"/>
  <c r="L9" i="17"/>
  <c r="K9" i="58"/>
  <c r="K54" i="58" s="1"/>
  <c r="L5" i="17"/>
  <c r="K5" i="58"/>
  <c r="K47" i="58" s="1"/>
  <c r="P8" i="17"/>
  <c r="O8" i="58"/>
  <c r="O53" i="58" s="1"/>
  <c r="Q12" i="17"/>
  <c r="P12" i="58"/>
  <c r="P57" i="58" s="1"/>
  <c r="X4" i="17"/>
  <c r="X4" i="58" s="1"/>
  <c r="X46" i="58" s="1"/>
  <c r="W4" i="58"/>
  <c r="W46" i="58" s="1"/>
  <c r="Q5" i="17"/>
  <c r="P5" i="58"/>
  <c r="P47" i="58" s="1"/>
  <c r="AC7" i="17"/>
  <c r="AC7" i="58" s="1"/>
  <c r="AC49" i="58" s="1"/>
  <c r="AB7" i="58"/>
  <c r="AB49" i="58" s="1"/>
  <c r="Q7" i="17"/>
  <c r="P7" i="58"/>
  <c r="P49" i="58" s="1"/>
  <c r="AC11" i="17"/>
  <c r="AC11" i="58" s="1"/>
  <c r="AC56" i="58" s="1"/>
  <c r="AB11" i="58"/>
  <c r="AB56" i="58" s="1"/>
  <c r="AC4" i="17"/>
  <c r="AC4" i="58" s="1"/>
  <c r="AC46" i="58" s="1"/>
  <c r="AB4" i="58"/>
  <c r="AB46" i="58" s="1"/>
  <c r="AC3" i="17"/>
  <c r="AC3" i="58" s="1"/>
  <c r="AC45" i="58" s="1"/>
  <c r="AB3" i="58"/>
  <c r="AB45" i="58" s="1"/>
  <c r="R3" i="17"/>
  <c r="Q3" i="58"/>
  <c r="Q45" i="58" s="1"/>
  <c r="R4" i="17"/>
  <c r="Q4" i="58"/>
  <c r="Q46" i="58" s="1"/>
  <c r="M4" i="17"/>
  <c r="M4" i="58" s="1"/>
  <c r="M46" i="58" s="1"/>
  <c r="L4" i="58"/>
  <c r="L46" i="58" s="1"/>
  <c r="R12" i="17" l="1"/>
  <c r="Q12" i="58"/>
  <c r="Q57" i="58" s="1"/>
  <c r="Q8" i="17"/>
  <c r="P8" i="58"/>
  <c r="P53" i="58" s="1"/>
  <c r="M7" i="17"/>
  <c r="M7" i="58" s="1"/>
  <c r="M49" i="58" s="1"/>
  <c r="L7" i="58"/>
  <c r="L49" i="58" s="1"/>
  <c r="M10" i="17"/>
  <c r="M10" i="58" s="1"/>
  <c r="M55" i="58" s="1"/>
  <c r="L10" i="58"/>
  <c r="L55" i="58" s="1"/>
  <c r="R10" i="17"/>
  <c r="Q10" i="58"/>
  <c r="Q55" i="58" s="1"/>
  <c r="M8" i="17"/>
  <c r="M8" i="58" s="1"/>
  <c r="M53" i="58" s="1"/>
  <c r="L8" i="58"/>
  <c r="L53" i="58" s="1"/>
  <c r="M11" i="17"/>
  <c r="M11" i="58" s="1"/>
  <c r="M56" i="58" s="1"/>
  <c r="L11" i="58"/>
  <c r="L56" i="58" s="1"/>
  <c r="R11" i="17"/>
  <c r="Q11" i="58"/>
  <c r="Q56" i="58" s="1"/>
  <c r="M6" i="17"/>
  <c r="M6" i="58" s="1"/>
  <c r="M48" i="58" s="1"/>
  <c r="L6" i="58"/>
  <c r="L48" i="58" s="1"/>
  <c r="R9" i="17"/>
  <c r="Q9" i="58"/>
  <c r="Q54" i="58" s="1"/>
  <c r="M3" i="17"/>
  <c r="M3" i="58" s="1"/>
  <c r="M45" i="58" s="1"/>
  <c r="L3" i="58"/>
  <c r="L45" i="58" s="1"/>
  <c r="R6" i="17"/>
  <c r="Q6" i="58"/>
  <c r="Q48" i="58" s="1"/>
  <c r="R7" i="17"/>
  <c r="Q7" i="58"/>
  <c r="Q49" i="58" s="1"/>
  <c r="R5" i="17"/>
  <c r="Q5" i="58"/>
  <c r="Q47" i="58" s="1"/>
  <c r="M5" i="17"/>
  <c r="M5" i="58" s="1"/>
  <c r="M47" i="58" s="1"/>
  <c r="L5" i="58"/>
  <c r="L47" i="58" s="1"/>
  <c r="M9" i="17"/>
  <c r="M9" i="58" s="1"/>
  <c r="M54" i="58" s="1"/>
  <c r="L9" i="58"/>
  <c r="L54" i="58" s="1"/>
  <c r="S3" i="17"/>
  <c r="S3" i="58" s="1"/>
  <c r="S45" i="58" s="1"/>
  <c r="R3" i="58"/>
  <c r="R45" i="58" s="1"/>
  <c r="S4" i="17"/>
  <c r="S4" i="58" s="1"/>
  <c r="S46" i="58" s="1"/>
  <c r="R4" i="58"/>
  <c r="R46" i="58" s="1"/>
  <c r="S11" i="17" l="1"/>
  <c r="S11" i="58" s="1"/>
  <c r="S56" i="58" s="1"/>
  <c r="R11" i="58"/>
  <c r="R56" i="58" s="1"/>
  <c r="S6" i="17"/>
  <c r="S6" i="58" s="1"/>
  <c r="S48" i="58" s="1"/>
  <c r="R6" i="58"/>
  <c r="R48" i="58" s="1"/>
  <c r="S5" i="17"/>
  <c r="S5" i="58" s="1"/>
  <c r="S47" i="58" s="1"/>
  <c r="R5" i="58"/>
  <c r="R47" i="58" s="1"/>
  <c r="R8" i="17"/>
  <c r="Q8" i="58"/>
  <c r="Q53" i="58" s="1"/>
  <c r="S9" i="17"/>
  <c r="S9" i="58" s="1"/>
  <c r="S54" i="58" s="1"/>
  <c r="R9" i="58"/>
  <c r="R54" i="58" s="1"/>
  <c r="S7" i="17"/>
  <c r="S7" i="58" s="1"/>
  <c r="S49" i="58" s="1"/>
  <c r="R7" i="58"/>
  <c r="R49" i="58" s="1"/>
  <c r="S10" i="17"/>
  <c r="S10" i="58" s="1"/>
  <c r="S55" i="58" s="1"/>
  <c r="R10" i="58"/>
  <c r="R55" i="58" s="1"/>
  <c r="S12" i="17"/>
  <c r="S12" i="58" s="1"/>
  <c r="S57" i="58" s="1"/>
  <c r="R12" i="58"/>
  <c r="R57" i="58" s="1"/>
  <c r="N47" i="18"/>
  <c r="L47" i="18"/>
  <c r="J47" i="18"/>
  <c r="H47" i="18"/>
  <c r="F47" i="18"/>
  <c r="G47" i="18" s="1"/>
  <c r="I47" i="18" l="1"/>
  <c r="S8" i="17"/>
  <c r="S8" i="58" s="1"/>
  <c r="S53" i="58" s="1"/>
  <c r="R8" i="58"/>
  <c r="R53" i="58" s="1"/>
  <c r="K47" i="18"/>
  <c r="I46" i="18"/>
  <c r="G46" i="18"/>
  <c r="C42" i="18"/>
  <c r="D42" i="18"/>
  <c r="E42" i="18"/>
  <c r="F42" i="18"/>
  <c r="G42" i="18"/>
  <c r="H42" i="18"/>
  <c r="I42" i="18"/>
  <c r="K46" i="18" l="1"/>
  <c r="M47" i="18"/>
  <c r="B63" i="11"/>
  <c r="A63" i="11"/>
  <c r="B62" i="11"/>
  <c r="A62" i="11"/>
  <c r="B61" i="11"/>
  <c r="A61" i="11"/>
  <c r="C60" i="11"/>
  <c r="B60" i="11"/>
  <c r="A60" i="11"/>
  <c r="AO165" i="18"/>
  <c r="AO166" i="18"/>
  <c r="AO167" i="18"/>
  <c r="AO168" i="18"/>
  <c r="AO172" i="18"/>
  <c r="AO173" i="18"/>
  <c r="AO174" i="18"/>
  <c r="AO175" i="18"/>
  <c r="AO176" i="18"/>
  <c r="AO164" i="18"/>
  <c r="AO152" i="18"/>
  <c r="AO153" i="18"/>
  <c r="AO154" i="18"/>
  <c r="AO155" i="18"/>
  <c r="AO160" i="18"/>
  <c r="AO161" i="18"/>
  <c r="AO162" i="18"/>
  <c r="AO163" i="18"/>
  <c r="AO144" i="18"/>
  <c r="AO146" i="18"/>
  <c r="AO147" i="18"/>
  <c r="AO148" i="18"/>
  <c r="AO149" i="18"/>
  <c r="AO150" i="18"/>
  <c r="AO126" i="18"/>
  <c r="AO127" i="18"/>
  <c r="AO128" i="18"/>
  <c r="AO129" i="18"/>
  <c r="AO131" i="18"/>
  <c r="AO125" i="18"/>
  <c r="AO105" i="18"/>
  <c r="AO92" i="18"/>
  <c r="AO61" i="18"/>
  <c r="AO62" i="18"/>
  <c r="AO63" i="18"/>
  <c r="AO64" i="18"/>
  <c r="AO66" i="18"/>
  <c r="AO68" i="18"/>
  <c r="AO69" i="18"/>
  <c r="AO70" i="18"/>
  <c r="AO71" i="18"/>
  <c r="AO72" i="18"/>
  <c r="AO60" i="18"/>
  <c r="AO48" i="18"/>
  <c r="AO49" i="18"/>
  <c r="AO50" i="18"/>
  <c r="AO51" i="18"/>
  <c r="AO53" i="18"/>
  <c r="AO55" i="18"/>
  <c r="AO56" i="18"/>
  <c r="AO57" i="18"/>
  <c r="AO58" i="18"/>
  <c r="AO59" i="18"/>
  <c r="AO47" i="18"/>
  <c r="AO40" i="18"/>
  <c r="AO19" i="18"/>
  <c r="AO24" i="18"/>
  <c r="AO18" i="18"/>
  <c r="AO14" i="18"/>
  <c r="AO15" i="18"/>
  <c r="AO16" i="18"/>
  <c r="AO17" i="18"/>
  <c r="M46" i="18" l="1"/>
  <c r="O47" i="18"/>
  <c r="Q47" i="18" l="1"/>
  <c r="O46" i="18"/>
  <c r="S47" i="18" l="1"/>
  <c r="U47" i="18" s="1"/>
  <c r="W47" i="18" s="1"/>
  <c r="Q46" i="18"/>
  <c r="C63" i="50"/>
  <c r="B63" i="50"/>
  <c r="A63" i="50"/>
  <c r="C62" i="50"/>
  <c r="B62" i="50"/>
  <c r="A62" i="50"/>
  <c r="C61" i="50"/>
  <c r="B61" i="50"/>
  <c r="A61" i="50"/>
  <c r="C60" i="50"/>
  <c r="B60" i="50"/>
  <c r="A60" i="50"/>
  <c r="C64" i="47"/>
  <c r="B64" i="47"/>
  <c r="A64" i="47"/>
  <c r="C63" i="47"/>
  <c r="B63" i="47"/>
  <c r="A63" i="47"/>
  <c r="C62" i="47"/>
  <c r="B62" i="47"/>
  <c r="A62" i="47"/>
  <c r="C61" i="47"/>
  <c r="B61" i="47"/>
  <c r="A61" i="47"/>
  <c r="C64" i="45"/>
  <c r="B64" i="45"/>
  <c r="A64" i="45"/>
  <c r="C63" i="45"/>
  <c r="B63" i="45"/>
  <c r="A63" i="45"/>
  <c r="C62" i="45"/>
  <c r="B62" i="45"/>
  <c r="A62" i="45"/>
  <c r="C61" i="45"/>
  <c r="B61" i="45"/>
  <c r="A61" i="45"/>
  <c r="C63" i="43"/>
  <c r="B63" i="43"/>
  <c r="A63" i="43"/>
  <c r="C62" i="43"/>
  <c r="B62" i="43"/>
  <c r="A62" i="43"/>
  <c r="C61" i="43"/>
  <c r="B61" i="43"/>
  <c r="A61" i="43"/>
  <c r="C60" i="43"/>
  <c r="B60" i="43"/>
  <c r="A60" i="43"/>
  <c r="C63" i="38"/>
  <c r="B63" i="38"/>
  <c r="A63" i="38"/>
  <c r="C62" i="38"/>
  <c r="B62" i="38"/>
  <c r="A62" i="38"/>
  <c r="C61" i="38"/>
  <c r="B61" i="38"/>
  <c r="A61" i="38"/>
  <c r="C60" i="38"/>
  <c r="B60" i="38"/>
  <c r="A60" i="38"/>
  <c r="C64" i="23"/>
  <c r="B64" i="23"/>
  <c r="A64" i="23"/>
  <c r="C63" i="23"/>
  <c r="B63" i="23"/>
  <c r="A63" i="23"/>
  <c r="C62" i="23"/>
  <c r="B62" i="23"/>
  <c r="A62" i="23"/>
  <c r="C61" i="23"/>
  <c r="B61" i="23"/>
  <c r="A61" i="23"/>
  <c r="C63" i="15"/>
  <c r="B63" i="15"/>
  <c r="A63" i="15"/>
  <c r="C62" i="15"/>
  <c r="B62" i="15"/>
  <c r="A62" i="15"/>
  <c r="C61" i="15"/>
  <c r="B61" i="15"/>
  <c r="A61" i="15"/>
  <c r="C60" i="15"/>
  <c r="B60" i="15"/>
  <c r="A60" i="15"/>
  <c r="C63" i="13"/>
  <c r="B63" i="13"/>
  <c r="A63" i="13"/>
  <c r="C62" i="13"/>
  <c r="B62" i="13"/>
  <c r="A62" i="13"/>
  <c r="C61" i="13"/>
  <c r="B61" i="13"/>
  <c r="A61" i="13"/>
  <c r="C60" i="13"/>
  <c r="B60" i="13"/>
  <c r="A60" i="13"/>
  <c r="C64" i="12"/>
  <c r="B64" i="12"/>
  <c r="A64" i="12"/>
  <c r="C63" i="12"/>
  <c r="B63" i="12"/>
  <c r="A63" i="12"/>
  <c r="C62" i="12"/>
  <c r="B62" i="12"/>
  <c r="A62" i="12"/>
  <c r="C61" i="12"/>
  <c r="B61" i="12"/>
  <c r="A61" i="12"/>
  <c r="W46" i="18" l="1"/>
  <c r="Y47" i="18"/>
  <c r="U46" i="18"/>
  <c r="S46" i="18"/>
  <c r="D22" i="17"/>
  <c r="E22" i="17" s="1"/>
  <c r="F22" i="17" s="1"/>
  <c r="G22" i="17" s="1"/>
  <c r="H22" i="17" s="1"/>
  <c r="I22" i="17" s="1"/>
  <c r="J22" i="17" s="1"/>
  <c r="K22" i="17" s="1"/>
  <c r="L22" i="17" s="1"/>
  <c r="M22" i="17" s="1"/>
  <c r="N22" i="17" s="1"/>
  <c r="O22" i="17" s="1"/>
  <c r="P22" i="17" s="1"/>
  <c r="Q22" i="17" s="1"/>
  <c r="R22" i="17" s="1"/>
  <c r="S22" i="17" s="1"/>
  <c r="T22" i="17" s="1"/>
  <c r="U22" i="17" s="1"/>
  <c r="V22" i="17" s="1"/>
  <c r="W22" i="17" s="1"/>
  <c r="X22" i="17" s="1"/>
  <c r="Y22" i="17" s="1"/>
  <c r="Z22" i="17" s="1"/>
  <c r="AA22" i="17" s="1"/>
  <c r="AB22" i="17" s="1"/>
  <c r="AC22" i="17" s="1"/>
  <c r="AD22" i="17" s="1"/>
  <c r="D21" i="17"/>
  <c r="E21" i="17" s="1"/>
  <c r="F21" i="17" s="1"/>
  <c r="G21" i="17" s="1"/>
  <c r="H21" i="17" s="1"/>
  <c r="I21" i="17" s="1"/>
  <c r="J21" i="17" s="1"/>
  <c r="K21" i="17" s="1"/>
  <c r="L21" i="17" s="1"/>
  <c r="M21" i="17" s="1"/>
  <c r="N21" i="17" s="1"/>
  <c r="O21" i="17" s="1"/>
  <c r="P21" i="17" s="1"/>
  <c r="Q21" i="17" s="1"/>
  <c r="R21" i="17" s="1"/>
  <c r="S21" i="17" s="1"/>
  <c r="T21" i="17" s="1"/>
  <c r="U21" i="17" s="1"/>
  <c r="V21" i="17" s="1"/>
  <c r="W21" i="17" s="1"/>
  <c r="X21" i="17" s="1"/>
  <c r="Y21" i="17" s="1"/>
  <c r="Z21" i="17" s="1"/>
  <c r="AA21" i="17" s="1"/>
  <c r="AB21" i="17" s="1"/>
  <c r="AC21" i="17" s="1"/>
  <c r="AD21" i="17" s="1"/>
  <c r="B60" i="10"/>
  <c r="C60" i="10"/>
  <c r="B61" i="10"/>
  <c r="C61" i="10"/>
  <c r="B62" i="10"/>
  <c r="C62" i="10"/>
  <c r="B63" i="10"/>
  <c r="C63" i="10"/>
  <c r="A61" i="10"/>
  <c r="A62" i="10"/>
  <c r="A63" i="10"/>
  <c r="A60" i="10"/>
  <c r="AA47" i="18" l="1"/>
  <c r="Y46" i="18"/>
  <c r="AA46" i="18" l="1"/>
  <c r="AO159" i="18" l="1"/>
  <c r="AO151" i="18"/>
  <c r="D38" i="50"/>
  <c r="E38" i="50" s="1"/>
  <c r="F38" i="50" s="1"/>
  <c r="G38" i="50" s="1"/>
  <c r="H38" i="50" s="1"/>
  <c r="I38" i="50" s="1"/>
  <c r="J38" i="50" s="1"/>
  <c r="K38" i="50" s="1"/>
  <c r="L38" i="50" s="1"/>
  <c r="M38" i="50" s="1"/>
  <c r="N38" i="50" s="1"/>
  <c r="O38" i="50" s="1"/>
  <c r="P38" i="50" s="1"/>
  <c r="Q38" i="50" s="1"/>
  <c r="R38" i="50" s="1"/>
  <c r="S38" i="50" s="1"/>
  <c r="T38" i="50" s="1"/>
  <c r="U38" i="50" s="1"/>
  <c r="V38" i="50" s="1"/>
  <c r="W38" i="50" s="1"/>
  <c r="X38" i="50" s="1"/>
  <c r="Y38" i="50" s="1"/>
  <c r="Z38" i="50" s="1"/>
  <c r="AA38" i="50" s="1"/>
  <c r="AB38" i="50" s="1"/>
  <c r="AC38" i="50" s="1"/>
  <c r="AD38" i="50" s="1"/>
  <c r="AO170" i="18"/>
  <c r="AD12" i="50"/>
  <c r="AD56" i="50" s="1"/>
  <c r="T12" i="50"/>
  <c r="T56" i="50" s="1"/>
  <c r="J12" i="50"/>
  <c r="J56" i="50" s="1"/>
  <c r="E12" i="50"/>
  <c r="E56" i="50" s="1"/>
  <c r="D12" i="50"/>
  <c r="D56" i="50" s="1"/>
  <c r="AD11" i="50"/>
  <c r="AD55" i="50" s="1"/>
  <c r="T11" i="50"/>
  <c r="T55" i="50" s="1"/>
  <c r="J11" i="50"/>
  <c r="J55" i="50" s="1"/>
  <c r="E11" i="50"/>
  <c r="E55" i="50" s="1"/>
  <c r="D11" i="50"/>
  <c r="D55" i="50" s="1"/>
  <c r="AD10" i="50"/>
  <c r="AD54" i="50" s="1"/>
  <c r="T10" i="50"/>
  <c r="T54" i="50" s="1"/>
  <c r="J10" i="50"/>
  <c r="J54" i="50" s="1"/>
  <c r="E10" i="50"/>
  <c r="E54" i="50" s="1"/>
  <c r="D10" i="50"/>
  <c r="D54" i="50" s="1"/>
  <c r="AD9" i="50"/>
  <c r="AD53" i="50" s="1"/>
  <c r="T9" i="50"/>
  <c r="T53" i="50" s="1"/>
  <c r="J9" i="50"/>
  <c r="J53" i="50" s="1"/>
  <c r="E9" i="50"/>
  <c r="E53" i="50" s="1"/>
  <c r="D9" i="50"/>
  <c r="D53" i="50" s="1"/>
  <c r="AD8" i="50"/>
  <c r="AD52" i="50" s="1"/>
  <c r="T8" i="50"/>
  <c r="T52" i="50" s="1"/>
  <c r="J8" i="50"/>
  <c r="J52" i="50" s="1"/>
  <c r="E8" i="50"/>
  <c r="E52" i="50" s="1"/>
  <c r="D8" i="50"/>
  <c r="D52" i="50" s="1"/>
  <c r="AD7" i="50"/>
  <c r="AD48" i="50" s="1"/>
  <c r="T7" i="50"/>
  <c r="T48" i="50" s="1"/>
  <c r="J7" i="50"/>
  <c r="J48" i="50" s="1"/>
  <c r="E7" i="50"/>
  <c r="E48" i="50" s="1"/>
  <c r="D7" i="50"/>
  <c r="D48" i="50" s="1"/>
  <c r="AD6" i="50"/>
  <c r="AD47" i="50" s="1"/>
  <c r="T6" i="50"/>
  <c r="T47" i="50" s="1"/>
  <c r="K6" i="50"/>
  <c r="K47" i="50" s="1"/>
  <c r="J6" i="50"/>
  <c r="J47" i="50" s="1"/>
  <c r="E6" i="50"/>
  <c r="E47" i="50" s="1"/>
  <c r="D6" i="50"/>
  <c r="D47" i="50" s="1"/>
  <c r="AD5" i="50"/>
  <c r="AD46" i="50" s="1"/>
  <c r="T5" i="50"/>
  <c r="T46" i="50" s="1"/>
  <c r="K5" i="50"/>
  <c r="K46" i="50" s="1"/>
  <c r="J5" i="50"/>
  <c r="J46" i="50" s="1"/>
  <c r="E5" i="50"/>
  <c r="E46" i="50" s="1"/>
  <c r="D5" i="50"/>
  <c r="D46" i="50" s="1"/>
  <c r="AD4" i="50"/>
  <c r="AD45" i="50" s="1"/>
  <c r="T4" i="50"/>
  <c r="T45" i="50" s="1"/>
  <c r="J4" i="50"/>
  <c r="J45" i="50" s="1"/>
  <c r="E4" i="50"/>
  <c r="E45" i="50" s="1"/>
  <c r="D4" i="50"/>
  <c r="D45" i="50" s="1"/>
  <c r="AD3" i="50"/>
  <c r="AD44" i="50" s="1"/>
  <c r="T3" i="50"/>
  <c r="T44" i="50" s="1"/>
  <c r="J3" i="50"/>
  <c r="J44" i="50" s="1"/>
  <c r="E3" i="50"/>
  <c r="E44" i="50" s="1"/>
  <c r="D3" i="50"/>
  <c r="D44" i="50" s="1"/>
  <c r="AD2" i="50"/>
  <c r="AD42" i="50" s="1"/>
  <c r="E2" i="50"/>
  <c r="E42" i="50" s="1"/>
  <c r="D2" i="50"/>
  <c r="D42" i="50" s="1"/>
  <c r="D39" i="47"/>
  <c r="E39" i="47" s="1"/>
  <c r="F39" i="47" s="1"/>
  <c r="G39" i="47" s="1"/>
  <c r="H39" i="47" s="1"/>
  <c r="I39" i="47" s="1"/>
  <c r="J39" i="47" s="1"/>
  <c r="K39" i="47" s="1"/>
  <c r="L39" i="47" s="1"/>
  <c r="M39" i="47" s="1"/>
  <c r="N39" i="47" s="1"/>
  <c r="O39" i="47" s="1"/>
  <c r="P39" i="47" s="1"/>
  <c r="Q39" i="47" s="1"/>
  <c r="R39" i="47" s="1"/>
  <c r="S39" i="47" s="1"/>
  <c r="T39" i="47" s="1"/>
  <c r="U39" i="47" s="1"/>
  <c r="V39" i="47" s="1"/>
  <c r="W39" i="47" s="1"/>
  <c r="X39" i="47" s="1"/>
  <c r="Y39" i="47" s="1"/>
  <c r="Z39" i="47" s="1"/>
  <c r="AA39" i="47" s="1"/>
  <c r="AB39" i="47" s="1"/>
  <c r="AC39" i="47" s="1"/>
  <c r="AD39" i="47" s="1"/>
  <c r="AO157" i="18"/>
  <c r="AD12" i="47"/>
  <c r="AD57" i="47" s="1"/>
  <c r="T12" i="47"/>
  <c r="T57" i="47" s="1"/>
  <c r="J12" i="47"/>
  <c r="J57" i="47" s="1"/>
  <c r="E12" i="47"/>
  <c r="E57" i="47" s="1"/>
  <c r="D12" i="47"/>
  <c r="D57" i="47" s="1"/>
  <c r="AD11" i="47"/>
  <c r="AD56" i="47" s="1"/>
  <c r="T11" i="47"/>
  <c r="T56" i="47" s="1"/>
  <c r="J11" i="47"/>
  <c r="J56" i="47" s="1"/>
  <c r="E11" i="47"/>
  <c r="E56" i="47" s="1"/>
  <c r="D11" i="47"/>
  <c r="D56" i="47" s="1"/>
  <c r="AD10" i="47"/>
  <c r="AD55" i="47" s="1"/>
  <c r="T10" i="47"/>
  <c r="T55" i="47" s="1"/>
  <c r="J10" i="47"/>
  <c r="J55" i="47" s="1"/>
  <c r="E10" i="47"/>
  <c r="E55" i="47" s="1"/>
  <c r="D10" i="47"/>
  <c r="D55" i="47" s="1"/>
  <c r="AD9" i="47"/>
  <c r="AD54" i="47" s="1"/>
  <c r="T9" i="47"/>
  <c r="T54" i="47" s="1"/>
  <c r="J9" i="47"/>
  <c r="J54" i="47" s="1"/>
  <c r="E9" i="47"/>
  <c r="E54" i="47" s="1"/>
  <c r="D9" i="47"/>
  <c r="D54" i="47" s="1"/>
  <c r="AD8" i="47"/>
  <c r="AD53" i="47" s="1"/>
  <c r="T8" i="47"/>
  <c r="T53" i="47" s="1"/>
  <c r="J8" i="47"/>
  <c r="J53" i="47" s="1"/>
  <c r="E8" i="47"/>
  <c r="E53" i="47" s="1"/>
  <c r="D8" i="47"/>
  <c r="D53" i="47" s="1"/>
  <c r="AD7" i="47"/>
  <c r="AD49" i="47" s="1"/>
  <c r="T7" i="47"/>
  <c r="T49" i="47" s="1"/>
  <c r="J7" i="47"/>
  <c r="J49" i="47" s="1"/>
  <c r="E7" i="47"/>
  <c r="E49" i="47" s="1"/>
  <c r="D7" i="47"/>
  <c r="D49" i="47" s="1"/>
  <c r="AD6" i="47"/>
  <c r="AD48" i="47" s="1"/>
  <c r="T6" i="47"/>
  <c r="T48" i="47" s="1"/>
  <c r="K6" i="47"/>
  <c r="K48" i="47" s="1"/>
  <c r="J6" i="47"/>
  <c r="J48" i="47" s="1"/>
  <c r="E6" i="47"/>
  <c r="E48" i="47" s="1"/>
  <c r="D6" i="47"/>
  <c r="D48" i="47" s="1"/>
  <c r="AD5" i="47"/>
  <c r="AD47" i="47" s="1"/>
  <c r="T5" i="47"/>
  <c r="T47" i="47" s="1"/>
  <c r="K5" i="47"/>
  <c r="K47" i="47" s="1"/>
  <c r="J5" i="47"/>
  <c r="J47" i="47" s="1"/>
  <c r="E5" i="47"/>
  <c r="E47" i="47" s="1"/>
  <c r="D5" i="47"/>
  <c r="D47" i="47" s="1"/>
  <c r="AD4" i="47"/>
  <c r="AD46" i="47" s="1"/>
  <c r="T4" i="47"/>
  <c r="T46" i="47" s="1"/>
  <c r="J4" i="47"/>
  <c r="J46" i="47" s="1"/>
  <c r="E4" i="47"/>
  <c r="E46" i="47" s="1"/>
  <c r="D4" i="47"/>
  <c r="D46" i="47" s="1"/>
  <c r="AD3" i="47"/>
  <c r="AD45" i="47" s="1"/>
  <c r="T3" i="47"/>
  <c r="T45" i="47" s="1"/>
  <c r="J3" i="47"/>
  <c r="J45" i="47" s="1"/>
  <c r="E3" i="47"/>
  <c r="E45" i="47" s="1"/>
  <c r="D3" i="47"/>
  <c r="D45" i="47" s="1"/>
  <c r="AD2" i="47"/>
  <c r="AD43" i="47" s="1"/>
  <c r="E2" i="47"/>
  <c r="E43" i="47" s="1"/>
  <c r="D2" i="47"/>
  <c r="D43" i="47" s="1"/>
  <c r="D39" i="45"/>
  <c r="E39" i="45" s="1"/>
  <c r="F39" i="45" s="1"/>
  <c r="G39" i="45" s="1"/>
  <c r="H39" i="45" s="1"/>
  <c r="I39" i="45" s="1"/>
  <c r="J39" i="45" s="1"/>
  <c r="K39" i="45" s="1"/>
  <c r="L39" i="45" s="1"/>
  <c r="M39" i="45" s="1"/>
  <c r="N39" i="45" s="1"/>
  <c r="O39" i="45" s="1"/>
  <c r="P39" i="45" s="1"/>
  <c r="Q39" i="45" s="1"/>
  <c r="R39" i="45" s="1"/>
  <c r="S39" i="45" s="1"/>
  <c r="T39" i="45" s="1"/>
  <c r="U39" i="45" s="1"/>
  <c r="V39" i="45" s="1"/>
  <c r="W39" i="45" s="1"/>
  <c r="X39" i="45" s="1"/>
  <c r="Y39" i="45" s="1"/>
  <c r="Z39" i="45" s="1"/>
  <c r="AA39" i="45" s="1"/>
  <c r="AB39" i="45" s="1"/>
  <c r="AC39" i="45" s="1"/>
  <c r="AD39" i="45" s="1"/>
  <c r="AD12" i="45"/>
  <c r="AD57" i="45" s="1"/>
  <c r="T12" i="45"/>
  <c r="T57" i="45" s="1"/>
  <c r="J12" i="45"/>
  <c r="J57" i="45" s="1"/>
  <c r="E12" i="45"/>
  <c r="E57" i="45" s="1"/>
  <c r="D12" i="45"/>
  <c r="D57" i="45" s="1"/>
  <c r="AD11" i="45"/>
  <c r="AD56" i="45" s="1"/>
  <c r="T11" i="45"/>
  <c r="T56" i="45" s="1"/>
  <c r="J11" i="45"/>
  <c r="J56" i="45" s="1"/>
  <c r="E11" i="45"/>
  <c r="E56" i="45" s="1"/>
  <c r="D11" i="45"/>
  <c r="D56" i="45" s="1"/>
  <c r="AD10" i="45"/>
  <c r="AD55" i="45" s="1"/>
  <c r="T10" i="45"/>
  <c r="T55" i="45" s="1"/>
  <c r="J10" i="45"/>
  <c r="J55" i="45" s="1"/>
  <c r="E10" i="45"/>
  <c r="E55" i="45" s="1"/>
  <c r="D10" i="45"/>
  <c r="D55" i="45" s="1"/>
  <c r="AD9" i="45"/>
  <c r="AD54" i="45" s="1"/>
  <c r="T9" i="45"/>
  <c r="T54" i="45" s="1"/>
  <c r="J9" i="45"/>
  <c r="J54" i="45" s="1"/>
  <c r="E9" i="45"/>
  <c r="E54" i="45" s="1"/>
  <c r="D9" i="45"/>
  <c r="D54" i="45" s="1"/>
  <c r="AD8" i="45"/>
  <c r="AD53" i="45" s="1"/>
  <c r="T8" i="45"/>
  <c r="T53" i="45" s="1"/>
  <c r="J8" i="45"/>
  <c r="J53" i="45" s="1"/>
  <c r="E8" i="45"/>
  <c r="E53" i="45" s="1"/>
  <c r="D8" i="45"/>
  <c r="D53" i="45" s="1"/>
  <c r="AD7" i="45"/>
  <c r="AD49" i="45" s="1"/>
  <c r="T7" i="45"/>
  <c r="T49" i="45" s="1"/>
  <c r="J7" i="45"/>
  <c r="J49" i="45" s="1"/>
  <c r="E7" i="45"/>
  <c r="E49" i="45" s="1"/>
  <c r="D7" i="45"/>
  <c r="D49" i="45" s="1"/>
  <c r="AD6" i="45"/>
  <c r="AD48" i="45" s="1"/>
  <c r="T6" i="45"/>
  <c r="T48" i="45" s="1"/>
  <c r="K6" i="45"/>
  <c r="K48" i="45" s="1"/>
  <c r="J6" i="45"/>
  <c r="J48" i="45" s="1"/>
  <c r="E6" i="45"/>
  <c r="E48" i="45" s="1"/>
  <c r="D6" i="45"/>
  <c r="D48" i="45" s="1"/>
  <c r="AD5" i="45"/>
  <c r="AD47" i="45" s="1"/>
  <c r="T5" i="45"/>
  <c r="T47" i="45" s="1"/>
  <c r="K5" i="45"/>
  <c r="K47" i="45" s="1"/>
  <c r="J5" i="45"/>
  <c r="J47" i="45" s="1"/>
  <c r="E5" i="45"/>
  <c r="E47" i="45" s="1"/>
  <c r="D5" i="45"/>
  <c r="D47" i="45" s="1"/>
  <c r="AD4" i="45"/>
  <c r="AD46" i="45" s="1"/>
  <c r="T4" i="45"/>
  <c r="T46" i="45" s="1"/>
  <c r="J4" i="45"/>
  <c r="J46" i="45" s="1"/>
  <c r="E4" i="45"/>
  <c r="E46" i="45" s="1"/>
  <c r="D4" i="45"/>
  <c r="D46" i="45" s="1"/>
  <c r="AD3" i="45"/>
  <c r="AD45" i="45" s="1"/>
  <c r="T3" i="45"/>
  <c r="T45" i="45" s="1"/>
  <c r="J3" i="45"/>
  <c r="J45" i="45" s="1"/>
  <c r="E3" i="45"/>
  <c r="E45" i="45" s="1"/>
  <c r="D3" i="45"/>
  <c r="D45" i="45" s="1"/>
  <c r="AD2" i="45"/>
  <c r="AD43" i="45" s="1"/>
  <c r="E2" i="45"/>
  <c r="E43" i="45" s="1"/>
  <c r="D2" i="45"/>
  <c r="D43" i="45" s="1"/>
  <c r="D38" i="43"/>
  <c r="E38" i="43" s="1"/>
  <c r="F38" i="43" s="1"/>
  <c r="G38" i="43" s="1"/>
  <c r="H38" i="43" s="1"/>
  <c r="I38" i="43" s="1"/>
  <c r="J38" i="43" s="1"/>
  <c r="K38" i="43" s="1"/>
  <c r="L38" i="43" s="1"/>
  <c r="M38" i="43" s="1"/>
  <c r="N38" i="43" s="1"/>
  <c r="O38" i="43" s="1"/>
  <c r="P38" i="43" s="1"/>
  <c r="Q38" i="43" s="1"/>
  <c r="R38" i="43" s="1"/>
  <c r="S38" i="43" s="1"/>
  <c r="T38" i="43" s="1"/>
  <c r="U38" i="43" s="1"/>
  <c r="V38" i="43" s="1"/>
  <c r="W38" i="43" s="1"/>
  <c r="X38" i="43" s="1"/>
  <c r="Y38" i="43" s="1"/>
  <c r="Z38" i="43" s="1"/>
  <c r="AA38" i="43" s="1"/>
  <c r="AB38" i="43" s="1"/>
  <c r="AC38" i="43" s="1"/>
  <c r="AD38" i="43" s="1"/>
  <c r="AD12" i="43"/>
  <c r="AD56" i="43" s="1"/>
  <c r="T12" i="43"/>
  <c r="T56" i="43" s="1"/>
  <c r="J12" i="43"/>
  <c r="J56" i="43" s="1"/>
  <c r="E12" i="43"/>
  <c r="E56" i="43" s="1"/>
  <c r="D12" i="43"/>
  <c r="D56" i="43" s="1"/>
  <c r="AD11" i="43"/>
  <c r="AD55" i="43" s="1"/>
  <c r="T11" i="43"/>
  <c r="T55" i="43" s="1"/>
  <c r="J11" i="43"/>
  <c r="J55" i="43" s="1"/>
  <c r="E11" i="43"/>
  <c r="E55" i="43" s="1"/>
  <c r="D11" i="43"/>
  <c r="D55" i="43" s="1"/>
  <c r="AD10" i="43"/>
  <c r="AD54" i="43" s="1"/>
  <c r="T10" i="43"/>
  <c r="T54" i="43" s="1"/>
  <c r="J10" i="43"/>
  <c r="J54" i="43" s="1"/>
  <c r="E10" i="43"/>
  <c r="E54" i="43" s="1"/>
  <c r="D10" i="43"/>
  <c r="D54" i="43" s="1"/>
  <c r="AD9" i="43"/>
  <c r="AD53" i="43" s="1"/>
  <c r="T9" i="43"/>
  <c r="T53" i="43" s="1"/>
  <c r="J9" i="43"/>
  <c r="J53" i="43" s="1"/>
  <c r="E9" i="43"/>
  <c r="E53" i="43" s="1"/>
  <c r="D9" i="43"/>
  <c r="D53" i="43" s="1"/>
  <c r="AD8" i="43"/>
  <c r="AD52" i="43" s="1"/>
  <c r="T8" i="43"/>
  <c r="T52" i="43" s="1"/>
  <c r="J8" i="43"/>
  <c r="J52" i="43" s="1"/>
  <c r="E8" i="43"/>
  <c r="E52" i="43" s="1"/>
  <c r="D8" i="43"/>
  <c r="D52" i="43" s="1"/>
  <c r="AD7" i="43"/>
  <c r="AD48" i="43" s="1"/>
  <c r="T7" i="43"/>
  <c r="T48" i="43" s="1"/>
  <c r="J7" i="43"/>
  <c r="J48" i="43" s="1"/>
  <c r="E7" i="43"/>
  <c r="E48" i="43" s="1"/>
  <c r="D7" i="43"/>
  <c r="D48" i="43" s="1"/>
  <c r="AD6" i="43"/>
  <c r="AD47" i="43" s="1"/>
  <c r="T6" i="43"/>
  <c r="T47" i="43" s="1"/>
  <c r="K6" i="43"/>
  <c r="K47" i="43" s="1"/>
  <c r="J6" i="43"/>
  <c r="J47" i="43" s="1"/>
  <c r="E6" i="43"/>
  <c r="E47" i="43" s="1"/>
  <c r="D6" i="43"/>
  <c r="D47" i="43" s="1"/>
  <c r="AD5" i="43"/>
  <c r="AD46" i="43" s="1"/>
  <c r="T5" i="43"/>
  <c r="T46" i="43" s="1"/>
  <c r="K5" i="43"/>
  <c r="K46" i="43" s="1"/>
  <c r="J5" i="43"/>
  <c r="J46" i="43" s="1"/>
  <c r="E5" i="43"/>
  <c r="E46" i="43" s="1"/>
  <c r="D5" i="43"/>
  <c r="D46" i="43" s="1"/>
  <c r="AD4" i="43"/>
  <c r="AD45" i="43" s="1"/>
  <c r="T4" i="43"/>
  <c r="T45" i="43" s="1"/>
  <c r="J4" i="43"/>
  <c r="J45" i="43" s="1"/>
  <c r="E4" i="43"/>
  <c r="E45" i="43" s="1"/>
  <c r="D4" i="43"/>
  <c r="D45" i="43" s="1"/>
  <c r="AD3" i="43"/>
  <c r="AD44" i="43" s="1"/>
  <c r="T3" i="43"/>
  <c r="T44" i="43" s="1"/>
  <c r="J3" i="43"/>
  <c r="J44" i="43" s="1"/>
  <c r="E3" i="43"/>
  <c r="E44" i="43" s="1"/>
  <c r="D3" i="43"/>
  <c r="D44" i="43" s="1"/>
  <c r="AD2" i="43"/>
  <c r="AD42" i="43" s="1"/>
  <c r="E2" i="43"/>
  <c r="E42" i="43" s="1"/>
  <c r="D2" i="43"/>
  <c r="D42" i="43" s="1"/>
  <c r="D38" i="38"/>
  <c r="E38" i="38" s="1"/>
  <c r="F38" i="38" s="1"/>
  <c r="G38" i="38" s="1"/>
  <c r="H38" i="38" s="1"/>
  <c r="I38" i="38" s="1"/>
  <c r="J38" i="38" s="1"/>
  <c r="K38" i="38" s="1"/>
  <c r="L38" i="38" s="1"/>
  <c r="M38" i="38" s="1"/>
  <c r="N38" i="38" s="1"/>
  <c r="O38" i="38" s="1"/>
  <c r="P38" i="38" s="1"/>
  <c r="Q38" i="38" s="1"/>
  <c r="R38" i="38" s="1"/>
  <c r="S38" i="38" s="1"/>
  <c r="T38" i="38" s="1"/>
  <c r="U38" i="38" s="1"/>
  <c r="V38" i="38" s="1"/>
  <c r="W38" i="38" s="1"/>
  <c r="X38" i="38" s="1"/>
  <c r="Y38" i="38" s="1"/>
  <c r="Z38" i="38" s="1"/>
  <c r="AA38" i="38" s="1"/>
  <c r="AB38" i="38" s="1"/>
  <c r="AC38" i="38" s="1"/>
  <c r="AD38" i="38" s="1"/>
  <c r="AD12" i="38"/>
  <c r="AD56" i="38" s="1"/>
  <c r="T12" i="38"/>
  <c r="T56" i="38" s="1"/>
  <c r="J12" i="38"/>
  <c r="J56" i="38" s="1"/>
  <c r="E12" i="38"/>
  <c r="E56" i="38" s="1"/>
  <c r="D12" i="38"/>
  <c r="D56" i="38" s="1"/>
  <c r="AD11" i="38"/>
  <c r="AD55" i="38" s="1"/>
  <c r="T11" i="38"/>
  <c r="T55" i="38" s="1"/>
  <c r="J11" i="38"/>
  <c r="J55" i="38" s="1"/>
  <c r="E11" i="38"/>
  <c r="E55" i="38" s="1"/>
  <c r="D11" i="38"/>
  <c r="D55" i="38" s="1"/>
  <c r="AD10" i="38"/>
  <c r="AD54" i="38" s="1"/>
  <c r="T10" i="38"/>
  <c r="T54" i="38" s="1"/>
  <c r="J10" i="38"/>
  <c r="J54" i="38" s="1"/>
  <c r="E10" i="38"/>
  <c r="E54" i="38" s="1"/>
  <c r="D10" i="38"/>
  <c r="D54" i="38" s="1"/>
  <c r="AD9" i="38"/>
  <c r="AD53" i="38" s="1"/>
  <c r="T9" i="38"/>
  <c r="T53" i="38" s="1"/>
  <c r="J9" i="38"/>
  <c r="J53" i="38" s="1"/>
  <c r="E9" i="38"/>
  <c r="E53" i="38" s="1"/>
  <c r="D9" i="38"/>
  <c r="D53" i="38" s="1"/>
  <c r="AD8" i="38"/>
  <c r="AD52" i="38" s="1"/>
  <c r="T8" i="38"/>
  <c r="T52" i="38" s="1"/>
  <c r="J8" i="38"/>
  <c r="J52" i="38" s="1"/>
  <c r="E8" i="38"/>
  <c r="E52" i="38" s="1"/>
  <c r="D8" i="38"/>
  <c r="D52" i="38" s="1"/>
  <c r="AD7" i="38"/>
  <c r="AD48" i="38" s="1"/>
  <c r="T7" i="38"/>
  <c r="T48" i="38" s="1"/>
  <c r="J7" i="38"/>
  <c r="J48" i="38" s="1"/>
  <c r="E7" i="38"/>
  <c r="E48" i="38" s="1"/>
  <c r="D7" i="38"/>
  <c r="D48" i="38" s="1"/>
  <c r="AD6" i="38"/>
  <c r="AD47" i="38" s="1"/>
  <c r="T6" i="38"/>
  <c r="T47" i="38" s="1"/>
  <c r="K6" i="38"/>
  <c r="J6" i="38"/>
  <c r="J47" i="38" s="1"/>
  <c r="E6" i="38"/>
  <c r="E47" i="38" s="1"/>
  <c r="D6" i="38"/>
  <c r="D47" i="38" s="1"/>
  <c r="AD5" i="38"/>
  <c r="AD46" i="38" s="1"/>
  <c r="T5" i="38"/>
  <c r="T46" i="38" s="1"/>
  <c r="K5" i="38"/>
  <c r="K46" i="38" s="1"/>
  <c r="J5" i="38"/>
  <c r="J46" i="38" s="1"/>
  <c r="E5" i="38"/>
  <c r="E46" i="38" s="1"/>
  <c r="D5" i="38"/>
  <c r="D46" i="38" s="1"/>
  <c r="AD4" i="38"/>
  <c r="AD45" i="38" s="1"/>
  <c r="T4" i="38"/>
  <c r="T45" i="38" s="1"/>
  <c r="J4" i="38"/>
  <c r="J45" i="38" s="1"/>
  <c r="E4" i="38"/>
  <c r="E45" i="38" s="1"/>
  <c r="D4" i="38"/>
  <c r="D45" i="38" s="1"/>
  <c r="AD3" i="38"/>
  <c r="AD44" i="38" s="1"/>
  <c r="T3" i="38"/>
  <c r="T44" i="38" s="1"/>
  <c r="J3" i="38"/>
  <c r="J44" i="38" s="1"/>
  <c r="E3" i="38"/>
  <c r="E44" i="38" s="1"/>
  <c r="D3" i="38"/>
  <c r="D44" i="38" s="1"/>
  <c r="AD2" i="38"/>
  <c r="AD42" i="38" s="1"/>
  <c r="E2" i="38"/>
  <c r="E42" i="38" s="1"/>
  <c r="D2" i="38"/>
  <c r="D42" i="38" s="1"/>
  <c r="D39" i="23"/>
  <c r="E39" i="23" s="1"/>
  <c r="F39" i="23" s="1"/>
  <c r="G39" i="23" s="1"/>
  <c r="H39" i="23" s="1"/>
  <c r="I39" i="23" s="1"/>
  <c r="J39" i="23" s="1"/>
  <c r="K39" i="23" s="1"/>
  <c r="L39" i="23" s="1"/>
  <c r="M39" i="23" s="1"/>
  <c r="N39" i="23" s="1"/>
  <c r="O39" i="23" s="1"/>
  <c r="P39" i="23" s="1"/>
  <c r="Q39" i="23" s="1"/>
  <c r="R39" i="23" s="1"/>
  <c r="S39" i="23" s="1"/>
  <c r="T39" i="23" s="1"/>
  <c r="U39" i="23" s="1"/>
  <c r="V39" i="23" s="1"/>
  <c r="W39" i="23" s="1"/>
  <c r="X39" i="23" s="1"/>
  <c r="Y39" i="23" s="1"/>
  <c r="Z39" i="23" s="1"/>
  <c r="AA39" i="23" s="1"/>
  <c r="AB39" i="23" s="1"/>
  <c r="AC39" i="23" s="1"/>
  <c r="AD39" i="23" s="1"/>
  <c r="AD12" i="23"/>
  <c r="AD57" i="23" s="1"/>
  <c r="T12" i="23"/>
  <c r="J12" i="23"/>
  <c r="J57" i="23" s="1"/>
  <c r="E12" i="23"/>
  <c r="E57" i="23" s="1"/>
  <c r="D12" i="23"/>
  <c r="D57" i="23" s="1"/>
  <c r="AD11" i="23"/>
  <c r="AD56" i="23" s="1"/>
  <c r="T11" i="23"/>
  <c r="J11" i="23"/>
  <c r="J56" i="23" s="1"/>
  <c r="E11" i="23"/>
  <c r="E56" i="23" s="1"/>
  <c r="D11" i="23"/>
  <c r="D56" i="23" s="1"/>
  <c r="AD10" i="23"/>
  <c r="AD55" i="23" s="1"/>
  <c r="T10" i="23"/>
  <c r="J10" i="23"/>
  <c r="J55" i="23" s="1"/>
  <c r="E10" i="23"/>
  <c r="E55" i="23" s="1"/>
  <c r="D10" i="23"/>
  <c r="D55" i="23" s="1"/>
  <c r="AD9" i="23"/>
  <c r="AD54" i="23" s="1"/>
  <c r="T9" i="23"/>
  <c r="J9" i="23"/>
  <c r="J54" i="23" s="1"/>
  <c r="E9" i="23"/>
  <c r="E54" i="23" s="1"/>
  <c r="D9" i="23"/>
  <c r="D54" i="23" s="1"/>
  <c r="AD8" i="23"/>
  <c r="AD53" i="23" s="1"/>
  <c r="T8" i="23"/>
  <c r="T53" i="23" s="1"/>
  <c r="J8" i="23"/>
  <c r="J53" i="23" s="1"/>
  <c r="E8" i="23"/>
  <c r="E53" i="23" s="1"/>
  <c r="D8" i="23"/>
  <c r="D53" i="23" s="1"/>
  <c r="AD7" i="23"/>
  <c r="T7" i="23"/>
  <c r="J7" i="23"/>
  <c r="J49" i="23" s="1"/>
  <c r="E7" i="23"/>
  <c r="E49" i="23" s="1"/>
  <c r="D7" i="23"/>
  <c r="D49" i="23" s="1"/>
  <c r="AD6" i="23"/>
  <c r="T6" i="23"/>
  <c r="K6" i="23"/>
  <c r="J6" i="23"/>
  <c r="J48" i="23" s="1"/>
  <c r="E6" i="23"/>
  <c r="E48" i="23" s="1"/>
  <c r="D6" i="23"/>
  <c r="D48" i="23" s="1"/>
  <c r="AD5" i="23"/>
  <c r="T5" i="23"/>
  <c r="K5" i="23"/>
  <c r="J5" i="23"/>
  <c r="J47" i="23" s="1"/>
  <c r="E5" i="23"/>
  <c r="E47" i="23" s="1"/>
  <c r="D5" i="23"/>
  <c r="D47" i="23" s="1"/>
  <c r="AD4" i="23"/>
  <c r="T4" i="23"/>
  <c r="J4" i="23"/>
  <c r="J46" i="23" s="1"/>
  <c r="E4" i="23"/>
  <c r="E46" i="23" s="1"/>
  <c r="D4" i="23"/>
  <c r="D46" i="23" s="1"/>
  <c r="AD3" i="23"/>
  <c r="T3" i="23"/>
  <c r="J3" i="23"/>
  <c r="J45" i="23" s="1"/>
  <c r="E3" i="23"/>
  <c r="E45" i="23" s="1"/>
  <c r="D3" i="23"/>
  <c r="D45" i="23" s="1"/>
  <c r="AD2" i="23"/>
  <c r="AD43" i="23" s="1"/>
  <c r="E2" i="23"/>
  <c r="E43" i="23" s="1"/>
  <c r="D2" i="23"/>
  <c r="D43" i="23" s="1"/>
  <c r="D38" i="15"/>
  <c r="E38" i="15" s="1"/>
  <c r="F38" i="15" s="1"/>
  <c r="G38" i="15" s="1"/>
  <c r="H38" i="15" s="1"/>
  <c r="I38" i="15" s="1"/>
  <c r="J38" i="15" s="1"/>
  <c r="K38" i="15" s="1"/>
  <c r="L38" i="15" s="1"/>
  <c r="M38" i="15" s="1"/>
  <c r="N38" i="15" s="1"/>
  <c r="O38" i="15" s="1"/>
  <c r="P38" i="15" s="1"/>
  <c r="Q38" i="15" s="1"/>
  <c r="R38" i="15" s="1"/>
  <c r="S38" i="15" s="1"/>
  <c r="T38" i="15" s="1"/>
  <c r="U38" i="15" s="1"/>
  <c r="V38" i="15" s="1"/>
  <c r="W38" i="15" s="1"/>
  <c r="X38" i="15" s="1"/>
  <c r="Y38" i="15" s="1"/>
  <c r="Z38" i="15" s="1"/>
  <c r="AA38" i="15" s="1"/>
  <c r="AB38" i="15" s="1"/>
  <c r="AC38" i="15" s="1"/>
  <c r="AD38" i="15" s="1"/>
  <c r="AD12" i="15"/>
  <c r="AD56" i="15" s="1"/>
  <c r="T12" i="15"/>
  <c r="T56" i="15" s="1"/>
  <c r="J12" i="15"/>
  <c r="J56" i="15" s="1"/>
  <c r="E12" i="15"/>
  <c r="E56" i="15" s="1"/>
  <c r="D12" i="15"/>
  <c r="D56" i="15" s="1"/>
  <c r="AD11" i="15"/>
  <c r="AD55" i="15" s="1"/>
  <c r="T11" i="15"/>
  <c r="T55" i="15" s="1"/>
  <c r="J11" i="15"/>
  <c r="J55" i="15" s="1"/>
  <c r="E11" i="15"/>
  <c r="E55" i="15" s="1"/>
  <c r="D11" i="15"/>
  <c r="D55" i="15" s="1"/>
  <c r="AD10" i="15"/>
  <c r="AD54" i="15" s="1"/>
  <c r="T10" i="15"/>
  <c r="T54" i="15" s="1"/>
  <c r="J10" i="15"/>
  <c r="J54" i="15" s="1"/>
  <c r="E10" i="15"/>
  <c r="E54" i="15" s="1"/>
  <c r="D10" i="15"/>
  <c r="D54" i="15" s="1"/>
  <c r="AD9" i="15"/>
  <c r="AD53" i="15" s="1"/>
  <c r="T9" i="15"/>
  <c r="T53" i="15" s="1"/>
  <c r="J9" i="15"/>
  <c r="J53" i="15" s="1"/>
  <c r="E9" i="15"/>
  <c r="E53" i="15" s="1"/>
  <c r="D9" i="15"/>
  <c r="D53" i="15" s="1"/>
  <c r="AD8" i="15"/>
  <c r="AD52" i="15" s="1"/>
  <c r="T8" i="15"/>
  <c r="T52" i="15" s="1"/>
  <c r="J8" i="15"/>
  <c r="J52" i="15" s="1"/>
  <c r="E8" i="15"/>
  <c r="E52" i="15" s="1"/>
  <c r="D8" i="15"/>
  <c r="D52" i="15" s="1"/>
  <c r="AD7" i="15"/>
  <c r="AD48" i="15" s="1"/>
  <c r="T7" i="15"/>
  <c r="T48" i="15" s="1"/>
  <c r="J7" i="15"/>
  <c r="J48" i="15" s="1"/>
  <c r="E7" i="15"/>
  <c r="E48" i="15" s="1"/>
  <c r="D7" i="15"/>
  <c r="D48" i="15" s="1"/>
  <c r="AD6" i="15"/>
  <c r="AD47" i="15" s="1"/>
  <c r="T6" i="15"/>
  <c r="T47" i="15" s="1"/>
  <c r="K6" i="15"/>
  <c r="K47" i="15" s="1"/>
  <c r="J6" i="15"/>
  <c r="J47" i="15" s="1"/>
  <c r="E6" i="15"/>
  <c r="E47" i="15" s="1"/>
  <c r="D6" i="15"/>
  <c r="D47" i="15" s="1"/>
  <c r="AD5" i="15"/>
  <c r="AD46" i="15" s="1"/>
  <c r="T5" i="15"/>
  <c r="T46" i="15" s="1"/>
  <c r="K5" i="15"/>
  <c r="K46" i="15" s="1"/>
  <c r="J5" i="15"/>
  <c r="J46" i="15" s="1"/>
  <c r="E5" i="15"/>
  <c r="E46" i="15" s="1"/>
  <c r="D5" i="15"/>
  <c r="D46" i="15" s="1"/>
  <c r="AD4" i="15"/>
  <c r="AD45" i="15" s="1"/>
  <c r="T4" i="15"/>
  <c r="T45" i="15" s="1"/>
  <c r="J4" i="15"/>
  <c r="J45" i="15" s="1"/>
  <c r="E4" i="15"/>
  <c r="E45" i="15" s="1"/>
  <c r="D4" i="15"/>
  <c r="D45" i="15" s="1"/>
  <c r="AD3" i="15"/>
  <c r="AD44" i="15" s="1"/>
  <c r="T3" i="15"/>
  <c r="T44" i="15" s="1"/>
  <c r="J3" i="15"/>
  <c r="J44" i="15" s="1"/>
  <c r="E3" i="15"/>
  <c r="E44" i="15" s="1"/>
  <c r="D3" i="15"/>
  <c r="D44" i="15" s="1"/>
  <c r="AD2" i="15"/>
  <c r="AD42" i="15" s="1"/>
  <c r="E2" i="15"/>
  <c r="E42" i="15" s="1"/>
  <c r="D2" i="15"/>
  <c r="D42" i="15" s="1"/>
  <c r="D38" i="13"/>
  <c r="E38" i="13" s="1"/>
  <c r="F38" i="13" s="1"/>
  <c r="G38" i="13" s="1"/>
  <c r="H38" i="13" s="1"/>
  <c r="I38" i="13" s="1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AD38" i="13" s="1"/>
  <c r="AD12" i="13"/>
  <c r="AD56" i="13" s="1"/>
  <c r="T12" i="13"/>
  <c r="T56" i="13" s="1"/>
  <c r="J12" i="13"/>
  <c r="J56" i="13" s="1"/>
  <c r="E12" i="13"/>
  <c r="E56" i="13" s="1"/>
  <c r="D12" i="13"/>
  <c r="D56" i="13" s="1"/>
  <c r="AD11" i="13"/>
  <c r="AD55" i="13" s="1"/>
  <c r="T11" i="13"/>
  <c r="T55" i="13" s="1"/>
  <c r="J11" i="13"/>
  <c r="J55" i="13" s="1"/>
  <c r="E11" i="13"/>
  <c r="E55" i="13" s="1"/>
  <c r="D11" i="13"/>
  <c r="D55" i="13" s="1"/>
  <c r="AD10" i="13"/>
  <c r="AD54" i="13" s="1"/>
  <c r="T10" i="13"/>
  <c r="T54" i="13" s="1"/>
  <c r="J10" i="13"/>
  <c r="J54" i="13" s="1"/>
  <c r="E10" i="13"/>
  <c r="E54" i="13" s="1"/>
  <c r="D10" i="13"/>
  <c r="D54" i="13" s="1"/>
  <c r="AD9" i="13"/>
  <c r="AD53" i="13" s="1"/>
  <c r="T9" i="13"/>
  <c r="T53" i="13" s="1"/>
  <c r="J9" i="13"/>
  <c r="J53" i="13" s="1"/>
  <c r="E9" i="13"/>
  <c r="E53" i="13" s="1"/>
  <c r="D9" i="13"/>
  <c r="D53" i="13" s="1"/>
  <c r="AD8" i="13"/>
  <c r="AD52" i="13" s="1"/>
  <c r="T8" i="13"/>
  <c r="T52" i="13" s="1"/>
  <c r="J8" i="13"/>
  <c r="J52" i="13" s="1"/>
  <c r="E8" i="13"/>
  <c r="E52" i="13" s="1"/>
  <c r="D8" i="13"/>
  <c r="D52" i="13" s="1"/>
  <c r="AD7" i="13"/>
  <c r="AD48" i="13" s="1"/>
  <c r="T7" i="13"/>
  <c r="T48" i="13" s="1"/>
  <c r="J7" i="13"/>
  <c r="J48" i="13" s="1"/>
  <c r="E7" i="13"/>
  <c r="E48" i="13" s="1"/>
  <c r="D7" i="13"/>
  <c r="D48" i="13" s="1"/>
  <c r="AD6" i="13"/>
  <c r="AD47" i="13" s="1"/>
  <c r="T6" i="13"/>
  <c r="T47" i="13" s="1"/>
  <c r="K6" i="13"/>
  <c r="K47" i="13" s="1"/>
  <c r="J6" i="13"/>
  <c r="J47" i="13" s="1"/>
  <c r="E6" i="13"/>
  <c r="E47" i="13" s="1"/>
  <c r="D6" i="13"/>
  <c r="D47" i="13" s="1"/>
  <c r="AD5" i="13"/>
  <c r="AD46" i="13" s="1"/>
  <c r="T5" i="13"/>
  <c r="T46" i="13" s="1"/>
  <c r="K5" i="13"/>
  <c r="K46" i="13" s="1"/>
  <c r="J5" i="13"/>
  <c r="J46" i="13" s="1"/>
  <c r="E5" i="13"/>
  <c r="E46" i="13" s="1"/>
  <c r="D5" i="13"/>
  <c r="D46" i="13" s="1"/>
  <c r="AD4" i="13"/>
  <c r="AD45" i="13" s="1"/>
  <c r="T4" i="13"/>
  <c r="T45" i="13" s="1"/>
  <c r="J4" i="13"/>
  <c r="J45" i="13" s="1"/>
  <c r="E4" i="13"/>
  <c r="E45" i="13" s="1"/>
  <c r="D4" i="13"/>
  <c r="D45" i="13" s="1"/>
  <c r="AD3" i="13"/>
  <c r="AD44" i="13" s="1"/>
  <c r="T3" i="13"/>
  <c r="T44" i="13" s="1"/>
  <c r="J3" i="13"/>
  <c r="J44" i="13" s="1"/>
  <c r="E3" i="13"/>
  <c r="E44" i="13" s="1"/>
  <c r="D3" i="13"/>
  <c r="D44" i="13" s="1"/>
  <c r="AD2" i="13"/>
  <c r="AD42" i="13" s="1"/>
  <c r="E2" i="13"/>
  <c r="E42" i="13" s="1"/>
  <c r="D2" i="13"/>
  <c r="D42" i="13" s="1"/>
  <c r="D39" i="12"/>
  <c r="E39" i="12" s="1"/>
  <c r="F39" i="12" s="1"/>
  <c r="G39" i="12" s="1"/>
  <c r="H39" i="12" s="1"/>
  <c r="I39" i="12" s="1"/>
  <c r="J39" i="12" s="1"/>
  <c r="K39" i="12" s="1"/>
  <c r="L39" i="12" s="1"/>
  <c r="M39" i="12" s="1"/>
  <c r="N39" i="12" s="1"/>
  <c r="O39" i="12" s="1"/>
  <c r="P39" i="12" s="1"/>
  <c r="Q39" i="12" s="1"/>
  <c r="R39" i="12" s="1"/>
  <c r="S39" i="12" s="1"/>
  <c r="T39" i="12" s="1"/>
  <c r="U39" i="12" s="1"/>
  <c r="V39" i="12" s="1"/>
  <c r="W39" i="12" s="1"/>
  <c r="X39" i="12" s="1"/>
  <c r="Y39" i="12" s="1"/>
  <c r="Z39" i="12" s="1"/>
  <c r="AA39" i="12" s="1"/>
  <c r="AB39" i="12" s="1"/>
  <c r="AC39" i="12" s="1"/>
  <c r="AD39" i="12" s="1"/>
  <c r="AD12" i="12"/>
  <c r="AD57" i="12" s="1"/>
  <c r="T12" i="12"/>
  <c r="T57" i="12" s="1"/>
  <c r="J12" i="12"/>
  <c r="J57" i="12" s="1"/>
  <c r="E12" i="12"/>
  <c r="E57" i="12" s="1"/>
  <c r="D12" i="12"/>
  <c r="D57" i="12" s="1"/>
  <c r="AD11" i="12"/>
  <c r="AD56" i="12" s="1"/>
  <c r="T11" i="12"/>
  <c r="T56" i="12" s="1"/>
  <c r="J11" i="12"/>
  <c r="J56" i="12" s="1"/>
  <c r="E11" i="12"/>
  <c r="E56" i="12" s="1"/>
  <c r="D11" i="12"/>
  <c r="D56" i="12" s="1"/>
  <c r="AD10" i="12"/>
  <c r="AD55" i="12" s="1"/>
  <c r="T10" i="12"/>
  <c r="T55" i="12" s="1"/>
  <c r="J10" i="12"/>
  <c r="J55" i="12" s="1"/>
  <c r="E10" i="12"/>
  <c r="E55" i="12" s="1"/>
  <c r="D10" i="12"/>
  <c r="D55" i="12" s="1"/>
  <c r="AD9" i="12"/>
  <c r="AD54" i="12" s="1"/>
  <c r="T9" i="12"/>
  <c r="T54" i="12" s="1"/>
  <c r="J9" i="12"/>
  <c r="J54" i="12" s="1"/>
  <c r="E9" i="12"/>
  <c r="E54" i="12" s="1"/>
  <c r="D9" i="12"/>
  <c r="D54" i="12" s="1"/>
  <c r="AD8" i="12"/>
  <c r="AD53" i="12" s="1"/>
  <c r="T8" i="12"/>
  <c r="T53" i="12" s="1"/>
  <c r="J8" i="12"/>
  <c r="J53" i="12" s="1"/>
  <c r="E8" i="12"/>
  <c r="E53" i="12" s="1"/>
  <c r="D8" i="12"/>
  <c r="D53" i="12" s="1"/>
  <c r="AD7" i="12"/>
  <c r="AD49" i="12" s="1"/>
  <c r="T7" i="12"/>
  <c r="T49" i="12" s="1"/>
  <c r="J7" i="12"/>
  <c r="J49" i="12" s="1"/>
  <c r="E7" i="12"/>
  <c r="E49" i="12" s="1"/>
  <c r="D7" i="12"/>
  <c r="D49" i="12" s="1"/>
  <c r="AD6" i="12"/>
  <c r="AD48" i="12" s="1"/>
  <c r="T6" i="12"/>
  <c r="T48" i="12" s="1"/>
  <c r="K6" i="12"/>
  <c r="K48" i="12" s="1"/>
  <c r="J6" i="12"/>
  <c r="J48" i="12" s="1"/>
  <c r="E6" i="12"/>
  <c r="E48" i="12" s="1"/>
  <c r="D6" i="12"/>
  <c r="D48" i="12" s="1"/>
  <c r="AD5" i="12"/>
  <c r="AD47" i="12" s="1"/>
  <c r="T5" i="12"/>
  <c r="T47" i="12" s="1"/>
  <c r="K5" i="12"/>
  <c r="K47" i="12" s="1"/>
  <c r="J5" i="12"/>
  <c r="J47" i="12" s="1"/>
  <c r="E5" i="12"/>
  <c r="E47" i="12" s="1"/>
  <c r="D5" i="12"/>
  <c r="D47" i="12" s="1"/>
  <c r="AD4" i="12"/>
  <c r="AD46" i="12" s="1"/>
  <c r="T4" i="12"/>
  <c r="T46" i="12" s="1"/>
  <c r="J4" i="12"/>
  <c r="J46" i="12" s="1"/>
  <c r="E4" i="12"/>
  <c r="E46" i="12" s="1"/>
  <c r="D4" i="12"/>
  <c r="D46" i="12" s="1"/>
  <c r="AD3" i="12"/>
  <c r="AD45" i="12" s="1"/>
  <c r="T3" i="12"/>
  <c r="T45" i="12" s="1"/>
  <c r="J3" i="12"/>
  <c r="J45" i="12" s="1"/>
  <c r="E3" i="12"/>
  <c r="E45" i="12" s="1"/>
  <c r="D3" i="12"/>
  <c r="D45" i="12" s="1"/>
  <c r="AD2" i="12"/>
  <c r="AD43" i="12" s="1"/>
  <c r="E2" i="12"/>
  <c r="E43" i="12" s="1"/>
  <c r="D2" i="12"/>
  <c r="D43" i="12" s="1"/>
  <c r="D38" i="11"/>
  <c r="E38" i="11" s="1"/>
  <c r="F38" i="11" s="1"/>
  <c r="G38" i="11" s="1"/>
  <c r="H38" i="11" s="1"/>
  <c r="I38" i="11" s="1"/>
  <c r="J38" i="11" s="1"/>
  <c r="K38" i="11" s="1"/>
  <c r="L38" i="11" s="1"/>
  <c r="M38" i="11" s="1"/>
  <c r="N38" i="11" s="1"/>
  <c r="O38" i="11" s="1"/>
  <c r="P38" i="11" s="1"/>
  <c r="Q38" i="11" s="1"/>
  <c r="R38" i="11" s="1"/>
  <c r="S38" i="11" s="1"/>
  <c r="T38" i="11" s="1"/>
  <c r="U38" i="11" s="1"/>
  <c r="V38" i="11" s="1"/>
  <c r="W38" i="11" s="1"/>
  <c r="X38" i="11" s="1"/>
  <c r="Y38" i="11" s="1"/>
  <c r="Z38" i="11" s="1"/>
  <c r="AA38" i="11" s="1"/>
  <c r="AB38" i="11" s="1"/>
  <c r="AC38" i="11" s="1"/>
  <c r="AD38" i="11" s="1"/>
  <c r="AD12" i="11"/>
  <c r="AD56" i="11" s="1"/>
  <c r="T12" i="11"/>
  <c r="T56" i="11" s="1"/>
  <c r="J12" i="11"/>
  <c r="J56" i="11" s="1"/>
  <c r="E12" i="11"/>
  <c r="E56" i="11" s="1"/>
  <c r="D12" i="11"/>
  <c r="D56" i="11" s="1"/>
  <c r="AD11" i="11"/>
  <c r="AD55" i="11" s="1"/>
  <c r="T11" i="11"/>
  <c r="T55" i="11" s="1"/>
  <c r="J11" i="11"/>
  <c r="J55" i="11" s="1"/>
  <c r="E11" i="11"/>
  <c r="E55" i="11" s="1"/>
  <c r="D11" i="11"/>
  <c r="D55" i="11" s="1"/>
  <c r="AD10" i="11"/>
  <c r="AD54" i="11" s="1"/>
  <c r="T10" i="11"/>
  <c r="T54" i="11" s="1"/>
  <c r="J10" i="11"/>
  <c r="J54" i="11" s="1"/>
  <c r="E10" i="11"/>
  <c r="E54" i="11" s="1"/>
  <c r="D10" i="11"/>
  <c r="D54" i="11" s="1"/>
  <c r="AD9" i="11"/>
  <c r="AD53" i="11" s="1"/>
  <c r="T9" i="11"/>
  <c r="T53" i="11" s="1"/>
  <c r="J9" i="11"/>
  <c r="J53" i="11" s="1"/>
  <c r="E9" i="11"/>
  <c r="E53" i="11" s="1"/>
  <c r="D9" i="11"/>
  <c r="D53" i="11" s="1"/>
  <c r="AD8" i="11"/>
  <c r="AD52" i="11" s="1"/>
  <c r="T8" i="11"/>
  <c r="T52" i="11" s="1"/>
  <c r="J8" i="11"/>
  <c r="J52" i="11" s="1"/>
  <c r="E8" i="11"/>
  <c r="E52" i="11" s="1"/>
  <c r="D8" i="11"/>
  <c r="D52" i="11" s="1"/>
  <c r="AD7" i="11"/>
  <c r="AD48" i="11" s="1"/>
  <c r="T7" i="11"/>
  <c r="T48" i="11" s="1"/>
  <c r="J7" i="11"/>
  <c r="J48" i="11" s="1"/>
  <c r="E7" i="11"/>
  <c r="E48" i="11" s="1"/>
  <c r="D7" i="11"/>
  <c r="D48" i="11" s="1"/>
  <c r="AD6" i="11"/>
  <c r="AD47" i="11" s="1"/>
  <c r="T6" i="11"/>
  <c r="T47" i="11" s="1"/>
  <c r="K6" i="11"/>
  <c r="K47" i="11" s="1"/>
  <c r="J6" i="11"/>
  <c r="J47" i="11" s="1"/>
  <c r="E6" i="11"/>
  <c r="E47" i="11" s="1"/>
  <c r="D6" i="11"/>
  <c r="D47" i="11" s="1"/>
  <c r="AD5" i="11"/>
  <c r="AD46" i="11" s="1"/>
  <c r="T5" i="11"/>
  <c r="T46" i="11" s="1"/>
  <c r="K5" i="11"/>
  <c r="K46" i="11" s="1"/>
  <c r="J5" i="11"/>
  <c r="J46" i="11" s="1"/>
  <c r="E5" i="11"/>
  <c r="E46" i="11" s="1"/>
  <c r="D5" i="11"/>
  <c r="D46" i="11" s="1"/>
  <c r="AD4" i="11"/>
  <c r="AD45" i="11" s="1"/>
  <c r="T4" i="11"/>
  <c r="T45" i="11" s="1"/>
  <c r="J4" i="11"/>
  <c r="J45" i="11" s="1"/>
  <c r="E4" i="11"/>
  <c r="E45" i="11" s="1"/>
  <c r="D4" i="11"/>
  <c r="D45" i="11" s="1"/>
  <c r="AD3" i="11"/>
  <c r="AD44" i="11" s="1"/>
  <c r="T3" i="11"/>
  <c r="T44" i="11" s="1"/>
  <c r="J3" i="11"/>
  <c r="J44" i="11" s="1"/>
  <c r="E3" i="11"/>
  <c r="E44" i="11" s="1"/>
  <c r="D3" i="11"/>
  <c r="D44" i="11" s="1"/>
  <c r="AD2" i="11"/>
  <c r="AD42" i="11" s="1"/>
  <c r="E2" i="11"/>
  <c r="E42" i="11" s="1"/>
  <c r="D2" i="11"/>
  <c r="D42" i="11" s="1"/>
  <c r="D38" i="10"/>
  <c r="E38" i="10" s="1"/>
  <c r="F38" i="10" s="1"/>
  <c r="G38" i="10" s="1"/>
  <c r="H38" i="10" s="1"/>
  <c r="I38" i="10" s="1"/>
  <c r="J38" i="10" s="1"/>
  <c r="K38" i="10" s="1"/>
  <c r="L38" i="10" s="1"/>
  <c r="M38" i="10" s="1"/>
  <c r="N38" i="10" s="1"/>
  <c r="O38" i="10" s="1"/>
  <c r="P38" i="10" s="1"/>
  <c r="Q38" i="10" s="1"/>
  <c r="R38" i="10" s="1"/>
  <c r="S38" i="10" s="1"/>
  <c r="T38" i="10" s="1"/>
  <c r="U38" i="10" s="1"/>
  <c r="V38" i="10" s="1"/>
  <c r="W38" i="10" s="1"/>
  <c r="X38" i="10" s="1"/>
  <c r="Y38" i="10" s="1"/>
  <c r="Z38" i="10" s="1"/>
  <c r="AA38" i="10" s="1"/>
  <c r="AB38" i="10" s="1"/>
  <c r="AC38" i="10" s="1"/>
  <c r="AD38" i="10" s="1"/>
  <c r="AD12" i="10"/>
  <c r="AD56" i="10" s="1"/>
  <c r="T12" i="10"/>
  <c r="T56" i="10" s="1"/>
  <c r="J12" i="10"/>
  <c r="J56" i="10" s="1"/>
  <c r="E12" i="10"/>
  <c r="E56" i="10" s="1"/>
  <c r="D12" i="10"/>
  <c r="D56" i="10" s="1"/>
  <c r="AD11" i="10"/>
  <c r="AD55" i="10" s="1"/>
  <c r="T11" i="10"/>
  <c r="T55" i="10" s="1"/>
  <c r="J11" i="10"/>
  <c r="J55" i="10" s="1"/>
  <c r="E11" i="10"/>
  <c r="E55" i="10" s="1"/>
  <c r="D11" i="10"/>
  <c r="D55" i="10" s="1"/>
  <c r="AD10" i="10"/>
  <c r="AD54" i="10" s="1"/>
  <c r="T10" i="10"/>
  <c r="T54" i="10" s="1"/>
  <c r="J10" i="10"/>
  <c r="J54" i="10" s="1"/>
  <c r="E10" i="10"/>
  <c r="E54" i="10" s="1"/>
  <c r="D10" i="10"/>
  <c r="D54" i="10" s="1"/>
  <c r="AD9" i="10"/>
  <c r="AD53" i="10" s="1"/>
  <c r="T9" i="10"/>
  <c r="T53" i="10" s="1"/>
  <c r="J9" i="10"/>
  <c r="J53" i="10" s="1"/>
  <c r="E9" i="10"/>
  <c r="E53" i="10" s="1"/>
  <c r="D9" i="10"/>
  <c r="D53" i="10" s="1"/>
  <c r="AD8" i="10"/>
  <c r="T8" i="10"/>
  <c r="J8" i="10"/>
  <c r="E8" i="10"/>
  <c r="D8" i="10"/>
  <c r="AD7" i="10"/>
  <c r="AD48" i="10" s="1"/>
  <c r="T7" i="10"/>
  <c r="T48" i="10" s="1"/>
  <c r="J7" i="10"/>
  <c r="J48" i="10" s="1"/>
  <c r="E7" i="10"/>
  <c r="E48" i="10" s="1"/>
  <c r="D7" i="10"/>
  <c r="D48" i="10" s="1"/>
  <c r="AD6" i="10"/>
  <c r="AD47" i="10" s="1"/>
  <c r="T6" i="10"/>
  <c r="T47" i="10" s="1"/>
  <c r="K6" i="10"/>
  <c r="K47" i="10" s="1"/>
  <c r="J6" i="10"/>
  <c r="J47" i="10" s="1"/>
  <c r="E6" i="10"/>
  <c r="E47" i="10" s="1"/>
  <c r="D6" i="10"/>
  <c r="D47" i="10" s="1"/>
  <c r="AD5" i="10"/>
  <c r="AD46" i="10" s="1"/>
  <c r="T5" i="10"/>
  <c r="T46" i="10" s="1"/>
  <c r="K5" i="10"/>
  <c r="K46" i="10" s="1"/>
  <c r="J5" i="10"/>
  <c r="J46" i="10" s="1"/>
  <c r="E5" i="10"/>
  <c r="E46" i="10" s="1"/>
  <c r="D5" i="10"/>
  <c r="D46" i="10" s="1"/>
  <c r="AD4" i="10"/>
  <c r="AD45" i="10" s="1"/>
  <c r="T4" i="10"/>
  <c r="T45" i="10" s="1"/>
  <c r="J4" i="10"/>
  <c r="J45" i="10" s="1"/>
  <c r="E4" i="10"/>
  <c r="E45" i="10" s="1"/>
  <c r="D4" i="10"/>
  <c r="D45" i="10" s="1"/>
  <c r="AD3" i="10"/>
  <c r="T3" i="10"/>
  <c r="J3" i="10"/>
  <c r="E3" i="10"/>
  <c r="D3" i="10"/>
  <c r="AD2" i="10"/>
  <c r="AD42" i="10" s="1"/>
  <c r="E2" i="10"/>
  <c r="E42" i="10" s="1"/>
  <c r="D2" i="10"/>
  <c r="D42" i="10" s="1"/>
  <c r="F12" i="17"/>
  <c r="F12" i="58" s="1"/>
  <c r="F57" i="58" s="1"/>
  <c r="F11" i="17"/>
  <c r="F11" i="58" s="1"/>
  <c r="F56" i="58" s="1"/>
  <c r="F10" i="17"/>
  <c r="F10" i="58" s="1"/>
  <c r="F55" i="58" s="1"/>
  <c r="F9" i="17"/>
  <c r="F9" i="58" s="1"/>
  <c r="F54" i="58" s="1"/>
  <c r="F8" i="17"/>
  <c r="F8" i="58" s="1"/>
  <c r="F53" i="58" s="1"/>
  <c r="F7" i="17"/>
  <c r="F6" i="17"/>
  <c r="F6" i="58" s="1"/>
  <c r="F48" i="58" s="1"/>
  <c r="F5" i="17"/>
  <c r="F5" i="58" s="1"/>
  <c r="F47" i="58" s="1"/>
  <c r="B7" i="16"/>
  <c r="AM176" i="18"/>
  <c r="AM175" i="18"/>
  <c r="AM174" i="18"/>
  <c r="AM173" i="18"/>
  <c r="AM172" i="18"/>
  <c r="AM170" i="18"/>
  <c r="AM169" i="18"/>
  <c r="AM168" i="18"/>
  <c r="AM167" i="18"/>
  <c r="AM166" i="18"/>
  <c r="AM165" i="18"/>
  <c r="AM164" i="18"/>
  <c r="AM163" i="18"/>
  <c r="AM162" i="18"/>
  <c r="AM161" i="18"/>
  <c r="AM160" i="18"/>
  <c r="AM159" i="18"/>
  <c r="AM157" i="18"/>
  <c r="AM156" i="18"/>
  <c r="AM155" i="18"/>
  <c r="AM154" i="18"/>
  <c r="AM153" i="18"/>
  <c r="AM152" i="18"/>
  <c r="AM151" i="18"/>
  <c r="AM150" i="18"/>
  <c r="AM149" i="18"/>
  <c r="AM148" i="18"/>
  <c r="AM147" i="18"/>
  <c r="AM146" i="18"/>
  <c r="AM144" i="18"/>
  <c r="AM143" i="18"/>
  <c r="AM142" i="18"/>
  <c r="AM141" i="18"/>
  <c r="AM140" i="18"/>
  <c r="AM139" i="18"/>
  <c r="AM138" i="18"/>
  <c r="AM137" i="18"/>
  <c r="AM136" i="18"/>
  <c r="AM135" i="18"/>
  <c r="AM134" i="18"/>
  <c r="AM133" i="18"/>
  <c r="AM131" i="18"/>
  <c r="AM130" i="18"/>
  <c r="AM129" i="18"/>
  <c r="AM128" i="18"/>
  <c r="AM127" i="18"/>
  <c r="AM126" i="18"/>
  <c r="AM125" i="18"/>
  <c r="AM124" i="18"/>
  <c r="AM123" i="18"/>
  <c r="AM122" i="18"/>
  <c r="AM121" i="18"/>
  <c r="AM120" i="18"/>
  <c r="AM118" i="18"/>
  <c r="AM117" i="18"/>
  <c r="AM116" i="18"/>
  <c r="AM115" i="18"/>
  <c r="AM114" i="18"/>
  <c r="AM113" i="18"/>
  <c r="AM112" i="18"/>
  <c r="AM111" i="18"/>
  <c r="AM110" i="18"/>
  <c r="AM109" i="18"/>
  <c r="AM108" i="18"/>
  <c r="AM107" i="18"/>
  <c r="AM105" i="18"/>
  <c r="AM104" i="18"/>
  <c r="AM103" i="18"/>
  <c r="AM102" i="18"/>
  <c r="AM101" i="18"/>
  <c r="AM100" i="18"/>
  <c r="AM99" i="18"/>
  <c r="AM98" i="18"/>
  <c r="AM97" i="18"/>
  <c r="AM96" i="18"/>
  <c r="AM95" i="18"/>
  <c r="AM94" i="18"/>
  <c r="AM92" i="18"/>
  <c r="AM91" i="18"/>
  <c r="AM90" i="18"/>
  <c r="AM89" i="18"/>
  <c r="AM88" i="18"/>
  <c r="AM87" i="18"/>
  <c r="AM86" i="18"/>
  <c r="AM85" i="18"/>
  <c r="AM84" i="18"/>
  <c r="AM83" i="18"/>
  <c r="AM82" i="18"/>
  <c r="AM81" i="18"/>
  <c r="AM79" i="18"/>
  <c r="AM78" i="18"/>
  <c r="AM77" i="18"/>
  <c r="AM76" i="18"/>
  <c r="AM75" i="18"/>
  <c r="AM74" i="18"/>
  <c r="AM73" i="18"/>
  <c r="AL72" i="18"/>
  <c r="AM72" i="18" s="1"/>
  <c r="AL71" i="18"/>
  <c r="AM71" i="18" s="1"/>
  <c r="AL70" i="18"/>
  <c r="AM70" i="18" s="1"/>
  <c r="AL69" i="18"/>
  <c r="AM69" i="18" s="1"/>
  <c r="AL68" i="18"/>
  <c r="AM68" i="18" s="1"/>
  <c r="AL66" i="18"/>
  <c r="AM66" i="18" s="1"/>
  <c r="AL65" i="18"/>
  <c r="AM65" i="18" s="1"/>
  <c r="AL64" i="18"/>
  <c r="AM64" i="18" s="1"/>
  <c r="AL63" i="18"/>
  <c r="AM63" i="18" s="1"/>
  <c r="AL62" i="18"/>
  <c r="AM62" i="18" s="1"/>
  <c r="AL61" i="18"/>
  <c r="AM61" i="18" s="1"/>
  <c r="AL60" i="18"/>
  <c r="AM60" i="18" s="1"/>
  <c r="AL59" i="18"/>
  <c r="AM59" i="18" s="1"/>
  <c r="AL58" i="18"/>
  <c r="AM58" i="18" s="1"/>
  <c r="AL57" i="18"/>
  <c r="AM57" i="18" s="1"/>
  <c r="AL56" i="18"/>
  <c r="AM56" i="18" s="1"/>
  <c r="AL55" i="18"/>
  <c r="AM55" i="18" s="1"/>
  <c r="AL53" i="18"/>
  <c r="AM53" i="18" s="1"/>
  <c r="AL52" i="18"/>
  <c r="AM52" i="18" s="1"/>
  <c r="AL51" i="18"/>
  <c r="AM51" i="18" s="1"/>
  <c r="B60" i="18"/>
  <c r="A60" i="18"/>
  <c r="AL50" i="18"/>
  <c r="AM50" i="18" s="1"/>
  <c r="B59" i="18"/>
  <c r="A59" i="18"/>
  <c r="AL49" i="18"/>
  <c r="AM49" i="18" s="1"/>
  <c r="B58" i="18"/>
  <c r="A58" i="18"/>
  <c r="AL48" i="18"/>
  <c r="AM48" i="18" s="1"/>
  <c r="B57" i="18"/>
  <c r="A57" i="18"/>
  <c r="AL47" i="18"/>
  <c r="AM47" i="18" s="1"/>
  <c r="B56" i="18"/>
  <c r="A56" i="18"/>
  <c r="AL46" i="18"/>
  <c r="AM46" i="18" s="1"/>
  <c r="B54" i="18"/>
  <c r="A54" i="18"/>
  <c r="AL45" i="18"/>
  <c r="AM45" i="18" s="1"/>
  <c r="B53" i="18"/>
  <c r="A53" i="18"/>
  <c r="AL44" i="18"/>
  <c r="AM44" i="18" s="1"/>
  <c r="B52" i="18"/>
  <c r="A52" i="18"/>
  <c r="AL43" i="18"/>
  <c r="AM43" i="18" s="1"/>
  <c r="B51" i="18"/>
  <c r="A51" i="18"/>
  <c r="AL42" i="18"/>
  <c r="AM42" i="18" s="1"/>
  <c r="B50" i="18"/>
  <c r="A50" i="18"/>
  <c r="AL40" i="18"/>
  <c r="AM40" i="18" s="1"/>
  <c r="B49" i="18"/>
  <c r="A49" i="18"/>
  <c r="AL39" i="18"/>
  <c r="AM39" i="18" s="1"/>
  <c r="B48" i="18"/>
  <c r="A48" i="18"/>
  <c r="AL35" i="18"/>
  <c r="AM35" i="18" s="1"/>
  <c r="D47" i="18"/>
  <c r="C47" i="18"/>
  <c r="AL34" i="18"/>
  <c r="AM34" i="18" s="1"/>
  <c r="AL33" i="18"/>
  <c r="AM33" i="18" s="1"/>
  <c r="AL32" i="18"/>
  <c r="AM32" i="18" s="1"/>
  <c r="AL31" i="18"/>
  <c r="AM31" i="18" s="1"/>
  <c r="AL30" i="18"/>
  <c r="AM30" i="18" s="1"/>
  <c r="A42" i="18"/>
  <c r="AL29" i="18"/>
  <c r="AM29" i="18" s="1"/>
  <c r="AL28" i="18"/>
  <c r="AM28" i="18" s="1"/>
  <c r="AL27" i="18"/>
  <c r="AM27" i="18" s="1"/>
  <c r="AL26" i="18"/>
  <c r="AM26" i="18" s="1"/>
  <c r="AL24" i="18"/>
  <c r="AM24" i="18" s="1"/>
  <c r="AL23" i="18"/>
  <c r="AM23" i="18" s="1"/>
  <c r="AL19" i="18"/>
  <c r="AM19" i="18" s="1"/>
  <c r="AL18" i="18"/>
  <c r="AM18" i="18" s="1"/>
  <c r="AL17" i="18"/>
  <c r="AM17" i="18" s="1"/>
  <c r="AL16" i="18"/>
  <c r="AM16" i="18" s="1"/>
  <c r="AL15" i="18"/>
  <c r="AM15" i="18" s="1"/>
  <c r="AL14" i="18"/>
  <c r="AM14" i="18" s="1"/>
  <c r="AL10" i="18"/>
  <c r="AM10" i="18" s="1"/>
  <c r="AL9" i="18"/>
  <c r="AM9" i="18" s="1"/>
  <c r="AL8" i="18"/>
  <c r="AM8" i="18" s="1"/>
  <c r="AL7" i="18"/>
  <c r="AM7" i="18" s="1"/>
  <c r="AL6" i="18"/>
  <c r="AM6" i="18" s="1"/>
  <c r="AL5" i="18"/>
  <c r="AM5" i="18" s="1"/>
  <c r="W55" i="18" l="1"/>
  <c r="Y55" i="18"/>
  <c r="AA55" i="18"/>
  <c r="W59" i="18"/>
  <c r="Y59" i="18"/>
  <c r="Y57" i="18"/>
  <c r="W57" i="18"/>
  <c r="W60" i="18"/>
  <c r="Y60" i="18"/>
  <c r="AA54" i="18"/>
  <c r="W54" i="18"/>
  <c r="Y54" i="18"/>
  <c r="W56" i="18"/>
  <c r="Y56" i="18"/>
  <c r="W58" i="18"/>
  <c r="Y58" i="18"/>
  <c r="U55" i="18"/>
  <c r="U59" i="18"/>
  <c r="D43" i="11"/>
  <c r="U57" i="18"/>
  <c r="U60" i="18"/>
  <c r="U56" i="18"/>
  <c r="U54" i="18"/>
  <c r="F7" i="58"/>
  <c r="F49" i="58" s="1"/>
  <c r="U58" i="18"/>
  <c r="C53" i="18"/>
  <c r="C55" i="18"/>
  <c r="G55" i="18"/>
  <c r="C74" i="18"/>
  <c r="C73" i="18"/>
  <c r="K55" i="18"/>
  <c r="M55" i="18"/>
  <c r="O55" i="18"/>
  <c r="Q55" i="18"/>
  <c r="S55" i="18"/>
  <c r="Q51" i="18"/>
  <c r="Q50" i="18"/>
  <c r="S59" i="18"/>
  <c r="O59" i="18"/>
  <c r="O57" i="18"/>
  <c r="S57" i="18"/>
  <c r="C54" i="18"/>
  <c r="G54" i="18"/>
  <c r="O60" i="18"/>
  <c r="S60" i="18"/>
  <c r="Q48" i="18"/>
  <c r="Q49" i="18"/>
  <c r="Q52" i="18"/>
  <c r="O58" i="18"/>
  <c r="S58" i="18"/>
  <c r="D37" i="17"/>
  <c r="D38" i="17" s="1"/>
  <c r="D33" i="17"/>
  <c r="D75" i="58"/>
  <c r="S54" i="18"/>
  <c r="O54" i="18"/>
  <c r="Q54" i="18"/>
  <c r="M54" i="18"/>
  <c r="K54" i="18"/>
  <c r="I54" i="18"/>
  <c r="S56" i="18"/>
  <c r="O56" i="18"/>
  <c r="D44" i="12"/>
  <c r="D43" i="10"/>
  <c r="E43" i="10"/>
  <c r="AD43" i="10"/>
  <c r="C46" i="18"/>
  <c r="E47" i="18"/>
  <c r="E46" i="18" s="1"/>
  <c r="Z27" i="11"/>
  <c r="Z28" i="11"/>
  <c r="Z29" i="11"/>
  <c r="Z19" i="10"/>
  <c r="Z30" i="11"/>
  <c r="D60" i="11"/>
  <c r="D73" i="11" s="1"/>
  <c r="D61" i="45"/>
  <c r="D74" i="45" s="1"/>
  <c r="D60" i="50"/>
  <c r="D73" i="50" s="1"/>
  <c r="D60" i="38"/>
  <c r="D73" i="38" s="1"/>
  <c r="D60" i="43"/>
  <c r="D73" i="43" s="1"/>
  <c r="D61" i="47"/>
  <c r="D74" i="47" s="1"/>
  <c r="D61" i="12"/>
  <c r="D74" i="12" s="1"/>
  <c r="D61" i="23"/>
  <c r="D74" i="23" s="1"/>
  <c r="D60" i="15"/>
  <c r="D73" i="15" s="1"/>
  <c r="D60" i="13"/>
  <c r="D73" i="13" s="1"/>
  <c r="Z20" i="10"/>
  <c r="Z31" i="11"/>
  <c r="K58" i="18"/>
  <c r="D62" i="11"/>
  <c r="D74" i="11" s="1"/>
  <c r="D62" i="50"/>
  <c r="D74" i="50" s="1"/>
  <c r="D63" i="47"/>
  <c r="D62" i="38"/>
  <c r="D74" i="38" s="1"/>
  <c r="D63" i="45"/>
  <c r="D75" i="45" s="1"/>
  <c r="D62" i="13"/>
  <c r="D63" i="23"/>
  <c r="D75" i="23" s="1"/>
  <c r="D63" i="12"/>
  <c r="D75" i="12" s="1"/>
  <c r="D62" i="43"/>
  <c r="D62" i="15"/>
  <c r="D61" i="11"/>
  <c r="D77" i="11" s="1"/>
  <c r="D61" i="50"/>
  <c r="D77" i="50" s="1"/>
  <c r="D62" i="47"/>
  <c r="D78" i="47" s="1"/>
  <c r="D61" i="38"/>
  <c r="D77" i="38" s="1"/>
  <c r="D61" i="43"/>
  <c r="D77" i="43" s="1"/>
  <c r="D62" i="45"/>
  <c r="D78" i="45" s="1"/>
  <c r="D61" i="13"/>
  <c r="D77" i="13" s="1"/>
  <c r="D62" i="23"/>
  <c r="D78" i="23" s="1"/>
  <c r="D61" i="15"/>
  <c r="D77" i="15" s="1"/>
  <c r="D62" i="12"/>
  <c r="D78" i="12" s="1"/>
  <c r="AO44" i="18"/>
  <c r="D63" i="11"/>
  <c r="D78" i="11" s="1"/>
  <c r="D64" i="45"/>
  <c r="D79" i="45" s="1"/>
  <c r="D63" i="50"/>
  <c r="D78" i="50" s="1"/>
  <c r="D63" i="38"/>
  <c r="D78" i="38" s="1"/>
  <c r="D63" i="43"/>
  <c r="D78" i="43" s="1"/>
  <c r="D64" i="12"/>
  <c r="D79" i="12" s="1"/>
  <c r="D63" i="15"/>
  <c r="D78" i="15" s="1"/>
  <c r="D63" i="13"/>
  <c r="D78" i="13" s="1"/>
  <c r="D64" i="23"/>
  <c r="D79" i="23" s="1"/>
  <c r="D64" i="47"/>
  <c r="D79" i="47" s="1"/>
  <c r="Z22" i="10"/>
  <c r="D44" i="10"/>
  <c r="E52" i="10"/>
  <c r="D60" i="10"/>
  <c r="D73" i="10" s="1"/>
  <c r="E44" i="10"/>
  <c r="J52" i="10"/>
  <c r="D61" i="10"/>
  <c r="D77" i="10" s="1"/>
  <c r="T44" i="10"/>
  <c r="AD52" i="10"/>
  <c r="E20" i="17"/>
  <c r="D63" i="10"/>
  <c r="D78" i="10" s="1"/>
  <c r="AD44" i="10"/>
  <c r="J44" i="10"/>
  <c r="T52" i="10"/>
  <c r="E19" i="17"/>
  <c r="E63" i="58" s="1"/>
  <c r="D62" i="10"/>
  <c r="D74" i="10" s="1"/>
  <c r="D52" i="10"/>
  <c r="U6" i="10"/>
  <c r="U47" i="10" s="1"/>
  <c r="G9" i="17"/>
  <c r="F9" i="10"/>
  <c r="F53" i="10" s="1"/>
  <c r="K7" i="10"/>
  <c r="K48" i="10" s="1"/>
  <c r="L6" i="12"/>
  <c r="L48" i="12" s="1"/>
  <c r="G4" i="17"/>
  <c r="F10" i="12"/>
  <c r="F55" i="12" s="1"/>
  <c r="L10" i="47"/>
  <c r="L55" i="47" s="1"/>
  <c r="G7" i="17"/>
  <c r="U12" i="10"/>
  <c r="U56" i="10" s="1"/>
  <c r="G3" i="17"/>
  <c r="G6" i="17"/>
  <c r="K11" i="10"/>
  <c r="K55" i="10" s="1"/>
  <c r="F12" i="13"/>
  <c r="F56" i="13" s="1"/>
  <c r="D44" i="47"/>
  <c r="L11" i="43"/>
  <c r="L55" i="43" s="1"/>
  <c r="K47" i="38"/>
  <c r="D44" i="45"/>
  <c r="F3" i="10"/>
  <c r="AD46" i="23"/>
  <c r="E44" i="45"/>
  <c r="AD43" i="50"/>
  <c r="E44" i="47"/>
  <c r="K7" i="12"/>
  <c r="K49" i="12" s="1"/>
  <c r="AD44" i="47"/>
  <c r="K9" i="13"/>
  <c r="K53" i="13" s="1"/>
  <c r="K3" i="11"/>
  <c r="K44" i="11" s="1"/>
  <c r="F8" i="11"/>
  <c r="F52" i="11" s="1"/>
  <c r="F8" i="12"/>
  <c r="F53" i="12" s="1"/>
  <c r="G8" i="17"/>
  <c r="L6" i="11"/>
  <c r="L47" i="11" s="1"/>
  <c r="K11" i="12"/>
  <c r="K56" i="12" s="1"/>
  <c r="D43" i="15"/>
  <c r="K10" i="10"/>
  <c r="K54" i="10" s="1"/>
  <c r="E43" i="11"/>
  <c r="E43" i="15"/>
  <c r="AD47" i="23"/>
  <c r="F12" i="10"/>
  <c r="F56" i="10" s="1"/>
  <c r="E44" i="23"/>
  <c r="F6" i="15"/>
  <c r="F47" i="15" s="1"/>
  <c r="G12" i="17"/>
  <c r="G12" i="23" s="1"/>
  <c r="G57" i="23" s="1"/>
  <c r="K11" i="11"/>
  <c r="K55" i="11" s="1"/>
  <c r="E44" i="12"/>
  <c r="D43" i="13"/>
  <c r="E43" i="13"/>
  <c r="T56" i="23"/>
  <c r="E43" i="50"/>
  <c r="U3" i="50"/>
  <c r="U44" i="50" s="1"/>
  <c r="U3" i="47"/>
  <c r="U45" i="47" s="1"/>
  <c r="U3" i="43"/>
  <c r="U44" i="43" s="1"/>
  <c r="U3" i="38"/>
  <c r="U44" i="38" s="1"/>
  <c r="U3" i="45"/>
  <c r="U3" i="23"/>
  <c r="U3" i="15"/>
  <c r="U44" i="15" s="1"/>
  <c r="U3" i="13"/>
  <c r="U44" i="13" s="1"/>
  <c r="U3" i="12"/>
  <c r="U45" i="12" s="1"/>
  <c r="U3" i="11"/>
  <c r="U44" i="11" s="1"/>
  <c r="U3" i="10"/>
  <c r="V3" i="17"/>
  <c r="V3" i="58" s="1"/>
  <c r="V45" i="58" s="1"/>
  <c r="AD44" i="12"/>
  <c r="Z23" i="10"/>
  <c r="V5" i="43"/>
  <c r="V46" i="43" s="1"/>
  <c r="V5" i="12"/>
  <c r="V47" i="12" s="1"/>
  <c r="L5" i="50"/>
  <c r="L46" i="50" s="1"/>
  <c r="L5" i="47"/>
  <c r="L47" i="47" s="1"/>
  <c r="L5" i="43"/>
  <c r="L46" i="43" s="1"/>
  <c r="L5" i="45"/>
  <c r="L47" i="45" s="1"/>
  <c r="L5" i="38"/>
  <c r="L5" i="23"/>
  <c r="L5" i="15"/>
  <c r="L46" i="15" s="1"/>
  <c r="L5" i="13"/>
  <c r="L46" i="13" s="1"/>
  <c r="L5" i="12"/>
  <c r="L47" i="12" s="1"/>
  <c r="L5" i="11"/>
  <c r="L46" i="11" s="1"/>
  <c r="L5" i="10"/>
  <c r="L46" i="10" s="1"/>
  <c r="E18" i="17"/>
  <c r="Z21" i="10"/>
  <c r="U6" i="50"/>
  <c r="U47" i="50" s="1"/>
  <c r="U6" i="47"/>
  <c r="U48" i="47" s="1"/>
  <c r="U6" i="45"/>
  <c r="U6" i="43"/>
  <c r="U47" i="43" s="1"/>
  <c r="U6" i="38"/>
  <c r="U47" i="38" s="1"/>
  <c r="U6" i="23"/>
  <c r="U6" i="15"/>
  <c r="U47" i="15" s="1"/>
  <c r="U6" i="12"/>
  <c r="U48" i="12" s="1"/>
  <c r="U6" i="11"/>
  <c r="U47" i="11" s="1"/>
  <c r="U6" i="13"/>
  <c r="U47" i="13" s="1"/>
  <c r="U9" i="50"/>
  <c r="U53" i="50" s="1"/>
  <c r="U9" i="47"/>
  <c r="U54" i="47" s="1"/>
  <c r="U9" i="45"/>
  <c r="U54" i="45" s="1"/>
  <c r="U9" i="43"/>
  <c r="U53" i="43" s="1"/>
  <c r="U9" i="38"/>
  <c r="U53" i="38" s="1"/>
  <c r="U9" i="23"/>
  <c r="U9" i="13"/>
  <c r="U53" i="13" s="1"/>
  <c r="U9" i="15"/>
  <c r="U53" i="15" s="1"/>
  <c r="U9" i="11"/>
  <c r="U53" i="11" s="1"/>
  <c r="U9" i="12"/>
  <c r="U54" i="12" s="1"/>
  <c r="U9" i="10"/>
  <c r="U53" i="10" s="1"/>
  <c r="F11" i="50"/>
  <c r="F55" i="50" s="1"/>
  <c r="F11" i="43"/>
  <c r="F55" i="43" s="1"/>
  <c r="F11" i="45"/>
  <c r="F56" i="45" s="1"/>
  <c r="F11" i="38"/>
  <c r="F55" i="38" s="1"/>
  <c r="F11" i="47"/>
  <c r="F56" i="47" s="1"/>
  <c r="F11" i="23"/>
  <c r="F56" i="23" s="1"/>
  <c r="F11" i="15"/>
  <c r="F55" i="15" s="1"/>
  <c r="F11" i="13"/>
  <c r="F55" i="13" s="1"/>
  <c r="F11" i="12"/>
  <c r="F56" i="12" s="1"/>
  <c r="F11" i="11"/>
  <c r="F55" i="11" s="1"/>
  <c r="F11" i="10"/>
  <c r="F55" i="10" s="1"/>
  <c r="G11" i="17"/>
  <c r="G11" i="58" s="1"/>
  <c r="G56" i="58" s="1"/>
  <c r="F4" i="50"/>
  <c r="F45" i="50" s="1"/>
  <c r="F4" i="45"/>
  <c r="F46" i="45" s="1"/>
  <c r="F4" i="43"/>
  <c r="F45" i="43" s="1"/>
  <c r="F4" i="47"/>
  <c r="F46" i="47" s="1"/>
  <c r="F4" i="38"/>
  <c r="F45" i="38" s="1"/>
  <c r="F4" i="23"/>
  <c r="F46" i="23" s="1"/>
  <c r="F4" i="15"/>
  <c r="F45" i="15" s="1"/>
  <c r="F4" i="13"/>
  <c r="F45" i="13" s="1"/>
  <c r="F4" i="12"/>
  <c r="F46" i="12" s="1"/>
  <c r="F4" i="10"/>
  <c r="F45" i="10" s="1"/>
  <c r="U5" i="47"/>
  <c r="U47" i="47" s="1"/>
  <c r="U5" i="50"/>
  <c r="U46" i="50" s="1"/>
  <c r="U5" i="45"/>
  <c r="U5" i="43"/>
  <c r="U46" i="43" s="1"/>
  <c r="U5" i="38"/>
  <c r="U46" i="38" s="1"/>
  <c r="U5" i="15"/>
  <c r="U46" i="15" s="1"/>
  <c r="U5" i="23"/>
  <c r="U5" i="13"/>
  <c r="U46" i="13" s="1"/>
  <c r="U5" i="12"/>
  <c r="U47" i="12" s="1"/>
  <c r="U5" i="10"/>
  <c r="U46" i="10" s="1"/>
  <c r="U5" i="11"/>
  <c r="U46" i="11" s="1"/>
  <c r="F6" i="50"/>
  <c r="F47" i="50" s="1"/>
  <c r="F6" i="47"/>
  <c r="F48" i="47" s="1"/>
  <c r="F6" i="45"/>
  <c r="F48" i="45" s="1"/>
  <c r="F6" i="43"/>
  <c r="F47" i="43" s="1"/>
  <c r="F6" i="38"/>
  <c r="F47" i="38" s="1"/>
  <c r="F6" i="23"/>
  <c r="F48" i="23" s="1"/>
  <c r="F6" i="13"/>
  <c r="F47" i="13" s="1"/>
  <c r="F6" i="12"/>
  <c r="F48" i="12" s="1"/>
  <c r="F6" i="11"/>
  <c r="F47" i="11" s="1"/>
  <c r="F7" i="50"/>
  <c r="F48" i="50" s="1"/>
  <c r="F7" i="47"/>
  <c r="F49" i="47" s="1"/>
  <c r="F7" i="43"/>
  <c r="F48" i="43" s="1"/>
  <c r="F7" i="45"/>
  <c r="F49" i="45" s="1"/>
  <c r="F7" i="38"/>
  <c r="F48" i="38" s="1"/>
  <c r="F7" i="23"/>
  <c r="F49" i="23" s="1"/>
  <c r="F7" i="15"/>
  <c r="F48" i="15" s="1"/>
  <c r="F7" i="13"/>
  <c r="F48" i="13" s="1"/>
  <c r="F7" i="12"/>
  <c r="F49" i="12" s="1"/>
  <c r="F7" i="11"/>
  <c r="F48" i="11" s="1"/>
  <c r="F7" i="10"/>
  <c r="F48" i="10" s="1"/>
  <c r="G9" i="43"/>
  <c r="G53" i="43" s="1"/>
  <c r="F6" i="10"/>
  <c r="F47" i="10" s="1"/>
  <c r="K3" i="12"/>
  <c r="K45" i="12" s="1"/>
  <c r="F2" i="50"/>
  <c r="F42" i="50" s="1"/>
  <c r="F43" i="50" s="1"/>
  <c r="F2" i="47"/>
  <c r="F43" i="47" s="1"/>
  <c r="F44" i="47" s="1"/>
  <c r="F2" i="45"/>
  <c r="F43" i="45" s="1"/>
  <c r="F44" i="45" s="1"/>
  <c r="F2" i="43"/>
  <c r="F42" i="43" s="1"/>
  <c r="F43" i="43" s="1"/>
  <c r="F2" i="38"/>
  <c r="F42" i="38" s="1"/>
  <c r="F43" i="38" s="1"/>
  <c r="F2" i="23"/>
  <c r="F43" i="23" s="1"/>
  <c r="F44" i="23" s="1"/>
  <c r="F2" i="15"/>
  <c r="F42" i="15" s="1"/>
  <c r="F43" i="15" s="1"/>
  <c r="F2" i="13"/>
  <c r="F42" i="13" s="1"/>
  <c r="F43" i="13" s="1"/>
  <c r="F2" i="11"/>
  <c r="F42" i="11" s="1"/>
  <c r="F43" i="11" s="1"/>
  <c r="F2" i="12"/>
  <c r="F43" i="12" s="1"/>
  <c r="F44" i="12" s="1"/>
  <c r="F2" i="10"/>
  <c r="F42" i="10" s="1"/>
  <c r="F43" i="10" s="1"/>
  <c r="F3" i="47"/>
  <c r="F45" i="47" s="1"/>
  <c r="F3" i="50"/>
  <c r="F44" i="50" s="1"/>
  <c r="F3" i="45"/>
  <c r="F45" i="45" s="1"/>
  <c r="F3" i="38"/>
  <c r="F44" i="38" s="1"/>
  <c r="F3" i="43"/>
  <c r="F44" i="43" s="1"/>
  <c r="F3" i="23"/>
  <c r="F45" i="23" s="1"/>
  <c r="F3" i="15"/>
  <c r="F44" i="15" s="1"/>
  <c r="F3" i="12"/>
  <c r="F45" i="12" s="1"/>
  <c r="F3" i="13"/>
  <c r="F44" i="13" s="1"/>
  <c r="F3" i="11"/>
  <c r="F44" i="11" s="1"/>
  <c r="K9" i="50"/>
  <c r="K53" i="50" s="1"/>
  <c r="K9" i="47"/>
  <c r="K54" i="47" s="1"/>
  <c r="K9" i="45"/>
  <c r="K54" i="45" s="1"/>
  <c r="K9" i="43"/>
  <c r="K53" i="43" s="1"/>
  <c r="K9" i="38"/>
  <c r="K53" i="38" s="1"/>
  <c r="K9" i="15"/>
  <c r="K53" i="15" s="1"/>
  <c r="K9" i="23"/>
  <c r="K54" i="23" s="1"/>
  <c r="K9" i="10"/>
  <c r="K53" i="10" s="1"/>
  <c r="L6" i="50"/>
  <c r="L47" i="50" s="1"/>
  <c r="L6" i="47"/>
  <c r="L48" i="47" s="1"/>
  <c r="L6" i="45"/>
  <c r="L48" i="45" s="1"/>
  <c r="L6" i="43"/>
  <c r="L47" i="43" s="1"/>
  <c r="L6" i="38"/>
  <c r="L47" i="38" s="1"/>
  <c r="L6" i="23"/>
  <c r="L6" i="13"/>
  <c r="L47" i="13" s="1"/>
  <c r="L6" i="15"/>
  <c r="L47" i="15" s="1"/>
  <c r="U10" i="50"/>
  <c r="U54" i="50" s="1"/>
  <c r="U10" i="47"/>
  <c r="U55" i="47" s="1"/>
  <c r="U10" i="45"/>
  <c r="U55" i="45" s="1"/>
  <c r="U10" i="43"/>
  <c r="U54" i="43" s="1"/>
  <c r="U10" i="38"/>
  <c r="U54" i="38" s="1"/>
  <c r="U10" i="23"/>
  <c r="U55" i="23" s="1"/>
  <c r="U10" i="13"/>
  <c r="U54" i="13" s="1"/>
  <c r="U10" i="15"/>
  <c r="U54" i="15" s="1"/>
  <c r="U10" i="12"/>
  <c r="U55" i="12" s="1"/>
  <c r="U10" i="11"/>
  <c r="U54" i="11" s="1"/>
  <c r="U10" i="10"/>
  <c r="U54" i="10" s="1"/>
  <c r="L6" i="10"/>
  <c r="L47" i="10" s="1"/>
  <c r="K9" i="11"/>
  <c r="K53" i="11" s="1"/>
  <c r="K9" i="12"/>
  <c r="K54" i="12" s="1"/>
  <c r="K4" i="50"/>
  <c r="K45" i="50" s="1"/>
  <c r="K4" i="47"/>
  <c r="K46" i="47" s="1"/>
  <c r="K4" i="45"/>
  <c r="K46" i="45" s="1"/>
  <c r="K4" i="43"/>
  <c r="K45" i="43" s="1"/>
  <c r="K4" i="38"/>
  <c r="K45" i="38" s="1"/>
  <c r="K4" i="23"/>
  <c r="K4" i="15"/>
  <c r="K45" i="15" s="1"/>
  <c r="K4" i="12"/>
  <c r="K46" i="12" s="1"/>
  <c r="K4" i="13"/>
  <c r="K45" i="13" s="1"/>
  <c r="K4" i="11"/>
  <c r="K45" i="11" s="1"/>
  <c r="K7" i="50"/>
  <c r="K48" i="50" s="1"/>
  <c r="K7" i="47"/>
  <c r="K49" i="47" s="1"/>
  <c r="K7" i="45"/>
  <c r="K49" i="45" s="1"/>
  <c r="K7" i="43"/>
  <c r="K48" i="43" s="1"/>
  <c r="K7" i="38"/>
  <c r="K48" i="38" s="1"/>
  <c r="K7" i="23"/>
  <c r="K7" i="13"/>
  <c r="K48" i="13" s="1"/>
  <c r="K7" i="15"/>
  <c r="K48" i="15" s="1"/>
  <c r="K7" i="11"/>
  <c r="K48" i="11" s="1"/>
  <c r="V10" i="10"/>
  <c r="V54" i="10" s="1"/>
  <c r="F4" i="11"/>
  <c r="F45" i="11" s="1"/>
  <c r="U4" i="50"/>
  <c r="U45" i="50" s="1"/>
  <c r="U4" i="45"/>
  <c r="U4" i="47"/>
  <c r="U46" i="47" s="1"/>
  <c r="U4" i="43"/>
  <c r="U45" i="43" s="1"/>
  <c r="U4" i="38"/>
  <c r="U45" i="38" s="1"/>
  <c r="U4" i="23"/>
  <c r="U4" i="15"/>
  <c r="U45" i="15" s="1"/>
  <c r="U4" i="12"/>
  <c r="U46" i="12" s="1"/>
  <c r="U4" i="11"/>
  <c r="U45" i="11" s="1"/>
  <c r="U4" i="13"/>
  <c r="U45" i="13" s="1"/>
  <c r="U4" i="10"/>
  <c r="U45" i="10" s="1"/>
  <c r="F5" i="50"/>
  <c r="F46" i="50" s="1"/>
  <c r="F5" i="47"/>
  <c r="F47" i="47" s="1"/>
  <c r="F5" i="45"/>
  <c r="F47" i="45" s="1"/>
  <c r="F5" i="43"/>
  <c r="F46" i="43" s="1"/>
  <c r="F5" i="38"/>
  <c r="F46" i="38" s="1"/>
  <c r="F5" i="15"/>
  <c r="F46" i="15" s="1"/>
  <c r="F5" i="13"/>
  <c r="F46" i="13" s="1"/>
  <c r="F5" i="23"/>
  <c r="F47" i="23" s="1"/>
  <c r="F5" i="12"/>
  <c r="F47" i="12" s="1"/>
  <c r="F5" i="11"/>
  <c r="F46" i="11" s="1"/>
  <c r="F5" i="10"/>
  <c r="F46" i="10" s="1"/>
  <c r="K3" i="50"/>
  <c r="K44" i="50" s="1"/>
  <c r="K3" i="47"/>
  <c r="K45" i="47" s="1"/>
  <c r="K3" i="45"/>
  <c r="K45" i="45" s="1"/>
  <c r="K3" i="43"/>
  <c r="K44" i="43" s="1"/>
  <c r="K3" i="38"/>
  <c r="K44" i="38" s="1"/>
  <c r="K3" i="15"/>
  <c r="K44" i="15" s="1"/>
  <c r="K3" i="13"/>
  <c r="K44" i="13" s="1"/>
  <c r="K3" i="10"/>
  <c r="K3" i="23"/>
  <c r="G5" i="17"/>
  <c r="G5" i="58" s="1"/>
  <c r="G47" i="58" s="1"/>
  <c r="K4" i="10"/>
  <c r="K45" i="10" s="1"/>
  <c r="AD43" i="11"/>
  <c r="AD43" i="15"/>
  <c r="K8" i="47"/>
  <c r="K53" i="47" s="1"/>
  <c r="K8" i="50"/>
  <c r="K52" i="50" s="1"/>
  <c r="K8" i="45"/>
  <c r="K53" i="45" s="1"/>
  <c r="K8" i="43"/>
  <c r="K52" i="43" s="1"/>
  <c r="K8" i="38"/>
  <c r="K52" i="38" s="1"/>
  <c r="K8" i="23"/>
  <c r="K53" i="23" s="1"/>
  <c r="K8" i="13"/>
  <c r="K52" i="13" s="1"/>
  <c r="K8" i="15"/>
  <c r="K52" i="15" s="1"/>
  <c r="K8" i="12"/>
  <c r="K53" i="12" s="1"/>
  <c r="K8" i="11"/>
  <c r="K52" i="11" s="1"/>
  <c r="F10" i="50"/>
  <c r="F54" i="50" s="1"/>
  <c r="F10" i="47"/>
  <c r="F55" i="47" s="1"/>
  <c r="F10" i="45"/>
  <c r="F55" i="45" s="1"/>
  <c r="F10" i="43"/>
  <c r="F54" i="43" s="1"/>
  <c r="F10" i="38"/>
  <c r="F54" i="38" s="1"/>
  <c r="F10" i="23"/>
  <c r="F55" i="23" s="1"/>
  <c r="F10" i="15"/>
  <c r="F54" i="15" s="1"/>
  <c r="F10" i="13"/>
  <c r="F54" i="13" s="1"/>
  <c r="K12" i="50"/>
  <c r="K56" i="50" s="1"/>
  <c r="K12" i="47"/>
  <c r="K57" i="47" s="1"/>
  <c r="K12" i="43"/>
  <c r="K56" i="43" s="1"/>
  <c r="K12" i="45"/>
  <c r="K57" i="45" s="1"/>
  <c r="K12" i="38"/>
  <c r="K56" i="38" s="1"/>
  <c r="K12" i="15"/>
  <c r="K56" i="15" s="1"/>
  <c r="K12" i="23"/>
  <c r="K57" i="23" s="1"/>
  <c r="K12" i="13"/>
  <c r="K56" i="13" s="1"/>
  <c r="K12" i="12"/>
  <c r="K57" i="12" s="1"/>
  <c r="K12" i="11"/>
  <c r="K56" i="11" s="1"/>
  <c r="K8" i="10"/>
  <c r="F12" i="23"/>
  <c r="F57" i="23" s="1"/>
  <c r="U7" i="50"/>
  <c r="U48" i="50" s="1"/>
  <c r="U7" i="45"/>
  <c r="U7" i="43"/>
  <c r="U48" i="43" s="1"/>
  <c r="U7" i="47"/>
  <c r="U49" i="47" s="1"/>
  <c r="U7" i="38"/>
  <c r="U48" i="38" s="1"/>
  <c r="U7" i="23"/>
  <c r="U7" i="15"/>
  <c r="U48" i="15" s="1"/>
  <c r="U7" i="13"/>
  <c r="U48" i="13" s="1"/>
  <c r="U8" i="50"/>
  <c r="U52" i="50" s="1"/>
  <c r="U8" i="47"/>
  <c r="U53" i="47" s="1"/>
  <c r="U8" i="43"/>
  <c r="U52" i="43" s="1"/>
  <c r="U8" i="45"/>
  <c r="U53" i="45" s="1"/>
  <c r="U8" i="38"/>
  <c r="U52" i="38" s="1"/>
  <c r="U8" i="15"/>
  <c r="U52" i="15" s="1"/>
  <c r="U8" i="23"/>
  <c r="U53" i="23" s="1"/>
  <c r="U8" i="13"/>
  <c r="U52" i="13" s="1"/>
  <c r="U8" i="12"/>
  <c r="U53" i="12" s="1"/>
  <c r="U8" i="11"/>
  <c r="U52" i="11" s="1"/>
  <c r="G10" i="17"/>
  <c r="G10" i="58" s="1"/>
  <c r="G55" i="58" s="1"/>
  <c r="U12" i="50"/>
  <c r="U56" i="50" s="1"/>
  <c r="U12" i="45"/>
  <c r="U57" i="45" s="1"/>
  <c r="U12" i="47"/>
  <c r="U57" i="47" s="1"/>
  <c r="U12" i="43"/>
  <c r="U56" i="43" s="1"/>
  <c r="U12" i="38"/>
  <c r="U56" i="38" s="1"/>
  <c r="U12" i="13"/>
  <c r="U56" i="13" s="1"/>
  <c r="U12" i="23"/>
  <c r="U57" i="23" s="1"/>
  <c r="U12" i="15"/>
  <c r="U56" i="15" s="1"/>
  <c r="U12" i="12"/>
  <c r="U57" i="12" s="1"/>
  <c r="U12" i="11"/>
  <c r="U56" i="11" s="1"/>
  <c r="U7" i="10"/>
  <c r="U48" i="10" s="1"/>
  <c r="F10" i="10"/>
  <c r="F54" i="10" s="1"/>
  <c r="V7" i="47"/>
  <c r="V49" i="47" s="1"/>
  <c r="V7" i="23"/>
  <c r="F9" i="50"/>
  <c r="F53" i="50" s="1"/>
  <c r="F9" i="47"/>
  <c r="F54" i="47" s="1"/>
  <c r="F9" i="45"/>
  <c r="F54" i="45" s="1"/>
  <c r="F9" i="43"/>
  <c r="F53" i="43" s="1"/>
  <c r="F9" i="38"/>
  <c r="F53" i="38" s="1"/>
  <c r="F9" i="13"/>
  <c r="F53" i="13" s="1"/>
  <c r="F9" i="15"/>
  <c r="F53" i="15" s="1"/>
  <c r="F9" i="23"/>
  <c r="F54" i="23" s="1"/>
  <c r="F9" i="12"/>
  <c r="F54" i="12" s="1"/>
  <c r="F9" i="11"/>
  <c r="F53" i="11" s="1"/>
  <c r="K11" i="50"/>
  <c r="K55" i="50" s="1"/>
  <c r="K11" i="47"/>
  <c r="K56" i="47" s="1"/>
  <c r="K11" i="45"/>
  <c r="K56" i="45" s="1"/>
  <c r="K11" i="43"/>
  <c r="K55" i="43" s="1"/>
  <c r="K11" i="23"/>
  <c r="K56" i="23" s="1"/>
  <c r="K11" i="15"/>
  <c r="K55" i="15" s="1"/>
  <c r="K11" i="38"/>
  <c r="K55" i="38" s="1"/>
  <c r="K11" i="13"/>
  <c r="K55" i="13" s="1"/>
  <c r="V7" i="10"/>
  <c r="V48" i="10" s="1"/>
  <c r="U8" i="10"/>
  <c r="U7" i="11"/>
  <c r="U48" i="11" s="1"/>
  <c r="L11" i="15"/>
  <c r="L55" i="15" s="1"/>
  <c r="U11" i="50"/>
  <c r="U55" i="50" s="1"/>
  <c r="U11" i="47"/>
  <c r="U56" i="47" s="1"/>
  <c r="U11" i="45"/>
  <c r="U56" i="45" s="1"/>
  <c r="U11" i="43"/>
  <c r="U55" i="43" s="1"/>
  <c r="U11" i="38"/>
  <c r="U55" i="38" s="1"/>
  <c r="U11" i="15"/>
  <c r="U55" i="15" s="1"/>
  <c r="U11" i="23"/>
  <c r="U56" i="23" s="1"/>
  <c r="U11" i="13"/>
  <c r="U55" i="13" s="1"/>
  <c r="F8" i="10"/>
  <c r="U11" i="10"/>
  <c r="U55" i="10" s="1"/>
  <c r="F10" i="11"/>
  <c r="F54" i="11" s="1"/>
  <c r="U11" i="11"/>
  <c r="U55" i="11" s="1"/>
  <c r="F12" i="11"/>
  <c r="F56" i="11" s="1"/>
  <c r="F8" i="50"/>
  <c r="F52" i="50" s="1"/>
  <c r="F8" i="45"/>
  <c r="F53" i="45" s="1"/>
  <c r="F8" i="47"/>
  <c r="F53" i="47" s="1"/>
  <c r="F8" i="43"/>
  <c r="F52" i="43" s="1"/>
  <c r="F8" i="38"/>
  <c r="F52" i="38" s="1"/>
  <c r="F8" i="23"/>
  <c r="F53" i="23" s="1"/>
  <c r="F8" i="15"/>
  <c r="F52" i="15" s="1"/>
  <c r="F8" i="13"/>
  <c r="F52" i="13" s="1"/>
  <c r="K10" i="50"/>
  <c r="K54" i="50" s="1"/>
  <c r="K10" i="45"/>
  <c r="K55" i="45" s="1"/>
  <c r="K10" i="47"/>
  <c r="K55" i="47" s="1"/>
  <c r="K10" i="43"/>
  <c r="K54" i="43" s="1"/>
  <c r="K10" i="38"/>
  <c r="K54" i="38" s="1"/>
  <c r="K10" i="13"/>
  <c r="K54" i="13" s="1"/>
  <c r="K10" i="15"/>
  <c r="K54" i="15" s="1"/>
  <c r="K10" i="12"/>
  <c r="K55" i="12" s="1"/>
  <c r="K10" i="11"/>
  <c r="K54" i="11" s="1"/>
  <c r="K10" i="23"/>
  <c r="K55" i="23" s="1"/>
  <c r="F12" i="50"/>
  <c r="F56" i="50" s="1"/>
  <c r="F12" i="47"/>
  <c r="F57" i="47" s="1"/>
  <c r="F12" i="45"/>
  <c r="F57" i="45" s="1"/>
  <c r="F12" i="43"/>
  <c r="F56" i="43" s="1"/>
  <c r="F12" i="38"/>
  <c r="F56" i="38" s="1"/>
  <c r="F12" i="15"/>
  <c r="F56" i="15" s="1"/>
  <c r="F12" i="12"/>
  <c r="F57" i="12" s="1"/>
  <c r="K12" i="10"/>
  <c r="K56" i="10" s="1"/>
  <c r="U7" i="12"/>
  <c r="U49" i="12" s="1"/>
  <c r="U11" i="12"/>
  <c r="U56" i="12" s="1"/>
  <c r="AD48" i="23"/>
  <c r="AD43" i="13"/>
  <c r="AD44" i="23"/>
  <c r="T57" i="23"/>
  <c r="D44" i="23"/>
  <c r="T55" i="23"/>
  <c r="AD45" i="23"/>
  <c r="AD49" i="23"/>
  <c r="AD43" i="38"/>
  <c r="AD43" i="43"/>
  <c r="D43" i="38"/>
  <c r="E43" i="38"/>
  <c r="D43" i="43"/>
  <c r="E43" i="43"/>
  <c r="AD44" i="45"/>
  <c r="D43" i="50"/>
  <c r="G12" i="10" l="1"/>
  <c r="G56" i="10" s="1"/>
  <c r="E55" i="18"/>
  <c r="E54" i="18"/>
  <c r="G6" i="45"/>
  <c r="G48" i="45" s="1"/>
  <c r="G6" i="58"/>
  <c r="G48" i="58" s="1"/>
  <c r="G9" i="50"/>
  <c r="G53" i="50" s="1"/>
  <c r="G9" i="58"/>
  <c r="G54" i="58" s="1"/>
  <c r="G12" i="13"/>
  <c r="G56" i="13" s="1"/>
  <c r="G12" i="58"/>
  <c r="G57" i="58" s="1"/>
  <c r="G8" i="10"/>
  <c r="G52" i="10" s="1"/>
  <c r="G8" i="58"/>
  <c r="G53" i="58" s="1"/>
  <c r="G12" i="43"/>
  <c r="G56" i="43" s="1"/>
  <c r="G7" i="38"/>
  <c r="G48" i="38" s="1"/>
  <c r="G7" i="58"/>
  <c r="G49" i="58" s="1"/>
  <c r="D80" i="47"/>
  <c r="D80" i="23"/>
  <c r="D79" i="15"/>
  <c r="D79" i="13"/>
  <c r="D76" i="58"/>
  <c r="D84" i="58" s="1"/>
  <c r="D85" i="58" s="1"/>
  <c r="E62" i="58"/>
  <c r="E36" i="17"/>
  <c r="F19" i="17"/>
  <c r="F63" i="58" s="1"/>
  <c r="D80" i="45"/>
  <c r="E75" i="58"/>
  <c r="E76" i="58" s="1"/>
  <c r="E79" i="58"/>
  <c r="D79" i="50"/>
  <c r="D79" i="43"/>
  <c r="D79" i="38"/>
  <c r="D80" i="12"/>
  <c r="D79" i="11"/>
  <c r="AA28" i="11"/>
  <c r="AB28" i="11" s="1"/>
  <c r="AC28" i="11" s="1"/>
  <c r="AA29" i="11"/>
  <c r="AA31" i="11"/>
  <c r="AB31" i="11" s="1"/>
  <c r="AC31" i="11" s="1"/>
  <c r="AA30" i="11"/>
  <c r="AB30" i="11" s="1"/>
  <c r="AC30" i="11" s="1"/>
  <c r="AA27" i="11"/>
  <c r="AB27" i="11" s="1"/>
  <c r="AC27" i="11" s="1"/>
  <c r="AA22" i="10"/>
  <c r="AB22" i="10" s="1"/>
  <c r="AC22" i="10" s="1"/>
  <c r="AA21" i="10"/>
  <c r="AB21" i="10" s="1"/>
  <c r="AC21" i="10" s="1"/>
  <c r="AA20" i="10"/>
  <c r="AB20" i="10" s="1"/>
  <c r="AC20" i="10" s="1"/>
  <c r="AA19" i="10"/>
  <c r="AB19" i="10" s="1"/>
  <c r="AC19" i="10" s="1"/>
  <c r="D79" i="10"/>
  <c r="AA23" i="10"/>
  <c r="AB23" i="10" s="1"/>
  <c r="AC23" i="10" s="1"/>
  <c r="G4" i="58"/>
  <c r="G46" i="58" s="1"/>
  <c r="G3" i="58"/>
  <c r="G45" i="58" s="1"/>
  <c r="G2" i="38"/>
  <c r="G42" i="38" s="1"/>
  <c r="G43" i="38" s="1"/>
  <c r="G2" i="58"/>
  <c r="G43" i="58" s="1"/>
  <c r="E64" i="58"/>
  <c r="E37" i="17"/>
  <c r="G9" i="45"/>
  <c r="G54" i="45" s="1"/>
  <c r="G12" i="38"/>
  <c r="G56" i="38" s="1"/>
  <c r="G9" i="15"/>
  <c r="G53" i="15" s="1"/>
  <c r="G12" i="11"/>
  <c r="G56" i="11" s="1"/>
  <c r="G12" i="50"/>
  <c r="G56" i="50" s="1"/>
  <c r="H9" i="17"/>
  <c r="H9" i="38" s="1"/>
  <c r="H53" i="38" s="1"/>
  <c r="G9" i="10"/>
  <c r="G53" i="10" s="1"/>
  <c r="G12" i="12"/>
  <c r="G57" i="12" s="1"/>
  <c r="G12" i="47"/>
  <c r="G57" i="47" s="1"/>
  <c r="G9" i="12"/>
  <c r="G54" i="12" s="1"/>
  <c r="G9" i="38"/>
  <c r="G53" i="38" s="1"/>
  <c r="G7" i="13"/>
  <c r="G48" i="13" s="1"/>
  <c r="G7" i="47"/>
  <c r="G49" i="47" s="1"/>
  <c r="AO135" i="18"/>
  <c r="AA58" i="18" s="1"/>
  <c r="AO137" i="18"/>
  <c r="AA60" i="18" s="1"/>
  <c r="AO136" i="18"/>
  <c r="AA59" i="18" s="1"/>
  <c r="AO46" i="18"/>
  <c r="K60" i="18"/>
  <c r="K59" i="18"/>
  <c r="AO107" i="18"/>
  <c r="M56" i="18" s="1"/>
  <c r="V10" i="13"/>
  <c r="V54" i="13" s="1"/>
  <c r="V10" i="15"/>
  <c r="V54" i="15" s="1"/>
  <c r="V10" i="45"/>
  <c r="V55" i="45" s="1"/>
  <c r="V10" i="11"/>
  <c r="V54" i="11" s="1"/>
  <c r="V10" i="23"/>
  <c r="V55" i="23" s="1"/>
  <c r="V10" i="50"/>
  <c r="V54" i="50" s="1"/>
  <c r="V10" i="43"/>
  <c r="V54" i="43" s="1"/>
  <c r="V10" i="47"/>
  <c r="V55" i="47" s="1"/>
  <c r="V10" i="38"/>
  <c r="V54" i="38" s="1"/>
  <c r="G4" i="23"/>
  <c r="G46" i="23" s="1"/>
  <c r="AO156" i="18"/>
  <c r="K53" i="18" s="1"/>
  <c r="K56" i="18"/>
  <c r="K48" i="18"/>
  <c r="D75" i="47"/>
  <c r="D76" i="47" s="1"/>
  <c r="D74" i="13"/>
  <c r="D75" i="13" s="1"/>
  <c r="D74" i="43"/>
  <c r="D75" i="43" s="1"/>
  <c r="AO5" i="18"/>
  <c r="F63" i="47"/>
  <c r="F63" i="23"/>
  <c r="F63" i="12"/>
  <c r="E61" i="11"/>
  <c r="E77" i="11" s="1"/>
  <c r="E62" i="47"/>
  <c r="E78" i="47" s="1"/>
  <c r="E61" i="38"/>
  <c r="E77" i="38" s="1"/>
  <c r="E61" i="43"/>
  <c r="E77" i="43" s="1"/>
  <c r="E62" i="45"/>
  <c r="E78" i="45" s="1"/>
  <c r="E61" i="13"/>
  <c r="E77" i="13" s="1"/>
  <c r="E61" i="50"/>
  <c r="E77" i="50" s="1"/>
  <c r="E62" i="23"/>
  <c r="E78" i="23" s="1"/>
  <c r="E61" i="15"/>
  <c r="E77" i="15" s="1"/>
  <c r="E62" i="12"/>
  <c r="K52" i="18"/>
  <c r="AO109" i="18"/>
  <c r="M58" i="18" s="1"/>
  <c r="D76" i="23"/>
  <c r="D75" i="50"/>
  <c r="D74" i="15"/>
  <c r="D75" i="15" s="1"/>
  <c r="AO91" i="18"/>
  <c r="E53" i="18" s="1"/>
  <c r="E62" i="11"/>
  <c r="E62" i="50"/>
  <c r="E74" i="50" s="1"/>
  <c r="E63" i="47"/>
  <c r="E75" i="47" s="1"/>
  <c r="E62" i="38"/>
  <c r="E74" i="38" s="1"/>
  <c r="E62" i="43"/>
  <c r="E62" i="13"/>
  <c r="E63" i="12"/>
  <c r="E62" i="15"/>
  <c r="E63" i="45"/>
  <c r="E63" i="23"/>
  <c r="E75" i="23" s="1"/>
  <c r="E33" i="17"/>
  <c r="D76" i="12"/>
  <c r="D76" i="45"/>
  <c r="AO100" i="18"/>
  <c r="M49" i="18" s="1"/>
  <c r="AO101" i="18"/>
  <c r="M50" i="18" s="1"/>
  <c r="AO96" i="18"/>
  <c r="E58" i="18" s="1"/>
  <c r="D68" i="12"/>
  <c r="K57" i="18"/>
  <c r="AO99" i="18"/>
  <c r="M48" i="18" s="1"/>
  <c r="AO95" i="18"/>
  <c r="E57" i="18" s="1"/>
  <c r="D71" i="13"/>
  <c r="G2" i="11"/>
  <c r="G42" i="11" s="1"/>
  <c r="G43" i="11" s="1"/>
  <c r="G9" i="11"/>
  <c r="G53" i="11" s="1"/>
  <c r="AO45" i="18"/>
  <c r="AO35" i="18"/>
  <c r="AO94" i="18"/>
  <c r="E56" i="18" s="1"/>
  <c r="AO133" i="18"/>
  <c r="AA56" i="18" s="1"/>
  <c r="AO97" i="18"/>
  <c r="E59" i="18" s="1"/>
  <c r="K51" i="18"/>
  <c r="K49" i="18"/>
  <c r="AO32" i="18"/>
  <c r="AO110" i="18"/>
  <c r="M59" i="18" s="1"/>
  <c r="D71" i="11"/>
  <c r="AO43" i="18"/>
  <c r="D75" i="11"/>
  <c r="AO42" i="18"/>
  <c r="AO134" i="18"/>
  <c r="AA57" i="18" s="1"/>
  <c r="AO34" i="18"/>
  <c r="AO9" i="18"/>
  <c r="G9" i="13"/>
  <c r="G53" i="13" s="1"/>
  <c r="G9" i="47"/>
  <c r="G54" i="47" s="1"/>
  <c r="E63" i="10"/>
  <c r="E78" i="10" s="1"/>
  <c r="E63" i="11"/>
  <c r="E78" i="11" s="1"/>
  <c r="E63" i="50"/>
  <c r="E78" i="50" s="1"/>
  <c r="E64" i="47"/>
  <c r="E79" i="47" s="1"/>
  <c r="E63" i="43"/>
  <c r="E78" i="43" s="1"/>
  <c r="E64" i="45"/>
  <c r="E79" i="45" s="1"/>
  <c r="E63" i="15"/>
  <c r="E78" i="15" s="1"/>
  <c r="E63" i="38"/>
  <c r="E78" i="38" s="1"/>
  <c r="E63" i="13"/>
  <c r="E78" i="13" s="1"/>
  <c r="E64" i="12"/>
  <c r="E64" i="23"/>
  <c r="E79" i="23" s="1"/>
  <c r="AO31" i="18"/>
  <c r="D34" i="17"/>
  <c r="D44" i="17" s="1"/>
  <c r="AO27" i="18"/>
  <c r="Q57" i="18" s="1"/>
  <c r="K50" i="18"/>
  <c r="AO33" i="18"/>
  <c r="G9" i="23"/>
  <c r="G54" i="23" s="1"/>
  <c r="L46" i="38"/>
  <c r="AO111" i="18"/>
  <c r="M60" i="18" s="1"/>
  <c r="AO102" i="18"/>
  <c r="M51" i="18" s="1"/>
  <c r="D75" i="38"/>
  <c r="AO108" i="18"/>
  <c r="M57" i="18" s="1"/>
  <c r="AO103" i="18"/>
  <c r="M52" i="18" s="1"/>
  <c r="E60" i="11"/>
  <c r="E32" i="17"/>
  <c r="E60" i="50"/>
  <c r="E61" i="47"/>
  <c r="E60" i="38"/>
  <c r="E60" i="43"/>
  <c r="E61" i="12"/>
  <c r="E78" i="12" s="1"/>
  <c r="E61" i="23"/>
  <c r="E60" i="15"/>
  <c r="E60" i="13"/>
  <c r="E61" i="45"/>
  <c r="D75" i="10"/>
  <c r="G4" i="47"/>
  <c r="G46" i="47" s="1"/>
  <c r="H4" i="17"/>
  <c r="G4" i="10"/>
  <c r="G45" i="10" s="1"/>
  <c r="G2" i="12"/>
  <c r="G43" i="12" s="1"/>
  <c r="G44" i="12" s="1"/>
  <c r="G2" i="43"/>
  <c r="G42" i="43" s="1"/>
  <c r="G43" i="43" s="1"/>
  <c r="G2" i="13"/>
  <c r="G42" i="13" s="1"/>
  <c r="G43" i="13" s="1"/>
  <c r="G2" i="45"/>
  <c r="G43" i="45" s="1"/>
  <c r="G2" i="15"/>
  <c r="G42" i="15" s="1"/>
  <c r="G43" i="15" s="1"/>
  <c r="G2" i="23"/>
  <c r="G43" i="23" s="1"/>
  <c r="G44" i="23" s="1"/>
  <c r="G2" i="50"/>
  <c r="G42" i="50" s="1"/>
  <c r="G2" i="47"/>
  <c r="G43" i="47" s="1"/>
  <c r="G44" i="47" s="1"/>
  <c r="G2" i="10"/>
  <c r="G42" i="10" s="1"/>
  <c r="G4" i="11"/>
  <c r="G45" i="11" s="1"/>
  <c r="G4" i="38"/>
  <c r="G45" i="38" s="1"/>
  <c r="G4" i="12"/>
  <c r="G46" i="12" s="1"/>
  <c r="G4" i="45"/>
  <c r="G46" i="45" s="1"/>
  <c r="G4" i="13"/>
  <c r="G45" i="13" s="1"/>
  <c r="G4" i="43"/>
  <c r="G45" i="43" s="1"/>
  <c r="G4" i="15"/>
  <c r="G45" i="15" s="1"/>
  <c r="G4" i="50"/>
  <c r="G45" i="50" s="1"/>
  <c r="G3" i="50"/>
  <c r="G44" i="50" s="1"/>
  <c r="H3" i="17"/>
  <c r="F20" i="17"/>
  <c r="M3" i="43"/>
  <c r="M44" i="43" s="1"/>
  <c r="G3" i="23"/>
  <c r="G45" i="23" s="1"/>
  <c r="V5" i="10"/>
  <c r="V46" i="10" s="1"/>
  <c r="V5" i="38"/>
  <c r="V46" i="38" s="1"/>
  <c r="G7" i="11"/>
  <c r="G48" i="11" s="1"/>
  <c r="G7" i="43"/>
  <c r="G48" i="43" s="1"/>
  <c r="L11" i="50"/>
  <c r="L55" i="50" s="1"/>
  <c r="V7" i="12"/>
  <c r="V49" i="12" s="1"/>
  <c r="V7" i="45"/>
  <c r="G19" i="17"/>
  <c r="G63" i="58" s="1"/>
  <c r="F62" i="10"/>
  <c r="F74" i="10" s="1"/>
  <c r="V7" i="13"/>
  <c r="V48" i="13" s="1"/>
  <c r="V7" i="43"/>
  <c r="V48" i="43" s="1"/>
  <c r="V5" i="11"/>
  <c r="V46" i="11" s="1"/>
  <c r="G7" i="12"/>
  <c r="G49" i="12" s="1"/>
  <c r="G7" i="45"/>
  <c r="G49" i="45" s="1"/>
  <c r="F44" i="10"/>
  <c r="E60" i="10"/>
  <c r="V7" i="15"/>
  <c r="V48" i="15" s="1"/>
  <c r="M6" i="13"/>
  <c r="M47" i="13" s="1"/>
  <c r="E61" i="10"/>
  <c r="V5" i="13"/>
  <c r="V46" i="13" s="1"/>
  <c r="V5" i="45"/>
  <c r="G7" i="15"/>
  <c r="G48" i="15" s="1"/>
  <c r="G7" i="50"/>
  <c r="G48" i="50" s="1"/>
  <c r="F52" i="10"/>
  <c r="V7" i="50"/>
  <c r="V48" i="50" s="1"/>
  <c r="U52" i="10"/>
  <c r="M6" i="15"/>
  <c r="M47" i="15" s="1"/>
  <c r="V5" i="23"/>
  <c r="V5" i="47"/>
  <c r="V47" i="47" s="1"/>
  <c r="G7" i="23"/>
  <c r="G49" i="23" s="1"/>
  <c r="E62" i="10"/>
  <c r="K52" i="10"/>
  <c r="V7" i="38"/>
  <c r="V48" i="38" s="1"/>
  <c r="K44" i="10"/>
  <c r="M6" i="47"/>
  <c r="M48" i="47" s="1"/>
  <c r="V5" i="15"/>
  <c r="V46" i="15" s="1"/>
  <c r="V5" i="50"/>
  <c r="V46" i="50" s="1"/>
  <c r="U44" i="10"/>
  <c r="M6" i="45"/>
  <c r="M48" i="45" s="1"/>
  <c r="V7" i="11"/>
  <c r="V48" i="11" s="1"/>
  <c r="H7" i="17"/>
  <c r="G7" i="10"/>
  <c r="G48" i="10" s="1"/>
  <c r="H6" i="17"/>
  <c r="L10" i="38"/>
  <c r="L54" i="38" s="1"/>
  <c r="L10" i="11"/>
  <c r="L54" i="11" s="1"/>
  <c r="G6" i="43"/>
  <c r="G47" i="43" s="1"/>
  <c r="G3" i="13"/>
  <c r="G44" i="13" s="1"/>
  <c r="L11" i="38"/>
  <c r="L55" i="38" s="1"/>
  <c r="G3" i="38"/>
  <c r="G44" i="38" s="1"/>
  <c r="G3" i="10"/>
  <c r="L10" i="13"/>
  <c r="L54" i="13" s="1"/>
  <c r="L10" i="43"/>
  <c r="L54" i="43" s="1"/>
  <c r="G6" i="12"/>
  <c r="G48" i="12" s="1"/>
  <c r="L9" i="50"/>
  <c r="L53" i="50" s="1"/>
  <c r="M6" i="10"/>
  <c r="M47" i="10" s="1"/>
  <c r="G6" i="11"/>
  <c r="G47" i="11" s="1"/>
  <c r="L11" i="11"/>
  <c r="L55" i="11" s="1"/>
  <c r="L10" i="12"/>
  <c r="L55" i="12" s="1"/>
  <c r="L10" i="50"/>
  <c r="L54" i="50" s="1"/>
  <c r="G6" i="15"/>
  <c r="G47" i="15" s="1"/>
  <c r="G6" i="47"/>
  <c r="G48" i="47" s="1"/>
  <c r="L3" i="15"/>
  <c r="L44" i="15" s="1"/>
  <c r="H2" i="58"/>
  <c r="H43" i="58" s="1"/>
  <c r="H44" i="58" s="1"/>
  <c r="G6" i="23"/>
  <c r="G48" i="23" s="1"/>
  <c r="H8" i="17"/>
  <c r="M6" i="23"/>
  <c r="L11" i="12"/>
  <c r="L56" i="12" s="1"/>
  <c r="L11" i="45"/>
  <c r="L56" i="45" s="1"/>
  <c r="M6" i="38"/>
  <c r="M47" i="38" s="1"/>
  <c r="G3" i="11"/>
  <c r="G44" i="11" s="1"/>
  <c r="G3" i="43"/>
  <c r="G44" i="43" s="1"/>
  <c r="L10" i="15"/>
  <c r="L54" i="15" s="1"/>
  <c r="L10" i="45"/>
  <c r="L55" i="45" s="1"/>
  <c r="G6" i="13"/>
  <c r="G47" i="13" s="1"/>
  <c r="G6" i="50"/>
  <c r="G47" i="50" s="1"/>
  <c r="L10" i="10"/>
  <c r="L54" i="10" s="1"/>
  <c r="M6" i="50"/>
  <c r="M47" i="50" s="1"/>
  <c r="M6" i="11"/>
  <c r="M47" i="11" s="1"/>
  <c r="G3" i="12"/>
  <c r="G45" i="12" s="1"/>
  <c r="G3" i="45"/>
  <c r="G45" i="45" s="1"/>
  <c r="L10" i="23"/>
  <c r="L55" i="23" s="1"/>
  <c r="V10" i="12"/>
  <c r="V55" i="12" s="1"/>
  <c r="L11" i="10"/>
  <c r="L55" i="10" s="1"/>
  <c r="L11" i="13"/>
  <c r="L55" i="13" s="1"/>
  <c r="L11" i="23"/>
  <c r="L56" i="23" s="1"/>
  <c r="L11" i="47"/>
  <c r="L56" i="47" s="1"/>
  <c r="M6" i="12"/>
  <c r="M48" i="12" s="1"/>
  <c r="M6" i="43"/>
  <c r="M47" i="43" s="1"/>
  <c r="G3" i="15"/>
  <c r="G44" i="15" s="1"/>
  <c r="G3" i="47"/>
  <c r="G45" i="47" s="1"/>
  <c r="G6" i="10"/>
  <c r="G47" i="10" s="1"/>
  <c r="G6" i="38"/>
  <c r="G47" i="38" s="1"/>
  <c r="H12" i="17"/>
  <c r="H12" i="58" s="1"/>
  <c r="H57" i="58" s="1"/>
  <c r="G12" i="15"/>
  <c r="G56" i="15" s="1"/>
  <c r="G12" i="45"/>
  <c r="G57" i="45" s="1"/>
  <c r="L9" i="10"/>
  <c r="L53" i="10" s="1"/>
  <c r="L9" i="38"/>
  <c r="L53" i="38" s="1"/>
  <c r="G8" i="38"/>
  <c r="G52" i="38" s="1"/>
  <c r="U54" i="23"/>
  <c r="L9" i="45"/>
  <c r="L54" i="45" s="1"/>
  <c r="T54" i="23"/>
  <c r="L9" i="12"/>
  <c r="L54" i="12" s="1"/>
  <c r="L9" i="11"/>
  <c r="L53" i="11" s="1"/>
  <c r="L9" i="13"/>
  <c r="L53" i="13" s="1"/>
  <c r="L9" i="43"/>
  <c r="L53" i="43" s="1"/>
  <c r="L9" i="23"/>
  <c r="L54" i="23" s="1"/>
  <c r="L9" i="47"/>
  <c r="L54" i="47" s="1"/>
  <c r="L9" i="15"/>
  <c r="L53" i="15" s="1"/>
  <c r="G8" i="23"/>
  <c r="G53" i="23" s="1"/>
  <c r="G8" i="11"/>
  <c r="G52" i="11" s="1"/>
  <c r="G8" i="43"/>
  <c r="G52" i="43" s="1"/>
  <c r="L3" i="11"/>
  <c r="L44" i="11" s="1"/>
  <c r="G8" i="12"/>
  <c r="G53" i="12" s="1"/>
  <c r="G8" i="45"/>
  <c r="G53" i="45" s="1"/>
  <c r="L3" i="12"/>
  <c r="L45" i="12" s="1"/>
  <c r="L3" i="43"/>
  <c r="L44" i="43" s="1"/>
  <c r="L3" i="38"/>
  <c r="L44" i="38" s="1"/>
  <c r="G8" i="13"/>
  <c r="G52" i="13" s="1"/>
  <c r="G8" i="47"/>
  <c r="G53" i="47" s="1"/>
  <c r="L3" i="13"/>
  <c r="L44" i="13" s="1"/>
  <c r="L3" i="45"/>
  <c r="L45" i="45" s="1"/>
  <c r="L3" i="10"/>
  <c r="G8" i="15"/>
  <c r="G52" i="15" s="1"/>
  <c r="G8" i="50"/>
  <c r="G52" i="50" s="1"/>
  <c r="L3" i="23"/>
  <c r="L3" i="47"/>
  <c r="L45" i="47" s="1"/>
  <c r="L3" i="50"/>
  <c r="L44" i="50" s="1"/>
  <c r="L12" i="50"/>
  <c r="L56" i="50" s="1"/>
  <c r="L12" i="47"/>
  <c r="L57" i="47" s="1"/>
  <c r="L12" i="45"/>
  <c r="L57" i="45" s="1"/>
  <c r="L12" i="43"/>
  <c r="L56" i="43" s="1"/>
  <c r="L12" i="38"/>
  <c r="L56" i="38" s="1"/>
  <c r="L12" i="23"/>
  <c r="L57" i="23" s="1"/>
  <c r="L12" i="13"/>
  <c r="L56" i="13" s="1"/>
  <c r="L12" i="15"/>
  <c r="L56" i="15" s="1"/>
  <c r="L12" i="10"/>
  <c r="L56" i="10" s="1"/>
  <c r="L12" i="11"/>
  <c r="L56" i="11" s="1"/>
  <c r="L12" i="12"/>
  <c r="L57" i="12" s="1"/>
  <c r="G10" i="50"/>
  <c r="G54" i="50" s="1"/>
  <c r="G10" i="47"/>
  <c r="G55" i="47" s="1"/>
  <c r="G10" i="43"/>
  <c r="G54" i="43" s="1"/>
  <c r="G10" i="45"/>
  <c r="G55" i="45" s="1"/>
  <c r="G10" i="38"/>
  <c r="G54" i="38" s="1"/>
  <c r="G10" i="15"/>
  <c r="G54" i="15" s="1"/>
  <c r="G10" i="23"/>
  <c r="G55" i="23" s="1"/>
  <c r="G10" i="13"/>
  <c r="G54" i="13" s="1"/>
  <c r="G10" i="12"/>
  <c r="G55" i="12" s="1"/>
  <c r="G10" i="11"/>
  <c r="G54" i="11" s="1"/>
  <c r="G10" i="10"/>
  <c r="G54" i="10" s="1"/>
  <c r="H10" i="17"/>
  <c r="H10" i="58" s="1"/>
  <c r="H55" i="58" s="1"/>
  <c r="N6" i="50"/>
  <c r="N47" i="50" s="1"/>
  <c r="N6" i="47"/>
  <c r="N48" i="47" s="1"/>
  <c r="N6" i="45"/>
  <c r="N48" i="45" s="1"/>
  <c r="N6" i="43"/>
  <c r="N47" i="43" s="1"/>
  <c r="N6" i="38"/>
  <c r="N47" i="38" s="1"/>
  <c r="N6" i="23"/>
  <c r="N6" i="13"/>
  <c r="N47" i="13" s="1"/>
  <c r="N6" i="15"/>
  <c r="N47" i="15" s="1"/>
  <c r="N6" i="12"/>
  <c r="N48" i="12" s="1"/>
  <c r="N6" i="10"/>
  <c r="N47" i="10" s="1"/>
  <c r="N6" i="11"/>
  <c r="N47" i="11" s="1"/>
  <c r="H9" i="10"/>
  <c r="H53" i="10" s="1"/>
  <c r="V6" i="50"/>
  <c r="V47" i="50" s="1"/>
  <c r="V6" i="47"/>
  <c r="V48" i="47" s="1"/>
  <c r="V6" i="45"/>
  <c r="V6" i="43"/>
  <c r="V47" i="43" s="1"/>
  <c r="V6" i="38"/>
  <c r="V47" i="38" s="1"/>
  <c r="V6" i="23"/>
  <c r="V6" i="15"/>
  <c r="V47" i="15" s="1"/>
  <c r="V6" i="13"/>
  <c r="V47" i="13" s="1"/>
  <c r="V6" i="12"/>
  <c r="V48" i="12" s="1"/>
  <c r="V6" i="11"/>
  <c r="V47" i="11" s="1"/>
  <c r="V6" i="10"/>
  <c r="V47" i="10" s="1"/>
  <c r="L7" i="50"/>
  <c r="L48" i="50" s="1"/>
  <c r="L7" i="47"/>
  <c r="L49" i="47" s="1"/>
  <c r="L7" i="45"/>
  <c r="L49" i="45" s="1"/>
  <c r="L7" i="43"/>
  <c r="L48" i="43" s="1"/>
  <c r="L7" i="38"/>
  <c r="L48" i="38" s="1"/>
  <c r="L7" i="13"/>
  <c r="L48" i="13" s="1"/>
  <c r="L7" i="15"/>
  <c r="L48" i="15" s="1"/>
  <c r="L7" i="23"/>
  <c r="L7" i="12"/>
  <c r="L49" i="12" s="1"/>
  <c r="L7" i="11"/>
  <c r="L48" i="11" s="1"/>
  <c r="L7" i="10"/>
  <c r="L48" i="10" s="1"/>
  <c r="G11" i="50"/>
  <c r="G55" i="50" s="1"/>
  <c r="G11" i="47"/>
  <c r="G56" i="47" s="1"/>
  <c r="G11" i="45"/>
  <c r="G56" i="45" s="1"/>
  <c r="G11" i="38"/>
  <c r="G55" i="38" s="1"/>
  <c r="G11" i="43"/>
  <c r="G55" i="43" s="1"/>
  <c r="G11" i="23"/>
  <c r="G56" i="23" s="1"/>
  <c r="G11" i="13"/>
  <c r="G55" i="13" s="1"/>
  <c r="G11" i="15"/>
  <c r="G55" i="15" s="1"/>
  <c r="G11" i="12"/>
  <c r="G56" i="12" s="1"/>
  <c r="G11" i="11"/>
  <c r="G55" i="11" s="1"/>
  <c r="H11" i="17"/>
  <c r="H11" i="58" s="1"/>
  <c r="H56" i="58" s="1"/>
  <c r="G11" i="10"/>
  <c r="G55" i="10" s="1"/>
  <c r="G5" i="50"/>
  <c r="G46" i="50" s="1"/>
  <c r="G5" i="47"/>
  <c r="G47" i="47" s="1"/>
  <c r="G5" i="45"/>
  <c r="G47" i="45" s="1"/>
  <c r="G5" i="43"/>
  <c r="G46" i="43" s="1"/>
  <c r="G5" i="38"/>
  <c r="G46" i="38" s="1"/>
  <c r="G5" i="23"/>
  <c r="G47" i="23" s="1"/>
  <c r="G5" i="13"/>
  <c r="G46" i="13" s="1"/>
  <c r="G5" i="15"/>
  <c r="G46" i="15" s="1"/>
  <c r="G5" i="12"/>
  <c r="G47" i="12" s="1"/>
  <c r="G5" i="11"/>
  <c r="G46" i="11" s="1"/>
  <c r="G5" i="10"/>
  <c r="G46" i="10" s="1"/>
  <c r="H5" i="17"/>
  <c r="H5" i="58" s="1"/>
  <c r="H47" i="58" s="1"/>
  <c r="W10" i="50"/>
  <c r="W54" i="50" s="1"/>
  <c r="W10" i="47"/>
  <c r="W55" i="47" s="1"/>
  <c r="W10" i="43"/>
  <c r="W54" i="43" s="1"/>
  <c r="W10" i="45"/>
  <c r="W55" i="45" s="1"/>
  <c r="W10" i="38"/>
  <c r="W54" i="38" s="1"/>
  <c r="W10" i="23"/>
  <c r="W55" i="23" s="1"/>
  <c r="W10" i="15"/>
  <c r="W54" i="15" s="1"/>
  <c r="W10" i="13"/>
  <c r="W54" i="13" s="1"/>
  <c r="W10" i="12"/>
  <c r="W55" i="12" s="1"/>
  <c r="W10" i="11"/>
  <c r="W54" i="11" s="1"/>
  <c r="W10" i="10"/>
  <c r="W54" i="10" s="1"/>
  <c r="V9" i="50"/>
  <c r="V53" i="50" s="1"/>
  <c r="V9" i="47"/>
  <c r="V54" i="47" s="1"/>
  <c r="V9" i="45"/>
  <c r="V54" i="45" s="1"/>
  <c r="V9" i="43"/>
  <c r="V53" i="43" s="1"/>
  <c r="V9" i="38"/>
  <c r="V53" i="38" s="1"/>
  <c r="V9" i="13"/>
  <c r="V53" i="13" s="1"/>
  <c r="V9" i="23"/>
  <c r="V54" i="23" s="1"/>
  <c r="V9" i="15"/>
  <c r="V53" i="15" s="1"/>
  <c r="V9" i="12"/>
  <c r="V54" i="12" s="1"/>
  <c r="V9" i="11"/>
  <c r="V53" i="11" s="1"/>
  <c r="V9" i="10"/>
  <c r="V53" i="10" s="1"/>
  <c r="M11" i="47"/>
  <c r="M56" i="47" s="1"/>
  <c r="M11" i="45"/>
  <c r="M56" i="45" s="1"/>
  <c r="M11" i="43"/>
  <c r="M55" i="43" s="1"/>
  <c r="M11" i="23"/>
  <c r="M56" i="23" s="1"/>
  <c r="M11" i="13"/>
  <c r="M55" i="13" s="1"/>
  <c r="M11" i="10"/>
  <c r="M55" i="10" s="1"/>
  <c r="V3" i="50"/>
  <c r="V44" i="50" s="1"/>
  <c r="V3" i="47"/>
  <c r="V45" i="47" s="1"/>
  <c r="V3" i="45"/>
  <c r="V3" i="38"/>
  <c r="V44" i="38" s="1"/>
  <c r="V3" i="43"/>
  <c r="V44" i="43" s="1"/>
  <c r="V3" i="15"/>
  <c r="V44" i="15" s="1"/>
  <c r="V3" i="23"/>
  <c r="V3" i="12"/>
  <c r="V45" i="12" s="1"/>
  <c r="V3" i="13"/>
  <c r="V44" i="13" s="1"/>
  <c r="V3" i="10"/>
  <c r="V3" i="11"/>
  <c r="V44" i="11" s="1"/>
  <c r="W3" i="17"/>
  <c r="W3" i="58" s="1"/>
  <c r="W45" i="58" s="1"/>
  <c r="V12" i="50"/>
  <c r="V56" i="50" s="1"/>
  <c r="V12" i="47"/>
  <c r="V57" i="47" s="1"/>
  <c r="V12" i="45"/>
  <c r="V57" i="45" s="1"/>
  <c r="V12" i="43"/>
  <c r="V56" i="43" s="1"/>
  <c r="V12" i="38"/>
  <c r="V56" i="38" s="1"/>
  <c r="V12" i="23"/>
  <c r="V57" i="23" s="1"/>
  <c r="V12" i="13"/>
  <c r="V56" i="13" s="1"/>
  <c r="V12" i="12"/>
  <c r="V57" i="12" s="1"/>
  <c r="V12" i="15"/>
  <c r="V56" i="15" s="1"/>
  <c r="V12" i="11"/>
  <c r="V56" i="11" s="1"/>
  <c r="V12" i="10"/>
  <c r="V56" i="10" s="1"/>
  <c r="V4" i="50"/>
  <c r="V45" i="50" s="1"/>
  <c r="V4" i="45"/>
  <c r="V4" i="43"/>
  <c r="V45" i="43" s="1"/>
  <c r="V4" i="47"/>
  <c r="V46" i="47" s="1"/>
  <c r="V4" i="38"/>
  <c r="V45" i="38" s="1"/>
  <c r="V4" i="23"/>
  <c r="V4" i="15"/>
  <c r="V45" i="15" s="1"/>
  <c r="V4" i="13"/>
  <c r="V45" i="13" s="1"/>
  <c r="V4" i="12"/>
  <c r="V46" i="12" s="1"/>
  <c r="V4" i="11"/>
  <c r="V45" i="11" s="1"/>
  <c r="V4" i="10"/>
  <c r="V45" i="10" s="1"/>
  <c r="F18" i="17"/>
  <c r="F36" i="17" s="1"/>
  <c r="M5" i="50"/>
  <c r="M46" i="50" s="1"/>
  <c r="M5" i="47"/>
  <c r="M47" i="47" s="1"/>
  <c r="M5" i="45"/>
  <c r="M47" i="45" s="1"/>
  <c r="M5" i="43"/>
  <c r="M46" i="43" s="1"/>
  <c r="M5" i="38"/>
  <c r="M46" i="38" s="1"/>
  <c r="M5" i="23"/>
  <c r="M5" i="15"/>
  <c r="M46" i="15" s="1"/>
  <c r="M5" i="13"/>
  <c r="M46" i="13" s="1"/>
  <c r="M5" i="11"/>
  <c r="M46" i="11" s="1"/>
  <c r="M5" i="10"/>
  <c r="M46" i="10" s="1"/>
  <c r="M5" i="12"/>
  <c r="M47" i="12" s="1"/>
  <c r="H7" i="38"/>
  <c r="H48" i="38" s="1"/>
  <c r="V8" i="50"/>
  <c r="V52" i="50" s="1"/>
  <c r="V8" i="47"/>
  <c r="V53" i="47" s="1"/>
  <c r="V8" i="45"/>
  <c r="V53" i="45" s="1"/>
  <c r="V8" i="43"/>
  <c r="V52" i="43" s="1"/>
  <c r="V8" i="38"/>
  <c r="V52" i="38" s="1"/>
  <c r="V8" i="15"/>
  <c r="V52" i="15" s="1"/>
  <c r="V8" i="23"/>
  <c r="V53" i="23" s="1"/>
  <c r="V8" i="13"/>
  <c r="V52" i="13" s="1"/>
  <c r="V8" i="11"/>
  <c r="V8" i="10"/>
  <c r="V8" i="12"/>
  <c r="V53" i="12" s="1"/>
  <c r="L4" i="50"/>
  <c r="L45" i="50" s="1"/>
  <c r="L4" i="47"/>
  <c r="L46" i="47" s="1"/>
  <c r="L4" i="45"/>
  <c r="L46" i="45" s="1"/>
  <c r="L4" i="43"/>
  <c r="L45" i="43" s="1"/>
  <c r="L4" i="38"/>
  <c r="L45" i="38" s="1"/>
  <c r="L4" i="15"/>
  <c r="L45" i="15" s="1"/>
  <c r="L4" i="11"/>
  <c r="L45" i="11" s="1"/>
  <c r="L4" i="13"/>
  <c r="L45" i="13" s="1"/>
  <c r="L4" i="23"/>
  <c r="L4" i="12"/>
  <c r="L46" i="12" s="1"/>
  <c r="L4" i="10"/>
  <c r="L45" i="10" s="1"/>
  <c r="M3" i="50"/>
  <c r="M44" i="50" s="1"/>
  <c r="M3" i="47"/>
  <c r="M45" i="47" s="1"/>
  <c r="M3" i="45"/>
  <c r="M45" i="45" s="1"/>
  <c r="M3" i="15"/>
  <c r="M44" i="15" s="1"/>
  <c r="M3" i="13"/>
  <c r="M44" i="13" s="1"/>
  <c r="V11" i="50"/>
  <c r="V55" i="50" s="1"/>
  <c r="V11" i="47"/>
  <c r="V56" i="47" s="1"/>
  <c r="V11" i="43"/>
  <c r="V55" i="43" s="1"/>
  <c r="V11" i="45"/>
  <c r="V56" i="45" s="1"/>
  <c r="V11" i="38"/>
  <c r="V55" i="38" s="1"/>
  <c r="V11" i="15"/>
  <c r="V55" i="15" s="1"/>
  <c r="V11" i="13"/>
  <c r="V55" i="13" s="1"/>
  <c r="V11" i="23"/>
  <c r="V56" i="23" s="1"/>
  <c r="V11" i="12"/>
  <c r="V56" i="12" s="1"/>
  <c r="V11" i="11"/>
  <c r="V55" i="11" s="1"/>
  <c r="V11" i="10"/>
  <c r="V55" i="10" s="1"/>
  <c r="L8" i="50"/>
  <c r="L52" i="50" s="1"/>
  <c r="L8" i="45"/>
  <c r="L53" i="45" s="1"/>
  <c r="L8" i="47"/>
  <c r="L53" i="47" s="1"/>
  <c r="L8" i="43"/>
  <c r="L52" i="43" s="1"/>
  <c r="L8" i="38"/>
  <c r="L52" i="38" s="1"/>
  <c r="L8" i="23"/>
  <c r="L53" i="23" s="1"/>
  <c r="L8" i="15"/>
  <c r="L52" i="15" s="1"/>
  <c r="L8" i="13"/>
  <c r="L52" i="13" s="1"/>
  <c r="L8" i="10"/>
  <c r="L8" i="12"/>
  <c r="L53" i="12" s="1"/>
  <c r="L8" i="11"/>
  <c r="L52" i="11" s="1"/>
  <c r="AO7" i="18" l="1"/>
  <c r="W48" i="18"/>
  <c r="U48" i="18"/>
  <c r="AA48" i="18"/>
  <c r="Y48" i="18"/>
  <c r="W50" i="18"/>
  <c r="U50" i="18"/>
  <c r="Y50" i="18"/>
  <c r="AA50" i="18"/>
  <c r="U52" i="18"/>
  <c r="AA52" i="18"/>
  <c r="W52" i="18"/>
  <c r="Y52" i="18"/>
  <c r="G44" i="45"/>
  <c r="G43" i="10"/>
  <c r="AO29" i="18"/>
  <c r="Q59" i="18" s="1"/>
  <c r="S48" i="18"/>
  <c r="G43" i="50"/>
  <c r="I58" i="18"/>
  <c r="S52" i="18"/>
  <c r="S50" i="18"/>
  <c r="D84" i="47"/>
  <c r="D85" i="47" s="1"/>
  <c r="AO30" i="18"/>
  <c r="Q60" i="18" s="1"/>
  <c r="AO8" i="18"/>
  <c r="I7" i="17"/>
  <c r="I7" i="58" s="1"/>
  <c r="I49" i="58" s="1"/>
  <c r="I8" i="17"/>
  <c r="I8" i="58" s="1"/>
  <c r="I53" i="58" s="1"/>
  <c r="H8" i="58"/>
  <c r="H53" i="58" s="1"/>
  <c r="A53" i="58" s="1"/>
  <c r="H6" i="58"/>
  <c r="H48" i="58" s="1"/>
  <c r="H9" i="58"/>
  <c r="H54" i="58" s="1"/>
  <c r="H7" i="58"/>
  <c r="H49" i="58" s="1"/>
  <c r="B49" i="58" s="1"/>
  <c r="D84" i="45"/>
  <c r="D85" i="45" s="1"/>
  <c r="D84" i="23"/>
  <c r="D85" i="23" s="1"/>
  <c r="F62" i="43"/>
  <c r="F74" i="43" s="1"/>
  <c r="F62" i="38"/>
  <c r="F74" i="38" s="1"/>
  <c r="F62" i="15"/>
  <c r="F74" i="15" s="1"/>
  <c r="F62" i="50"/>
  <c r="F74" i="50" s="1"/>
  <c r="F62" i="13"/>
  <c r="F74" i="13" s="1"/>
  <c r="F63" i="45"/>
  <c r="F75" i="45" s="1"/>
  <c r="F62" i="11"/>
  <c r="F74" i="11" s="1"/>
  <c r="E38" i="17"/>
  <c r="D83" i="13"/>
  <c r="D84" i="13" s="1"/>
  <c r="D84" i="12"/>
  <c r="D85" i="12" s="1"/>
  <c r="E79" i="13"/>
  <c r="E79" i="11"/>
  <c r="G79" i="58"/>
  <c r="G80" i="58" s="1"/>
  <c r="G75" i="58"/>
  <c r="G76" i="58" s="1"/>
  <c r="E80" i="58"/>
  <c r="F79" i="58"/>
  <c r="F80" i="58" s="1"/>
  <c r="F75" i="58"/>
  <c r="F76" i="58" s="1"/>
  <c r="D83" i="15"/>
  <c r="D84" i="15" s="1"/>
  <c r="E79" i="50"/>
  <c r="D83" i="50"/>
  <c r="D84" i="50" s="1"/>
  <c r="E80" i="47"/>
  <c r="E80" i="45"/>
  <c r="E79" i="43"/>
  <c r="D83" i="43"/>
  <c r="D84" i="43" s="1"/>
  <c r="E79" i="38"/>
  <c r="D83" i="38"/>
  <c r="D84" i="38" s="1"/>
  <c r="G58" i="18"/>
  <c r="E80" i="23"/>
  <c r="E79" i="15"/>
  <c r="I57" i="18"/>
  <c r="G57" i="18"/>
  <c r="I59" i="18"/>
  <c r="G59" i="18"/>
  <c r="G56" i="18"/>
  <c r="I56" i="18"/>
  <c r="F75" i="12"/>
  <c r="AB29" i="11"/>
  <c r="AO6" i="18"/>
  <c r="E77" i="10"/>
  <c r="E79" i="10" s="1"/>
  <c r="H4" i="58"/>
  <c r="H46" i="58" s="1"/>
  <c r="H4" i="43"/>
  <c r="H45" i="43" s="1"/>
  <c r="H3" i="45"/>
  <c r="H45" i="45" s="1"/>
  <c r="H3" i="58"/>
  <c r="H45" i="58" s="1"/>
  <c r="G44" i="58"/>
  <c r="F64" i="58"/>
  <c r="F37" i="17"/>
  <c r="F38" i="17" s="1"/>
  <c r="F62" i="58"/>
  <c r="H6" i="43"/>
  <c r="H47" i="43" s="1"/>
  <c r="H9" i="11"/>
  <c r="H53" i="11" s="1"/>
  <c r="H9" i="12"/>
  <c r="H54" i="12" s="1"/>
  <c r="H9" i="43"/>
  <c r="H53" i="43" s="1"/>
  <c r="H9" i="15"/>
  <c r="H53" i="15" s="1"/>
  <c r="H9" i="45"/>
  <c r="H54" i="45" s="1"/>
  <c r="H9" i="13"/>
  <c r="H53" i="13" s="1"/>
  <c r="H9" i="47"/>
  <c r="H54" i="47" s="1"/>
  <c r="H9" i="23"/>
  <c r="H54" i="23" s="1"/>
  <c r="H9" i="50"/>
  <c r="H53" i="50" s="1"/>
  <c r="I9" i="17"/>
  <c r="I9" i="58" s="1"/>
  <c r="I54" i="58" s="1"/>
  <c r="H6" i="23"/>
  <c r="H48" i="23" s="1"/>
  <c r="H6" i="10"/>
  <c r="H47" i="10" s="1"/>
  <c r="H6" i="15"/>
  <c r="H47" i="15" s="1"/>
  <c r="H4" i="45"/>
  <c r="H46" i="45" s="1"/>
  <c r="H4" i="11"/>
  <c r="H45" i="11" s="1"/>
  <c r="H4" i="10"/>
  <c r="H45" i="10" s="1"/>
  <c r="H4" i="50"/>
  <c r="H45" i="50" s="1"/>
  <c r="H4" i="13"/>
  <c r="H45" i="13" s="1"/>
  <c r="E74" i="43"/>
  <c r="H4" i="23"/>
  <c r="H46" i="23" s="1"/>
  <c r="H4" i="12"/>
  <c r="H46" i="12" s="1"/>
  <c r="E34" i="17"/>
  <c r="H6" i="13"/>
  <c r="H47" i="13" s="1"/>
  <c r="H6" i="11"/>
  <c r="H47" i="11" s="1"/>
  <c r="H6" i="45"/>
  <c r="H48" i="45" s="1"/>
  <c r="H6" i="12"/>
  <c r="H48" i="12" s="1"/>
  <c r="H6" i="47"/>
  <c r="H48" i="47" s="1"/>
  <c r="H6" i="50"/>
  <c r="H47" i="50" s="1"/>
  <c r="H6" i="38"/>
  <c r="H47" i="38" s="1"/>
  <c r="F75" i="47"/>
  <c r="D67" i="10"/>
  <c r="D83" i="10" s="1"/>
  <c r="D84" i="10" s="1"/>
  <c r="D67" i="11"/>
  <c r="D83" i="11" s="1"/>
  <c r="D84" i="11" s="1"/>
  <c r="W5" i="13"/>
  <c r="W46" i="13" s="1"/>
  <c r="W5" i="47"/>
  <c r="W47" i="47" s="1"/>
  <c r="W5" i="23"/>
  <c r="W5" i="50"/>
  <c r="W46" i="50" s="1"/>
  <c r="W5" i="10"/>
  <c r="W46" i="10" s="1"/>
  <c r="W5" i="38"/>
  <c r="W46" i="38" s="1"/>
  <c r="W5" i="11"/>
  <c r="W46" i="11" s="1"/>
  <c r="W5" i="43"/>
  <c r="W46" i="43" s="1"/>
  <c r="W5" i="12"/>
  <c r="W47" i="12" s="1"/>
  <c r="W5" i="15"/>
  <c r="W46" i="15" s="1"/>
  <c r="W5" i="45"/>
  <c r="H7" i="10"/>
  <c r="H48" i="10" s="1"/>
  <c r="H7" i="13"/>
  <c r="H48" i="13" s="1"/>
  <c r="H7" i="43"/>
  <c r="H48" i="43" s="1"/>
  <c r="M10" i="12"/>
  <c r="M55" i="12" s="1"/>
  <c r="M10" i="38"/>
  <c r="M54" i="38" s="1"/>
  <c r="M10" i="45"/>
  <c r="M55" i="45" s="1"/>
  <c r="M9" i="47"/>
  <c r="M54" i="47" s="1"/>
  <c r="H7" i="11"/>
  <c r="H48" i="11" s="1"/>
  <c r="H7" i="12"/>
  <c r="H49" i="12" s="1"/>
  <c r="H7" i="45"/>
  <c r="H49" i="45" s="1"/>
  <c r="H7" i="15"/>
  <c r="H48" i="15" s="1"/>
  <c r="H7" i="23"/>
  <c r="H49" i="23" s="1"/>
  <c r="H7" i="50"/>
  <c r="H48" i="50" s="1"/>
  <c r="H7" i="47"/>
  <c r="H49" i="47" s="1"/>
  <c r="I6" i="17"/>
  <c r="I6" i="58" s="1"/>
  <c r="I48" i="58" s="1"/>
  <c r="A48" i="58" s="1"/>
  <c r="H4" i="38"/>
  <c r="H45" i="38" s="1"/>
  <c r="H4" i="47"/>
  <c r="H46" i="47" s="1"/>
  <c r="H4" i="15"/>
  <c r="H45" i="15" s="1"/>
  <c r="I4" i="17"/>
  <c r="I4" i="43" s="1"/>
  <c r="I45" i="43" s="1"/>
  <c r="F75" i="23"/>
  <c r="E74" i="15"/>
  <c r="E74" i="13"/>
  <c r="F79" i="12"/>
  <c r="E79" i="12"/>
  <c r="E80" i="12" s="1"/>
  <c r="E75" i="12"/>
  <c r="E75" i="45"/>
  <c r="E73" i="10"/>
  <c r="G62" i="11"/>
  <c r="G63" i="47"/>
  <c r="G62" i="38"/>
  <c r="G62" i="43"/>
  <c r="G63" i="45"/>
  <c r="G62" i="50"/>
  <c r="G62" i="13"/>
  <c r="G63" i="23"/>
  <c r="G62" i="15"/>
  <c r="G63" i="12"/>
  <c r="E74" i="11"/>
  <c r="F63" i="10"/>
  <c r="F78" i="10" s="1"/>
  <c r="F63" i="11"/>
  <c r="F78" i="11" s="1"/>
  <c r="F63" i="50"/>
  <c r="F78" i="50" s="1"/>
  <c r="F64" i="47"/>
  <c r="F79" i="47" s="1"/>
  <c r="F63" i="38"/>
  <c r="F78" i="38" s="1"/>
  <c r="F64" i="45"/>
  <c r="F79" i="45" s="1"/>
  <c r="F63" i="43"/>
  <c r="F78" i="43" s="1"/>
  <c r="F63" i="13"/>
  <c r="F78" i="13" s="1"/>
  <c r="F63" i="15"/>
  <c r="F78" i="15" s="1"/>
  <c r="F64" i="12"/>
  <c r="F64" i="23"/>
  <c r="F79" i="23" s="1"/>
  <c r="E74" i="10"/>
  <c r="E71" i="11"/>
  <c r="F61" i="10"/>
  <c r="F77" i="10" s="1"/>
  <c r="F61" i="11"/>
  <c r="F77" i="11" s="1"/>
  <c r="F61" i="38"/>
  <c r="F77" i="38" s="1"/>
  <c r="F61" i="43"/>
  <c r="F77" i="43" s="1"/>
  <c r="F62" i="45"/>
  <c r="F78" i="45" s="1"/>
  <c r="F61" i="50"/>
  <c r="F77" i="50" s="1"/>
  <c r="F62" i="47"/>
  <c r="F78" i="47" s="1"/>
  <c r="F62" i="23"/>
  <c r="F78" i="23" s="1"/>
  <c r="F61" i="15"/>
  <c r="F77" i="15" s="1"/>
  <c r="F61" i="13"/>
  <c r="F77" i="13" s="1"/>
  <c r="F62" i="12"/>
  <c r="E74" i="47"/>
  <c r="E73" i="15"/>
  <c r="E73" i="43"/>
  <c r="E73" i="50"/>
  <c r="E75" i="50" s="1"/>
  <c r="E74" i="45"/>
  <c r="E74" i="23"/>
  <c r="E73" i="38"/>
  <c r="E73" i="11"/>
  <c r="F60" i="11"/>
  <c r="F61" i="47"/>
  <c r="F60" i="38"/>
  <c r="F60" i="43"/>
  <c r="F61" i="45"/>
  <c r="F61" i="23"/>
  <c r="F60" i="15"/>
  <c r="F60" i="50"/>
  <c r="F60" i="13"/>
  <c r="F61" i="12"/>
  <c r="F78" i="12" s="1"/>
  <c r="E73" i="13"/>
  <c r="E74" i="12"/>
  <c r="G20" i="17"/>
  <c r="F60" i="10"/>
  <c r="H3" i="23"/>
  <c r="H45" i="23" s="1"/>
  <c r="H3" i="13"/>
  <c r="H44" i="13" s="1"/>
  <c r="M3" i="23"/>
  <c r="H3" i="15"/>
  <c r="H44" i="15" s="1"/>
  <c r="H3" i="47"/>
  <c r="H45" i="47" s="1"/>
  <c r="M11" i="15"/>
  <c r="M55" i="15" s="1"/>
  <c r="M11" i="50"/>
  <c r="M55" i="50" s="1"/>
  <c r="I3" i="17"/>
  <c r="H3" i="12"/>
  <c r="H45" i="12" s="1"/>
  <c r="H3" i="38"/>
  <c r="H44" i="38" s="1"/>
  <c r="M3" i="12"/>
  <c r="M45" i="12" s="1"/>
  <c r="M11" i="11"/>
  <c r="M55" i="11" s="1"/>
  <c r="M11" i="38"/>
  <c r="M55" i="38" s="1"/>
  <c r="H3" i="11"/>
  <c r="H44" i="11" s="1"/>
  <c r="H3" i="10"/>
  <c r="H44" i="10" s="1"/>
  <c r="H3" i="50"/>
  <c r="H44" i="50" s="1"/>
  <c r="M3" i="38"/>
  <c r="M44" i="38" s="1"/>
  <c r="M3" i="10"/>
  <c r="M44" i="10" s="1"/>
  <c r="M3" i="11"/>
  <c r="M44" i="11" s="1"/>
  <c r="M11" i="12"/>
  <c r="M56" i="12" s="1"/>
  <c r="H3" i="43"/>
  <c r="H44" i="43" s="1"/>
  <c r="V44" i="10"/>
  <c r="L52" i="10"/>
  <c r="L44" i="10"/>
  <c r="G44" i="10"/>
  <c r="H19" i="17"/>
  <c r="H63" i="58" s="1"/>
  <c r="G62" i="10"/>
  <c r="V52" i="10"/>
  <c r="M10" i="11"/>
  <c r="M54" i="11" s="1"/>
  <c r="M10" i="43"/>
  <c r="M54" i="43" s="1"/>
  <c r="M10" i="15"/>
  <c r="M54" i="15" s="1"/>
  <c r="M10" i="47"/>
  <c r="M55" i="47" s="1"/>
  <c r="M10" i="13"/>
  <c r="M54" i="13" s="1"/>
  <c r="M10" i="50"/>
  <c r="M54" i="50" s="1"/>
  <c r="M10" i="23"/>
  <c r="M55" i="23" s="1"/>
  <c r="H8" i="47"/>
  <c r="H53" i="47" s="1"/>
  <c r="M10" i="10"/>
  <c r="M54" i="10" s="1"/>
  <c r="H8" i="13"/>
  <c r="H52" i="13" s="1"/>
  <c r="M9" i="50"/>
  <c r="M53" i="50" s="1"/>
  <c r="M9" i="12"/>
  <c r="M54" i="12" s="1"/>
  <c r="H8" i="43"/>
  <c r="H52" i="43" s="1"/>
  <c r="H12" i="12"/>
  <c r="H57" i="12" s="1"/>
  <c r="H12" i="38"/>
  <c r="H56" i="38" s="1"/>
  <c r="H12" i="23"/>
  <c r="H57" i="23" s="1"/>
  <c r="H12" i="50"/>
  <c r="H56" i="50" s="1"/>
  <c r="H12" i="11"/>
  <c r="H56" i="11" s="1"/>
  <c r="H12" i="47"/>
  <c r="H57" i="47" s="1"/>
  <c r="H12" i="15"/>
  <c r="H56" i="15" s="1"/>
  <c r="H12" i="43"/>
  <c r="H56" i="43" s="1"/>
  <c r="H12" i="10"/>
  <c r="H56" i="10" s="1"/>
  <c r="H12" i="45"/>
  <c r="H57" i="45" s="1"/>
  <c r="H12" i="13"/>
  <c r="H56" i="13" s="1"/>
  <c r="I12" i="17"/>
  <c r="I12" i="58" s="1"/>
  <c r="I57" i="58" s="1"/>
  <c r="B57" i="58" s="1"/>
  <c r="M9" i="13"/>
  <c r="M53" i="13" s="1"/>
  <c r="H8" i="50"/>
  <c r="H52" i="50" s="1"/>
  <c r="H8" i="10"/>
  <c r="M9" i="23"/>
  <c r="M54" i="23" s="1"/>
  <c r="H8" i="23"/>
  <c r="H53" i="23" s="1"/>
  <c r="H8" i="45"/>
  <c r="H53" i="45" s="1"/>
  <c r="H8" i="11"/>
  <c r="H52" i="11" s="1"/>
  <c r="H8" i="12"/>
  <c r="H53" i="12" s="1"/>
  <c r="H2" i="10"/>
  <c r="H42" i="10" s="1"/>
  <c r="H43" i="10" s="1"/>
  <c r="H2" i="47"/>
  <c r="H43" i="47" s="1"/>
  <c r="H44" i="47" s="1"/>
  <c r="H2" i="15"/>
  <c r="H42" i="15" s="1"/>
  <c r="H2" i="45"/>
  <c r="H43" i="45" s="1"/>
  <c r="H44" i="45" s="1"/>
  <c r="H2" i="12"/>
  <c r="H43" i="12" s="1"/>
  <c r="H44" i="12" s="1"/>
  <c r="H2" i="50"/>
  <c r="H42" i="50" s="1"/>
  <c r="H43" i="50" s="1"/>
  <c r="I2" i="58"/>
  <c r="I43" i="58" s="1"/>
  <c r="I44" i="58" s="1"/>
  <c r="H2" i="43"/>
  <c r="H42" i="43" s="1"/>
  <c r="H43" i="43" s="1"/>
  <c r="H2" i="13"/>
  <c r="H42" i="13" s="1"/>
  <c r="H43" i="13" s="1"/>
  <c r="H2" i="38"/>
  <c r="H42" i="38" s="1"/>
  <c r="H43" i="38" s="1"/>
  <c r="H2" i="11"/>
  <c r="H42" i="11" s="1"/>
  <c r="H2" i="23"/>
  <c r="H43" i="23" s="1"/>
  <c r="H44" i="23" s="1"/>
  <c r="M9" i="38"/>
  <c r="M53" i="38" s="1"/>
  <c r="M9" i="43"/>
  <c r="M53" i="43" s="1"/>
  <c r="H8" i="15"/>
  <c r="H52" i="15" s="1"/>
  <c r="H8" i="38"/>
  <c r="H52" i="38" s="1"/>
  <c r="W7" i="12"/>
  <c r="W49" i="12" s="1"/>
  <c r="W7" i="47"/>
  <c r="W49" i="47" s="1"/>
  <c r="W7" i="13"/>
  <c r="W48" i="13" s="1"/>
  <c r="W7" i="45"/>
  <c r="W7" i="23"/>
  <c r="W7" i="50"/>
  <c r="W48" i="50" s="1"/>
  <c r="W7" i="43"/>
  <c r="W48" i="43" s="1"/>
  <c r="W7" i="11"/>
  <c r="W48" i="11" s="1"/>
  <c r="W7" i="10"/>
  <c r="W48" i="10" s="1"/>
  <c r="W7" i="38"/>
  <c r="W48" i="38" s="1"/>
  <c r="W7" i="15"/>
  <c r="W48" i="15" s="1"/>
  <c r="N9" i="38"/>
  <c r="N53" i="38" s="1"/>
  <c r="M9" i="15"/>
  <c r="M53" i="15" s="1"/>
  <c r="M9" i="45"/>
  <c r="M54" i="45" s="1"/>
  <c r="M9" i="10"/>
  <c r="M53" i="10" s="1"/>
  <c r="M9" i="11"/>
  <c r="M53" i="11" s="1"/>
  <c r="I8" i="13"/>
  <c r="I52" i="13" s="1"/>
  <c r="I7" i="50"/>
  <c r="I48" i="50" s="1"/>
  <c r="I7" i="13"/>
  <c r="I48" i="13" s="1"/>
  <c r="O6" i="50"/>
  <c r="O47" i="50" s="1"/>
  <c r="O6" i="45"/>
  <c r="O6" i="47"/>
  <c r="O48" i="47" s="1"/>
  <c r="O6" i="43"/>
  <c r="O47" i="43" s="1"/>
  <c r="O6" i="38"/>
  <c r="O47" i="38" s="1"/>
  <c r="O6" i="13"/>
  <c r="O47" i="13" s="1"/>
  <c r="O6" i="23"/>
  <c r="O6" i="15"/>
  <c r="O47" i="15" s="1"/>
  <c r="O6" i="12"/>
  <c r="O48" i="12" s="1"/>
  <c r="O6" i="11"/>
  <c r="O47" i="11" s="1"/>
  <c r="O6" i="10"/>
  <c r="O47" i="10" s="1"/>
  <c r="H11" i="50"/>
  <c r="H55" i="50" s="1"/>
  <c r="H11" i="47"/>
  <c r="H56" i="47" s="1"/>
  <c r="H11" i="45"/>
  <c r="H56" i="45" s="1"/>
  <c r="H11" i="43"/>
  <c r="H55" i="43" s="1"/>
  <c r="H11" i="38"/>
  <c r="H55" i="38" s="1"/>
  <c r="H11" i="13"/>
  <c r="H55" i="13" s="1"/>
  <c r="H11" i="15"/>
  <c r="H55" i="15" s="1"/>
  <c r="H11" i="12"/>
  <c r="H56" i="12" s="1"/>
  <c r="H11" i="11"/>
  <c r="H55" i="11" s="1"/>
  <c r="H11" i="23"/>
  <c r="H56" i="23" s="1"/>
  <c r="I11" i="17"/>
  <c r="I11" i="58" s="1"/>
  <c r="I56" i="58" s="1"/>
  <c r="B56" i="58" s="1"/>
  <c r="H11" i="10"/>
  <c r="H55" i="10" s="1"/>
  <c r="N10" i="50"/>
  <c r="N54" i="50" s="1"/>
  <c r="N10" i="47"/>
  <c r="N55" i="47" s="1"/>
  <c r="N10" i="45"/>
  <c r="N55" i="45" s="1"/>
  <c r="N10" i="43"/>
  <c r="N54" i="43" s="1"/>
  <c r="N10" i="38"/>
  <c r="N54" i="38" s="1"/>
  <c r="N10" i="23"/>
  <c r="N55" i="23" s="1"/>
  <c r="N10" i="15"/>
  <c r="N54" i="15" s="1"/>
  <c r="N10" i="13"/>
  <c r="N54" i="13" s="1"/>
  <c r="N10" i="12"/>
  <c r="N55" i="12" s="1"/>
  <c r="N10" i="10"/>
  <c r="N54" i="10" s="1"/>
  <c r="N10" i="11"/>
  <c r="N54" i="11" s="1"/>
  <c r="M8" i="50"/>
  <c r="M52" i="50" s="1"/>
  <c r="M8" i="47"/>
  <c r="M53" i="47" s="1"/>
  <c r="M8" i="45"/>
  <c r="M53" i="45" s="1"/>
  <c r="M8" i="43"/>
  <c r="M52" i="43" s="1"/>
  <c r="M8" i="38"/>
  <c r="M52" i="38" s="1"/>
  <c r="M8" i="15"/>
  <c r="M52" i="15" s="1"/>
  <c r="M8" i="23"/>
  <c r="M53" i="23" s="1"/>
  <c r="M8" i="13"/>
  <c r="M52" i="13" s="1"/>
  <c r="M8" i="12"/>
  <c r="M53" i="12" s="1"/>
  <c r="M8" i="11"/>
  <c r="M52" i="11" s="1"/>
  <c r="M8" i="10"/>
  <c r="M4" i="50"/>
  <c r="M45" i="50" s="1"/>
  <c r="M4" i="47"/>
  <c r="M46" i="47" s="1"/>
  <c r="M4" i="45"/>
  <c r="M46" i="45" s="1"/>
  <c r="M4" i="43"/>
  <c r="M45" i="43" s="1"/>
  <c r="M4" i="38"/>
  <c r="M45" i="38" s="1"/>
  <c r="M4" i="15"/>
  <c r="M45" i="15" s="1"/>
  <c r="M4" i="23"/>
  <c r="M4" i="12"/>
  <c r="M46" i="12" s="1"/>
  <c r="M4" i="11"/>
  <c r="M45" i="11" s="1"/>
  <c r="M4" i="13"/>
  <c r="M45" i="13" s="1"/>
  <c r="M4" i="10"/>
  <c r="M45" i="10" s="1"/>
  <c r="H10" i="50"/>
  <c r="H54" i="50" s="1"/>
  <c r="H10" i="47"/>
  <c r="H55" i="47" s="1"/>
  <c r="H10" i="45"/>
  <c r="H55" i="45" s="1"/>
  <c r="H10" i="43"/>
  <c r="H54" i="43" s="1"/>
  <c r="H10" i="38"/>
  <c r="H54" i="38" s="1"/>
  <c r="H10" i="15"/>
  <c r="H54" i="15" s="1"/>
  <c r="H10" i="23"/>
  <c r="H55" i="23" s="1"/>
  <c r="H10" i="13"/>
  <c r="H54" i="13" s="1"/>
  <c r="H10" i="11"/>
  <c r="H54" i="11" s="1"/>
  <c r="H10" i="10"/>
  <c r="H54" i="10" s="1"/>
  <c r="I10" i="17"/>
  <c r="I10" i="58" s="1"/>
  <c r="I55" i="58" s="1"/>
  <c r="H10" i="12"/>
  <c r="H55" i="12" s="1"/>
  <c r="H5" i="50"/>
  <c r="H46" i="50" s="1"/>
  <c r="H5" i="45"/>
  <c r="H47" i="45" s="1"/>
  <c r="H5" i="47"/>
  <c r="H47" i="47" s="1"/>
  <c r="H5" i="43"/>
  <c r="H46" i="43" s="1"/>
  <c r="H5" i="38"/>
  <c r="H46" i="38" s="1"/>
  <c r="H5" i="15"/>
  <c r="H46" i="15" s="1"/>
  <c r="H5" i="12"/>
  <c r="H47" i="12" s="1"/>
  <c r="H5" i="11"/>
  <c r="H46" i="11" s="1"/>
  <c r="H5" i="13"/>
  <c r="H46" i="13" s="1"/>
  <c r="H5" i="23"/>
  <c r="H47" i="23" s="1"/>
  <c r="H5" i="10"/>
  <c r="H46" i="10" s="1"/>
  <c r="I5" i="17"/>
  <c r="I5" i="58" s="1"/>
  <c r="I47" i="58" s="1"/>
  <c r="X10" i="50"/>
  <c r="X54" i="50" s="1"/>
  <c r="X10" i="47"/>
  <c r="X55" i="47" s="1"/>
  <c r="X10" i="45"/>
  <c r="X55" i="45" s="1"/>
  <c r="X10" i="43"/>
  <c r="X54" i="43" s="1"/>
  <c r="X10" i="38"/>
  <c r="X54" i="38" s="1"/>
  <c r="X10" i="15"/>
  <c r="X54" i="15" s="1"/>
  <c r="X10" i="13"/>
  <c r="X54" i="13" s="1"/>
  <c r="X10" i="23"/>
  <c r="X55" i="23" s="1"/>
  <c r="X10" i="11"/>
  <c r="X54" i="11" s="1"/>
  <c r="X10" i="10"/>
  <c r="X54" i="10" s="1"/>
  <c r="X10" i="12"/>
  <c r="X55" i="12" s="1"/>
  <c r="I9" i="45"/>
  <c r="I54" i="45" s="1"/>
  <c r="I9" i="38"/>
  <c r="I53" i="38" s="1"/>
  <c r="I9" i="23"/>
  <c r="I54" i="23" s="1"/>
  <c r="I9" i="10"/>
  <c r="I53" i="10" s="1"/>
  <c r="I9" i="12"/>
  <c r="I54" i="12" s="1"/>
  <c r="X5" i="50"/>
  <c r="X46" i="50" s="1"/>
  <c r="X5" i="45"/>
  <c r="X5" i="47"/>
  <c r="X47" i="47" s="1"/>
  <c r="X5" i="43"/>
  <c r="X46" i="43" s="1"/>
  <c r="X5" i="38"/>
  <c r="X46" i="38" s="1"/>
  <c r="X5" i="23"/>
  <c r="X5" i="15"/>
  <c r="X46" i="15" s="1"/>
  <c r="X5" i="13"/>
  <c r="X46" i="13" s="1"/>
  <c r="X5" i="12"/>
  <c r="X47" i="12" s="1"/>
  <c r="X5" i="11"/>
  <c r="X46" i="11" s="1"/>
  <c r="X5" i="10"/>
  <c r="X46" i="10" s="1"/>
  <c r="V45" i="23"/>
  <c r="V48" i="23"/>
  <c r="W8" i="50"/>
  <c r="W52" i="50" s="1"/>
  <c r="W8" i="47"/>
  <c r="W53" i="47" s="1"/>
  <c r="W8" i="45"/>
  <c r="W53" i="45" s="1"/>
  <c r="W8" i="43"/>
  <c r="W52" i="43" s="1"/>
  <c r="W8" i="38"/>
  <c r="W52" i="38" s="1"/>
  <c r="W8" i="15"/>
  <c r="W52" i="15" s="1"/>
  <c r="W8" i="23"/>
  <c r="W53" i="23" s="1"/>
  <c r="W8" i="13"/>
  <c r="W52" i="13" s="1"/>
  <c r="W8" i="12"/>
  <c r="W53" i="12" s="1"/>
  <c r="W8" i="11"/>
  <c r="W8" i="10"/>
  <c r="W4" i="50"/>
  <c r="W45" i="50" s="1"/>
  <c r="W4" i="47"/>
  <c r="W46" i="47" s="1"/>
  <c r="W4" i="43"/>
  <c r="W45" i="43" s="1"/>
  <c r="W4" i="45"/>
  <c r="W4" i="38"/>
  <c r="W45" i="38" s="1"/>
  <c r="W4" i="15"/>
  <c r="W45" i="15" s="1"/>
  <c r="W4" i="23"/>
  <c r="W4" i="13"/>
  <c r="W45" i="13" s="1"/>
  <c r="W4" i="12"/>
  <c r="W46" i="12" s="1"/>
  <c r="W4" i="11"/>
  <c r="W45" i="11" s="1"/>
  <c r="W4" i="10"/>
  <c r="W45" i="10" s="1"/>
  <c r="W12" i="47"/>
  <c r="W57" i="47" s="1"/>
  <c r="W12" i="50"/>
  <c r="W56" i="50" s="1"/>
  <c r="W12" i="45"/>
  <c r="W57" i="45" s="1"/>
  <c r="W12" i="43"/>
  <c r="W56" i="43" s="1"/>
  <c r="W12" i="38"/>
  <c r="W56" i="38" s="1"/>
  <c r="W12" i="23"/>
  <c r="W12" i="13"/>
  <c r="W56" i="13" s="1"/>
  <c r="W12" i="15"/>
  <c r="W56" i="15" s="1"/>
  <c r="W12" i="12"/>
  <c r="W57" i="12" s="1"/>
  <c r="W12" i="11"/>
  <c r="W56" i="11" s="1"/>
  <c r="W12" i="10"/>
  <c r="W56" i="10" s="1"/>
  <c r="M7" i="50"/>
  <c r="M48" i="50" s="1"/>
  <c r="M7" i="47"/>
  <c r="M49" i="47" s="1"/>
  <c r="M7" i="45"/>
  <c r="M49" i="45" s="1"/>
  <c r="M7" i="43"/>
  <c r="M48" i="43" s="1"/>
  <c r="M7" i="38"/>
  <c r="M48" i="38" s="1"/>
  <c r="M7" i="23"/>
  <c r="M7" i="15"/>
  <c r="M48" i="15" s="1"/>
  <c r="M7" i="13"/>
  <c r="M48" i="13" s="1"/>
  <c r="M7" i="10"/>
  <c r="M48" i="10" s="1"/>
  <c r="M7" i="12"/>
  <c r="M49" i="12" s="1"/>
  <c r="M7" i="11"/>
  <c r="M48" i="11" s="1"/>
  <c r="N3" i="50"/>
  <c r="N44" i="50" s="1"/>
  <c r="N3" i="45"/>
  <c r="N45" i="45" s="1"/>
  <c r="N3" i="47"/>
  <c r="N45" i="47" s="1"/>
  <c r="N3" i="43"/>
  <c r="N44" i="43" s="1"/>
  <c r="N3" i="38"/>
  <c r="N44" i="38" s="1"/>
  <c r="N3" i="23"/>
  <c r="N3" i="15"/>
  <c r="N44" i="15" s="1"/>
  <c r="N3" i="12"/>
  <c r="N45" i="12" s="1"/>
  <c r="N3" i="13"/>
  <c r="N44" i="13" s="1"/>
  <c r="N3" i="11"/>
  <c r="N44" i="11" s="1"/>
  <c r="N3" i="10"/>
  <c r="W3" i="50"/>
  <c r="W44" i="50" s="1"/>
  <c r="W3" i="47"/>
  <c r="W45" i="47" s="1"/>
  <c r="W3" i="45"/>
  <c r="W3" i="43"/>
  <c r="W44" i="43" s="1"/>
  <c r="W3" i="38"/>
  <c r="W44" i="38" s="1"/>
  <c r="W3" i="23"/>
  <c r="W3" i="15"/>
  <c r="W44" i="15" s="1"/>
  <c r="W3" i="12"/>
  <c r="W45" i="12" s="1"/>
  <c r="W3" i="13"/>
  <c r="W44" i="13" s="1"/>
  <c r="X3" i="17"/>
  <c r="X3" i="58" s="1"/>
  <c r="X45" i="58" s="1"/>
  <c r="W3" i="11"/>
  <c r="W44" i="11" s="1"/>
  <c r="W3" i="10"/>
  <c r="W9" i="50"/>
  <c r="W53" i="50" s="1"/>
  <c r="W9" i="47"/>
  <c r="W54" i="47" s="1"/>
  <c r="W9" i="45"/>
  <c r="W54" i="45" s="1"/>
  <c r="W9" i="43"/>
  <c r="W53" i="43" s="1"/>
  <c r="W9" i="38"/>
  <c r="W53" i="38" s="1"/>
  <c r="W9" i="23"/>
  <c r="W54" i="23" s="1"/>
  <c r="W9" i="13"/>
  <c r="W53" i="13" s="1"/>
  <c r="W9" i="15"/>
  <c r="W53" i="15" s="1"/>
  <c r="W9" i="11"/>
  <c r="W53" i="11" s="1"/>
  <c r="W9" i="12"/>
  <c r="W54" i="12" s="1"/>
  <c r="W9" i="10"/>
  <c r="W53" i="10" s="1"/>
  <c r="N9" i="11"/>
  <c r="N53" i="11" s="1"/>
  <c r="W6" i="50"/>
  <c r="W47" i="50" s="1"/>
  <c r="W6" i="47"/>
  <c r="W48" i="47" s="1"/>
  <c r="W6" i="45"/>
  <c r="W6" i="43"/>
  <c r="W47" i="43" s="1"/>
  <c r="W6" i="38"/>
  <c r="W47" i="38" s="1"/>
  <c r="W6" i="13"/>
  <c r="W47" i="13" s="1"/>
  <c r="W6" i="23"/>
  <c r="W6" i="15"/>
  <c r="W47" i="15" s="1"/>
  <c r="W6" i="12"/>
  <c r="W48" i="12" s="1"/>
  <c r="W6" i="11"/>
  <c r="W47" i="11" s="1"/>
  <c r="W6" i="10"/>
  <c r="W47" i="10" s="1"/>
  <c r="W11" i="50"/>
  <c r="W55" i="50" s="1"/>
  <c r="W11" i="47"/>
  <c r="W56" i="47" s="1"/>
  <c r="W11" i="45"/>
  <c r="W56" i="45" s="1"/>
  <c r="W11" i="43"/>
  <c r="W55" i="43" s="1"/>
  <c r="W11" i="38"/>
  <c r="W55" i="38" s="1"/>
  <c r="W11" i="23"/>
  <c r="W56" i="23" s="1"/>
  <c r="W11" i="13"/>
  <c r="W55" i="13" s="1"/>
  <c r="W11" i="11"/>
  <c r="W55" i="11" s="1"/>
  <c r="W11" i="15"/>
  <c r="W55" i="15" s="1"/>
  <c r="W11" i="10"/>
  <c r="W55" i="10" s="1"/>
  <c r="W11" i="12"/>
  <c r="W56" i="12" s="1"/>
  <c r="N5" i="50"/>
  <c r="N46" i="50" s="1"/>
  <c r="N5" i="47"/>
  <c r="N47" i="47" s="1"/>
  <c r="N5" i="43"/>
  <c r="N46" i="43" s="1"/>
  <c r="N5" i="45"/>
  <c r="N47" i="45" s="1"/>
  <c r="N5" i="38"/>
  <c r="N46" i="38" s="1"/>
  <c r="N5" i="15"/>
  <c r="N46" i="15" s="1"/>
  <c r="N5" i="13"/>
  <c r="N46" i="13" s="1"/>
  <c r="N5" i="23"/>
  <c r="N5" i="12"/>
  <c r="N47" i="12" s="1"/>
  <c r="N5" i="11"/>
  <c r="N46" i="11" s="1"/>
  <c r="N5" i="10"/>
  <c r="N46" i="10" s="1"/>
  <c r="G18" i="17"/>
  <c r="I6" i="13"/>
  <c r="I47" i="13" s="1"/>
  <c r="M12" i="50"/>
  <c r="M56" i="50" s="1"/>
  <c r="M12" i="45"/>
  <c r="M57" i="45" s="1"/>
  <c r="M12" i="47"/>
  <c r="M57" i="47" s="1"/>
  <c r="M12" i="43"/>
  <c r="M56" i="43" s="1"/>
  <c r="M12" i="38"/>
  <c r="M56" i="38" s="1"/>
  <c r="M12" i="23"/>
  <c r="M57" i="23" s="1"/>
  <c r="M12" i="13"/>
  <c r="M56" i="13" s="1"/>
  <c r="M12" i="15"/>
  <c r="M56" i="15" s="1"/>
  <c r="M12" i="12"/>
  <c r="M57" i="12" s="1"/>
  <c r="M12" i="11"/>
  <c r="M56" i="11" s="1"/>
  <c r="M12" i="10"/>
  <c r="M56" i="10" s="1"/>
  <c r="A54" i="58" l="1"/>
  <c r="A49" i="58"/>
  <c r="AA49" i="18"/>
  <c r="W49" i="18"/>
  <c r="U49" i="18"/>
  <c r="Y49" i="18"/>
  <c r="Y51" i="18"/>
  <c r="U51" i="18"/>
  <c r="AA51" i="18"/>
  <c r="W51" i="18"/>
  <c r="H43" i="15"/>
  <c r="I7" i="23"/>
  <c r="I49" i="23" s="1"/>
  <c r="A56" i="58"/>
  <c r="B55" i="58"/>
  <c r="O17" i="60" s="1"/>
  <c r="A55" i="58"/>
  <c r="B47" i="58"/>
  <c r="O9" i="60" s="1"/>
  <c r="A47" i="58"/>
  <c r="I7" i="10"/>
  <c r="I48" i="10" s="1"/>
  <c r="I7" i="38"/>
  <c r="I48" i="38" s="1"/>
  <c r="A57" i="58"/>
  <c r="I7" i="11"/>
  <c r="I48" i="11" s="1"/>
  <c r="I7" i="43"/>
  <c r="I48" i="43" s="1"/>
  <c r="I7" i="12"/>
  <c r="I49" i="12" s="1"/>
  <c r="I7" i="45"/>
  <c r="I49" i="45" s="1"/>
  <c r="H43" i="11"/>
  <c r="I7" i="15"/>
  <c r="I48" i="15" s="1"/>
  <c r="I7" i="47"/>
  <c r="I49" i="47" s="1"/>
  <c r="AO77" i="18"/>
  <c r="C71" i="18" s="1"/>
  <c r="S49" i="18"/>
  <c r="S51" i="18"/>
  <c r="I6" i="23"/>
  <c r="I48" i="23" s="1"/>
  <c r="I9" i="13"/>
  <c r="I53" i="13" s="1"/>
  <c r="I9" i="43"/>
  <c r="I53" i="43" s="1"/>
  <c r="I6" i="50"/>
  <c r="I47" i="50" s="1"/>
  <c r="I9" i="15"/>
  <c r="I53" i="15" s="1"/>
  <c r="I9" i="50"/>
  <c r="I53" i="50" s="1"/>
  <c r="I8" i="15"/>
  <c r="I52" i="15" s="1"/>
  <c r="I6" i="47"/>
  <c r="I48" i="47" s="1"/>
  <c r="I9" i="11"/>
  <c r="I53" i="11" s="1"/>
  <c r="I9" i="47"/>
  <c r="I54" i="47" s="1"/>
  <c r="I6" i="15"/>
  <c r="I47" i="15" s="1"/>
  <c r="B48" i="58"/>
  <c r="O10" i="60" s="1"/>
  <c r="I6" i="10"/>
  <c r="I47" i="10" s="1"/>
  <c r="I6" i="38"/>
  <c r="I47" i="38" s="1"/>
  <c r="I6" i="11"/>
  <c r="I47" i="11" s="1"/>
  <c r="I6" i="45"/>
  <c r="I48" i="45" s="1"/>
  <c r="I6" i="12"/>
  <c r="I48" i="12" s="1"/>
  <c r="I6" i="43"/>
  <c r="I47" i="43" s="1"/>
  <c r="E44" i="17"/>
  <c r="B54" i="58"/>
  <c r="O16" i="60" s="1"/>
  <c r="B53" i="58"/>
  <c r="O15" i="60" s="1"/>
  <c r="O18" i="60"/>
  <c r="O34" i="18"/>
  <c r="AN188" i="18" s="1"/>
  <c r="O33" i="18"/>
  <c r="AN187" i="18" s="1"/>
  <c r="O11" i="60"/>
  <c r="O27" i="18"/>
  <c r="AN181" i="18" s="1"/>
  <c r="I8" i="45"/>
  <c r="I53" i="45" s="1"/>
  <c r="O35" i="18"/>
  <c r="AN189" i="18" s="1"/>
  <c r="O19" i="60"/>
  <c r="I8" i="50"/>
  <c r="I52" i="50" s="1"/>
  <c r="I8" i="23"/>
  <c r="I53" i="23" s="1"/>
  <c r="I8" i="38"/>
  <c r="I52" i="38" s="1"/>
  <c r="I8" i="47"/>
  <c r="I53" i="47" s="1"/>
  <c r="I4" i="13"/>
  <c r="I45" i="13" s="1"/>
  <c r="I8" i="11"/>
  <c r="I52" i="11" s="1"/>
  <c r="I8" i="10"/>
  <c r="I52" i="10" s="1"/>
  <c r="I8" i="12"/>
  <c r="I53" i="12" s="1"/>
  <c r="I8" i="43"/>
  <c r="I52" i="43" s="1"/>
  <c r="F84" i="58"/>
  <c r="F85" i="58" s="1"/>
  <c r="F79" i="15"/>
  <c r="G84" i="58"/>
  <c r="G85" i="58" s="1"/>
  <c r="H79" i="58"/>
  <c r="H80" i="58" s="1"/>
  <c r="H75" i="58"/>
  <c r="G62" i="58"/>
  <c r="G36" i="17"/>
  <c r="F79" i="11"/>
  <c r="E84" i="58"/>
  <c r="E85" i="58" s="1"/>
  <c r="F79" i="50"/>
  <c r="E83" i="50"/>
  <c r="E84" i="50" s="1"/>
  <c r="F80" i="47"/>
  <c r="F80" i="45"/>
  <c r="F79" i="43"/>
  <c r="F79" i="38"/>
  <c r="F80" i="23"/>
  <c r="F79" i="13"/>
  <c r="F80" i="12"/>
  <c r="F79" i="10"/>
  <c r="AC29" i="11"/>
  <c r="AO28" i="18" s="1"/>
  <c r="Q58" i="18" s="1"/>
  <c r="I4" i="58"/>
  <c r="I46" i="58" s="1"/>
  <c r="I3" i="58"/>
  <c r="I45" i="58" s="1"/>
  <c r="G64" i="58"/>
  <c r="G37" i="17"/>
  <c r="H20" i="17"/>
  <c r="H63" i="38" s="1"/>
  <c r="H78" i="38" s="1"/>
  <c r="I4" i="10"/>
  <c r="I45" i="10" s="1"/>
  <c r="I4" i="38"/>
  <c r="I45" i="38" s="1"/>
  <c r="I4" i="11"/>
  <c r="I45" i="11" s="1"/>
  <c r="I4" i="12"/>
  <c r="I46" i="12" s="1"/>
  <c r="I4" i="45"/>
  <c r="I46" i="45" s="1"/>
  <c r="I4" i="23"/>
  <c r="I46" i="23" s="1"/>
  <c r="I4" i="47"/>
  <c r="I46" i="47" s="1"/>
  <c r="I4" i="15"/>
  <c r="I45" i="15" s="1"/>
  <c r="I4" i="50"/>
  <c r="I45" i="50" s="1"/>
  <c r="E67" i="10"/>
  <c r="E75" i="10"/>
  <c r="G75" i="47"/>
  <c r="G74" i="50"/>
  <c r="G75" i="45"/>
  <c r="G74" i="43"/>
  <c r="G74" i="38"/>
  <c r="G75" i="23"/>
  <c r="G74" i="15"/>
  <c r="G74" i="13"/>
  <c r="G75" i="12"/>
  <c r="G79" i="12"/>
  <c r="G74" i="11"/>
  <c r="G74" i="10"/>
  <c r="N9" i="12"/>
  <c r="N54" i="12" s="1"/>
  <c r="N9" i="43"/>
  <c r="N53" i="43" s="1"/>
  <c r="N9" i="15"/>
  <c r="N53" i="15" s="1"/>
  <c r="N9" i="45"/>
  <c r="N54" i="45" s="1"/>
  <c r="F71" i="11"/>
  <c r="N9" i="47"/>
  <c r="N54" i="47" s="1"/>
  <c r="G63" i="10"/>
  <c r="G78" i="10" s="1"/>
  <c r="G63" i="11"/>
  <c r="G78" i="11" s="1"/>
  <c r="G63" i="50"/>
  <c r="G78" i="50" s="1"/>
  <c r="G64" i="47"/>
  <c r="G79" i="47" s="1"/>
  <c r="G63" i="38"/>
  <c r="G78" i="38" s="1"/>
  <c r="G63" i="43"/>
  <c r="G78" i="43" s="1"/>
  <c r="G64" i="45"/>
  <c r="G79" i="45" s="1"/>
  <c r="G63" i="13"/>
  <c r="G78" i="13" s="1"/>
  <c r="G64" i="23"/>
  <c r="G79" i="23" s="1"/>
  <c r="G64" i="12"/>
  <c r="G63" i="15"/>
  <c r="G78" i="15" s="1"/>
  <c r="N9" i="23"/>
  <c r="N54" i="23" s="1"/>
  <c r="N9" i="50"/>
  <c r="N53" i="50" s="1"/>
  <c r="F71" i="10"/>
  <c r="N9" i="13"/>
  <c r="N53" i="13" s="1"/>
  <c r="H62" i="11"/>
  <c r="H62" i="38"/>
  <c r="H62" i="43"/>
  <c r="H63" i="45"/>
  <c r="H62" i="50"/>
  <c r="H63" i="23"/>
  <c r="H62" i="15"/>
  <c r="H63" i="47"/>
  <c r="H62" i="13"/>
  <c r="H63" i="12"/>
  <c r="G61" i="10"/>
  <c r="G77" i="10" s="1"/>
  <c r="G61" i="11"/>
  <c r="G77" i="11" s="1"/>
  <c r="G61" i="43"/>
  <c r="G77" i="43" s="1"/>
  <c r="G62" i="45"/>
  <c r="G78" i="45" s="1"/>
  <c r="G62" i="47"/>
  <c r="G78" i="47" s="1"/>
  <c r="G62" i="23"/>
  <c r="G78" i="23" s="1"/>
  <c r="G61" i="15"/>
  <c r="G77" i="15" s="1"/>
  <c r="G61" i="50"/>
  <c r="G77" i="50" s="1"/>
  <c r="G61" i="13"/>
  <c r="G77" i="13" s="1"/>
  <c r="G61" i="38"/>
  <c r="G77" i="38" s="1"/>
  <c r="G62" i="12"/>
  <c r="N9" i="10"/>
  <c r="N53" i="10" s="1"/>
  <c r="F73" i="50"/>
  <c r="F75" i="50" s="1"/>
  <c r="E67" i="11"/>
  <c r="F73" i="10"/>
  <c r="F75" i="10" s="1"/>
  <c r="E76" i="12"/>
  <c r="F73" i="13"/>
  <c r="F75" i="13" s="1"/>
  <c r="F73" i="38"/>
  <c r="F75" i="38" s="1"/>
  <c r="E76" i="23"/>
  <c r="E84" i="23" s="1"/>
  <c r="E85" i="23" s="1"/>
  <c r="E75" i="43"/>
  <c r="E83" i="43" s="1"/>
  <c r="E84" i="43" s="1"/>
  <c r="F74" i="45"/>
  <c r="F76" i="45" s="1"/>
  <c r="H60" i="10"/>
  <c r="G60" i="11"/>
  <c r="G60" i="43"/>
  <c r="G61" i="45"/>
  <c r="G60" i="50"/>
  <c r="G60" i="13"/>
  <c r="G61" i="23"/>
  <c r="G60" i="38"/>
  <c r="G61" i="12"/>
  <c r="G78" i="12" s="1"/>
  <c r="G61" i="47"/>
  <c r="G60" i="15"/>
  <c r="E75" i="13"/>
  <c r="E83" i="13" s="1"/>
  <c r="E84" i="13" s="1"/>
  <c r="F73" i="15"/>
  <c r="F75" i="15" s="1"/>
  <c r="F74" i="47"/>
  <c r="F76" i="47" s="1"/>
  <c r="F73" i="11"/>
  <c r="F75" i="11" s="1"/>
  <c r="F67" i="11"/>
  <c r="E75" i="11"/>
  <c r="E75" i="38"/>
  <c r="E83" i="38" s="1"/>
  <c r="E84" i="38" s="1"/>
  <c r="E76" i="45"/>
  <c r="E84" i="45" s="1"/>
  <c r="E85" i="45" s="1"/>
  <c r="E75" i="15"/>
  <c r="E83" i="15" s="1"/>
  <c r="E84" i="15" s="1"/>
  <c r="E76" i="47"/>
  <c r="E84" i="47" s="1"/>
  <c r="E85" i="47" s="1"/>
  <c r="E68" i="12"/>
  <c r="F74" i="12"/>
  <c r="F68" i="12"/>
  <c r="F74" i="23"/>
  <c r="F76" i="23" s="1"/>
  <c r="F84" i="23" s="1"/>
  <c r="F85" i="23" s="1"/>
  <c r="F73" i="43"/>
  <c r="F75" i="43" s="1"/>
  <c r="F67" i="10"/>
  <c r="G60" i="10"/>
  <c r="I3" i="13"/>
  <c r="I44" i="13" s="1"/>
  <c r="I3" i="50"/>
  <c r="I44" i="50" s="1"/>
  <c r="I3" i="11"/>
  <c r="I44" i="11" s="1"/>
  <c r="I3" i="47"/>
  <c r="I45" i="47" s="1"/>
  <c r="I3" i="45"/>
  <c r="I45" i="45" s="1"/>
  <c r="N11" i="11"/>
  <c r="N55" i="11" s="1"/>
  <c r="N11" i="38"/>
  <c r="N55" i="38" s="1"/>
  <c r="N11" i="12"/>
  <c r="N56" i="12" s="1"/>
  <c r="N11" i="43"/>
  <c r="N55" i="43" s="1"/>
  <c r="I3" i="10"/>
  <c r="I44" i="10" s="1"/>
  <c r="I3" i="15"/>
  <c r="I44" i="15" s="1"/>
  <c r="N11" i="45"/>
  <c r="N56" i="45" s="1"/>
  <c r="I3" i="23"/>
  <c r="I45" i="23" s="1"/>
  <c r="N11" i="13"/>
  <c r="N55" i="13" s="1"/>
  <c r="N11" i="23"/>
  <c r="N56" i="23" s="1"/>
  <c r="N11" i="47"/>
  <c r="N56" i="47" s="1"/>
  <c r="I3" i="38"/>
  <c r="I44" i="38" s="1"/>
  <c r="N11" i="10"/>
  <c r="N55" i="10" s="1"/>
  <c r="N11" i="15"/>
  <c r="N55" i="15" s="1"/>
  <c r="N11" i="50"/>
  <c r="N55" i="50" s="1"/>
  <c r="I3" i="43"/>
  <c r="I44" i="43" s="1"/>
  <c r="I3" i="12"/>
  <c r="I45" i="12" s="1"/>
  <c r="H52" i="10"/>
  <c r="I19" i="17"/>
  <c r="I63" i="58" s="1"/>
  <c r="H62" i="10"/>
  <c r="N44" i="10"/>
  <c r="W52" i="10"/>
  <c r="M52" i="10"/>
  <c r="W44" i="10"/>
  <c r="X7" i="50"/>
  <c r="X48" i="50" s="1"/>
  <c r="X7" i="15"/>
  <c r="X48" i="15" s="1"/>
  <c r="X7" i="47"/>
  <c r="X49" i="47" s="1"/>
  <c r="X7" i="23"/>
  <c r="X7" i="43"/>
  <c r="X48" i="43" s="1"/>
  <c r="X7" i="13"/>
  <c r="X48" i="13" s="1"/>
  <c r="X7" i="45"/>
  <c r="X7" i="12"/>
  <c r="X49" i="12" s="1"/>
  <c r="X7" i="11"/>
  <c r="X48" i="11" s="1"/>
  <c r="X7" i="10"/>
  <c r="X48" i="10" s="1"/>
  <c r="X7" i="38"/>
  <c r="X48" i="38" s="1"/>
  <c r="I12" i="47"/>
  <c r="I57" i="47" s="1"/>
  <c r="I12" i="23"/>
  <c r="I57" i="23" s="1"/>
  <c r="I12" i="43"/>
  <c r="I56" i="43" s="1"/>
  <c r="I12" i="13"/>
  <c r="I56" i="13" s="1"/>
  <c r="I12" i="50"/>
  <c r="I56" i="50" s="1"/>
  <c r="I12" i="45"/>
  <c r="I57" i="45" s="1"/>
  <c r="I12" i="12"/>
  <c r="I57" i="12" s="1"/>
  <c r="I12" i="15"/>
  <c r="I56" i="15" s="1"/>
  <c r="I12" i="11"/>
  <c r="I56" i="11" s="1"/>
  <c r="I12" i="38"/>
  <c r="I56" i="38" s="1"/>
  <c r="I12" i="10"/>
  <c r="I56" i="10" s="1"/>
  <c r="I2" i="10"/>
  <c r="I42" i="10" s="1"/>
  <c r="I2" i="12"/>
  <c r="I43" i="12" s="1"/>
  <c r="I44" i="12" s="1"/>
  <c r="I2" i="11"/>
  <c r="I42" i="11" s="1"/>
  <c r="I43" i="11" s="1"/>
  <c r="I2" i="43"/>
  <c r="I42" i="43" s="1"/>
  <c r="I43" i="43" s="1"/>
  <c r="I2" i="47"/>
  <c r="I43" i="47" s="1"/>
  <c r="I2" i="13"/>
  <c r="I42" i="13" s="1"/>
  <c r="I43" i="13" s="1"/>
  <c r="I2" i="38"/>
  <c r="I42" i="38" s="1"/>
  <c r="I43" i="38" s="1"/>
  <c r="I2" i="50"/>
  <c r="I42" i="50" s="1"/>
  <c r="I43" i="50" s="1"/>
  <c r="I2" i="23"/>
  <c r="I43" i="23" s="1"/>
  <c r="I44" i="23" s="1"/>
  <c r="I2" i="45"/>
  <c r="I43" i="45" s="1"/>
  <c r="I44" i="45" s="1"/>
  <c r="I2" i="15"/>
  <c r="I42" i="15" s="1"/>
  <c r="I43" i="15" s="1"/>
  <c r="J2" i="58"/>
  <c r="J43" i="58" s="1"/>
  <c r="O5" i="50"/>
  <c r="O46" i="50" s="1"/>
  <c r="O5" i="47"/>
  <c r="O47" i="47" s="1"/>
  <c r="O5" i="45"/>
  <c r="O5" i="43"/>
  <c r="O46" i="43" s="1"/>
  <c r="O5" i="38"/>
  <c r="O46" i="38" s="1"/>
  <c r="O5" i="23"/>
  <c r="O5" i="13"/>
  <c r="O46" i="13" s="1"/>
  <c r="O5" i="15"/>
  <c r="O46" i="15" s="1"/>
  <c r="O5" i="12"/>
  <c r="O47" i="12" s="1"/>
  <c r="O5" i="10"/>
  <c r="O46" i="10" s="1"/>
  <c r="O5" i="11"/>
  <c r="O46" i="11" s="1"/>
  <c r="Y5" i="50"/>
  <c r="Y46" i="50" s="1"/>
  <c r="Y5" i="47"/>
  <c r="Y47" i="47" s="1"/>
  <c r="Y5" i="45"/>
  <c r="Y47" i="45" s="1"/>
  <c r="Y5" i="43"/>
  <c r="Y46" i="43" s="1"/>
  <c r="Y5" i="38"/>
  <c r="Y46" i="38" s="1"/>
  <c r="Y5" i="13"/>
  <c r="Y46" i="13" s="1"/>
  <c r="Y5" i="15"/>
  <c r="Y46" i="15" s="1"/>
  <c r="Y5" i="11"/>
  <c r="Y46" i="11" s="1"/>
  <c r="Y5" i="23"/>
  <c r="Y5" i="10"/>
  <c r="Y46" i="10" s="1"/>
  <c r="Y5" i="12"/>
  <c r="Y47" i="12" s="1"/>
  <c r="X9" i="50"/>
  <c r="X53" i="50" s="1"/>
  <c r="X9" i="47"/>
  <c r="X54" i="47" s="1"/>
  <c r="X9" i="45"/>
  <c r="X54" i="45" s="1"/>
  <c r="X9" i="43"/>
  <c r="X53" i="43" s="1"/>
  <c r="X9" i="38"/>
  <c r="X53" i="38" s="1"/>
  <c r="X9" i="23"/>
  <c r="X54" i="23" s="1"/>
  <c r="X9" i="13"/>
  <c r="X53" i="13" s="1"/>
  <c r="X9" i="15"/>
  <c r="X53" i="15" s="1"/>
  <c r="X9" i="12"/>
  <c r="X54" i="12" s="1"/>
  <c r="X9" i="11"/>
  <c r="X53" i="11" s="1"/>
  <c r="X9" i="10"/>
  <c r="X53" i="10" s="1"/>
  <c r="V47" i="23"/>
  <c r="Y10" i="50"/>
  <c r="Y54" i="50" s="1"/>
  <c r="Y10" i="47"/>
  <c r="Y55" i="47" s="1"/>
  <c r="Y10" i="45"/>
  <c r="Y55" i="45" s="1"/>
  <c r="Y10" i="43"/>
  <c r="Y54" i="43" s="1"/>
  <c r="Y10" i="38"/>
  <c r="Y54" i="38" s="1"/>
  <c r="Y10" i="15"/>
  <c r="Y54" i="15" s="1"/>
  <c r="Y10" i="13"/>
  <c r="Y54" i="13" s="1"/>
  <c r="Y10" i="23"/>
  <c r="Y55" i="23" s="1"/>
  <c r="Y10" i="12"/>
  <c r="Y55" i="12" s="1"/>
  <c r="Y10" i="11"/>
  <c r="Y54" i="11" s="1"/>
  <c r="Y10" i="10"/>
  <c r="Y54" i="10" s="1"/>
  <c r="N8" i="50"/>
  <c r="N52" i="50" s="1"/>
  <c r="N8" i="47"/>
  <c r="N53" i="47" s="1"/>
  <c r="N8" i="45"/>
  <c r="N53" i="45" s="1"/>
  <c r="N8" i="43"/>
  <c r="N52" i="43" s="1"/>
  <c r="N8" i="38"/>
  <c r="N52" i="38" s="1"/>
  <c r="N8" i="15"/>
  <c r="N52" i="15" s="1"/>
  <c r="N8" i="23"/>
  <c r="N53" i="23" s="1"/>
  <c r="N8" i="13"/>
  <c r="N52" i="13" s="1"/>
  <c r="N8" i="10"/>
  <c r="N8" i="12"/>
  <c r="N53" i="12" s="1"/>
  <c r="N8" i="11"/>
  <c r="N52" i="11" s="1"/>
  <c r="N7" i="50"/>
  <c r="N48" i="50" s="1"/>
  <c r="N7" i="47"/>
  <c r="N49" i="47" s="1"/>
  <c r="N7" i="43"/>
  <c r="N48" i="43" s="1"/>
  <c r="N7" i="45"/>
  <c r="N49" i="45" s="1"/>
  <c r="N7" i="38"/>
  <c r="N48" i="38" s="1"/>
  <c r="N7" i="15"/>
  <c r="N48" i="15" s="1"/>
  <c r="N7" i="23"/>
  <c r="N7" i="13"/>
  <c r="N48" i="13" s="1"/>
  <c r="N7" i="12"/>
  <c r="N49" i="12" s="1"/>
  <c r="N7" i="11"/>
  <c r="N48" i="11" s="1"/>
  <c r="N7" i="10"/>
  <c r="N48" i="10" s="1"/>
  <c r="I10" i="50"/>
  <c r="I54" i="50" s="1"/>
  <c r="I10" i="47"/>
  <c r="I55" i="47" s="1"/>
  <c r="I10" i="45"/>
  <c r="I55" i="45" s="1"/>
  <c r="I10" i="43"/>
  <c r="I54" i="43" s="1"/>
  <c r="I10" i="38"/>
  <c r="I54" i="38" s="1"/>
  <c r="I10" i="15"/>
  <c r="I54" i="15" s="1"/>
  <c r="I10" i="23"/>
  <c r="I55" i="23" s="1"/>
  <c r="I10" i="13"/>
  <c r="I54" i="13" s="1"/>
  <c r="I10" i="12"/>
  <c r="I55" i="12" s="1"/>
  <c r="I10" i="11"/>
  <c r="I54" i="11" s="1"/>
  <c r="I10" i="10"/>
  <c r="I54" i="10" s="1"/>
  <c r="P6" i="50"/>
  <c r="P47" i="50" s="1"/>
  <c r="P6" i="45"/>
  <c r="P6" i="47"/>
  <c r="P48" i="47" s="1"/>
  <c r="P6" i="43"/>
  <c r="P47" i="43" s="1"/>
  <c r="P6" i="38"/>
  <c r="P47" i="38" s="1"/>
  <c r="P6" i="23"/>
  <c r="P6" i="15"/>
  <c r="P47" i="15" s="1"/>
  <c r="P6" i="13"/>
  <c r="P47" i="13" s="1"/>
  <c r="P6" i="12"/>
  <c r="P48" i="12" s="1"/>
  <c r="P6" i="10"/>
  <c r="P47" i="10" s="1"/>
  <c r="P6" i="11"/>
  <c r="P47" i="11" s="1"/>
  <c r="X6" i="50"/>
  <c r="X47" i="50" s="1"/>
  <c r="X6" i="45"/>
  <c r="X6" i="43"/>
  <c r="X47" i="43" s="1"/>
  <c r="X6" i="47"/>
  <c r="X48" i="47" s="1"/>
  <c r="X6" i="38"/>
  <c r="X47" i="38" s="1"/>
  <c r="X6" i="23"/>
  <c r="X6" i="15"/>
  <c r="X47" i="15" s="1"/>
  <c r="X6" i="13"/>
  <c r="X47" i="13" s="1"/>
  <c r="X6" i="11"/>
  <c r="X47" i="11" s="1"/>
  <c r="X6" i="10"/>
  <c r="X47" i="10" s="1"/>
  <c r="X6" i="12"/>
  <c r="X48" i="12" s="1"/>
  <c r="O9" i="38"/>
  <c r="O53" i="38" s="1"/>
  <c r="X8" i="50"/>
  <c r="X52" i="50" s="1"/>
  <c r="X8" i="45"/>
  <c r="X53" i="45" s="1"/>
  <c r="X8" i="47"/>
  <c r="X53" i="47" s="1"/>
  <c r="X8" i="43"/>
  <c r="X52" i="43" s="1"/>
  <c r="X8" i="38"/>
  <c r="X52" i="38" s="1"/>
  <c r="X8" i="23"/>
  <c r="X53" i="23" s="1"/>
  <c r="X8" i="13"/>
  <c r="X52" i="13" s="1"/>
  <c r="X8" i="15"/>
  <c r="X52" i="15" s="1"/>
  <c r="X8" i="11"/>
  <c r="X8" i="10"/>
  <c r="X8" i="12"/>
  <c r="X53" i="12" s="1"/>
  <c r="V49" i="23"/>
  <c r="I11" i="50"/>
  <c r="I55" i="50" s="1"/>
  <c r="I11" i="47"/>
  <c r="I56" i="47" s="1"/>
  <c r="I11" i="45"/>
  <c r="I56" i="45" s="1"/>
  <c r="I11" i="43"/>
  <c r="I55" i="43" s="1"/>
  <c r="I11" i="38"/>
  <c r="I55" i="38" s="1"/>
  <c r="I11" i="23"/>
  <c r="I56" i="23" s="1"/>
  <c r="I11" i="15"/>
  <c r="I55" i="15" s="1"/>
  <c r="I11" i="13"/>
  <c r="I55" i="13" s="1"/>
  <c r="I11" i="11"/>
  <c r="I55" i="11" s="1"/>
  <c r="I11" i="12"/>
  <c r="I56" i="12" s="1"/>
  <c r="I11" i="10"/>
  <c r="I55" i="10" s="1"/>
  <c r="X11" i="50"/>
  <c r="X55" i="50" s="1"/>
  <c r="X11" i="47"/>
  <c r="X56" i="47" s="1"/>
  <c r="X11" i="45"/>
  <c r="X56" i="45" s="1"/>
  <c r="X11" i="43"/>
  <c r="X55" i="43" s="1"/>
  <c r="X11" i="38"/>
  <c r="X55" i="38" s="1"/>
  <c r="X11" i="13"/>
  <c r="X55" i="13" s="1"/>
  <c r="X11" i="23"/>
  <c r="X56" i="23" s="1"/>
  <c r="X11" i="15"/>
  <c r="X55" i="15" s="1"/>
  <c r="X11" i="12"/>
  <c r="X56" i="12" s="1"/>
  <c r="X11" i="11"/>
  <c r="X55" i="11" s="1"/>
  <c r="X11" i="10"/>
  <c r="X55" i="10" s="1"/>
  <c r="X4" i="50"/>
  <c r="X45" i="50" s="1"/>
  <c r="X4" i="47"/>
  <c r="X46" i="47" s="1"/>
  <c r="X4" i="45"/>
  <c r="X4" i="43"/>
  <c r="X45" i="43" s="1"/>
  <c r="X4" i="38"/>
  <c r="X45" i="38" s="1"/>
  <c r="X4" i="15"/>
  <c r="X45" i="15" s="1"/>
  <c r="X4" i="23"/>
  <c r="X4" i="13"/>
  <c r="X45" i="13" s="1"/>
  <c r="X4" i="12"/>
  <c r="X46" i="12" s="1"/>
  <c r="X4" i="10"/>
  <c r="X45" i="10" s="1"/>
  <c r="X4" i="11"/>
  <c r="X45" i="11" s="1"/>
  <c r="V46" i="23"/>
  <c r="O3" i="50"/>
  <c r="O44" i="50" s="1"/>
  <c r="O3" i="47"/>
  <c r="O45" i="47" s="1"/>
  <c r="O3" i="45"/>
  <c r="O3" i="43"/>
  <c r="O44" i="43" s="1"/>
  <c r="O3" i="38"/>
  <c r="O44" i="38" s="1"/>
  <c r="O3" i="23"/>
  <c r="O3" i="15"/>
  <c r="O44" i="15" s="1"/>
  <c r="O3" i="13"/>
  <c r="O44" i="13" s="1"/>
  <c r="O3" i="11"/>
  <c r="O44" i="11" s="1"/>
  <c r="O3" i="10"/>
  <c r="O3" i="12"/>
  <c r="O45" i="12" s="1"/>
  <c r="N4" i="50"/>
  <c r="N45" i="50" s="1"/>
  <c r="N4" i="47"/>
  <c r="N46" i="47" s="1"/>
  <c r="N4" i="45"/>
  <c r="N46" i="45" s="1"/>
  <c r="N4" i="43"/>
  <c r="N45" i="43" s="1"/>
  <c r="N4" i="38"/>
  <c r="N45" i="38" s="1"/>
  <c r="N4" i="23"/>
  <c r="N4" i="15"/>
  <c r="N45" i="15" s="1"/>
  <c r="N4" i="13"/>
  <c r="N45" i="13" s="1"/>
  <c r="N4" i="10"/>
  <c r="N45" i="10" s="1"/>
  <c r="N4" i="11"/>
  <c r="N45" i="11" s="1"/>
  <c r="N4" i="12"/>
  <c r="N46" i="12" s="1"/>
  <c r="O10" i="50"/>
  <c r="O54" i="50" s="1"/>
  <c r="O10" i="47"/>
  <c r="O55" i="47" s="1"/>
  <c r="O10" i="43"/>
  <c r="O54" i="43" s="1"/>
  <c r="O10" i="45"/>
  <c r="O55" i="45" s="1"/>
  <c r="O10" i="38"/>
  <c r="O54" i="38" s="1"/>
  <c r="O10" i="15"/>
  <c r="O54" i="15" s="1"/>
  <c r="O10" i="13"/>
  <c r="O54" i="13" s="1"/>
  <c r="O10" i="12"/>
  <c r="O55" i="12" s="1"/>
  <c r="O10" i="11"/>
  <c r="O54" i="11" s="1"/>
  <c r="O10" i="10"/>
  <c r="O54" i="10" s="1"/>
  <c r="O10" i="23"/>
  <c r="O55" i="23" s="1"/>
  <c r="N12" i="50"/>
  <c r="N56" i="50" s="1"/>
  <c r="N12" i="47"/>
  <c r="N57" i="47" s="1"/>
  <c r="N12" i="45"/>
  <c r="N57" i="45" s="1"/>
  <c r="N12" i="43"/>
  <c r="N56" i="43" s="1"/>
  <c r="N12" i="38"/>
  <c r="N56" i="38" s="1"/>
  <c r="N12" i="23"/>
  <c r="N57" i="23" s="1"/>
  <c r="N12" i="12"/>
  <c r="N57" i="12" s="1"/>
  <c r="N12" i="13"/>
  <c r="N56" i="13" s="1"/>
  <c r="N12" i="11"/>
  <c r="N56" i="11" s="1"/>
  <c r="N12" i="15"/>
  <c r="N56" i="15" s="1"/>
  <c r="N12" i="10"/>
  <c r="N56" i="10" s="1"/>
  <c r="H18" i="17"/>
  <c r="X3" i="50"/>
  <c r="X44" i="50" s="1"/>
  <c r="X3" i="47"/>
  <c r="X45" i="47" s="1"/>
  <c r="X3" i="45"/>
  <c r="X3" i="43"/>
  <c r="X44" i="43" s="1"/>
  <c r="X3" i="38"/>
  <c r="X44" i="38" s="1"/>
  <c r="X3" i="23"/>
  <c r="X3" i="15"/>
  <c r="X44" i="15" s="1"/>
  <c r="X3" i="12"/>
  <c r="X45" i="12" s="1"/>
  <c r="X3" i="11"/>
  <c r="X44" i="11" s="1"/>
  <c r="X3" i="13"/>
  <c r="X44" i="13" s="1"/>
  <c r="X3" i="10"/>
  <c r="X12" i="50"/>
  <c r="X56" i="50" s="1"/>
  <c r="X12" i="47"/>
  <c r="X57" i="47" s="1"/>
  <c r="X12" i="45"/>
  <c r="X57" i="45" s="1"/>
  <c r="X12" i="43"/>
  <c r="X56" i="43" s="1"/>
  <c r="X12" i="38"/>
  <c r="X56" i="38" s="1"/>
  <c r="X12" i="23"/>
  <c r="X57" i="23" s="1"/>
  <c r="X12" i="15"/>
  <c r="X56" i="15" s="1"/>
  <c r="X12" i="11"/>
  <c r="X56" i="11" s="1"/>
  <c r="X12" i="12"/>
  <c r="X57" i="12" s="1"/>
  <c r="X12" i="10"/>
  <c r="X56" i="10" s="1"/>
  <c r="X12" i="13"/>
  <c r="X56" i="13" s="1"/>
  <c r="I5" i="50"/>
  <c r="I46" i="50" s="1"/>
  <c r="I5" i="47"/>
  <c r="I47" i="47" s="1"/>
  <c r="I5" i="45"/>
  <c r="I47" i="45" s="1"/>
  <c r="I5" i="43"/>
  <c r="I46" i="43" s="1"/>
  <c r="I5" i="38"/>
  <c r="I46" i="38" s="1"/>
  <c r="I5" i="23"/>
  <c r="I47" i="23" s="1"/>
  <c r="I5" i="15"/>
  <c r="I46" i="15" s="1"/>
  <c r="I5" i="13"/>
  <c r="I46" i="13" s="1"/>
  <c r="I5" i="12"/>
  <c r="I47" i="12" s="1"/>
  <c r="I5" i="11"/>
  <c r="I46" i="11" s="1"/>
  <c r="I5" i="10"/>
  <c r="I46" i="10" s="1"/>
  <c r="O25" i="18" l="1"/>
  <c r="AN179" i="18" s="1"/>
  <c r="B45" i="58"/>
  <c r="O7" i="60" s="1"/>
  <c r="A45" i="58"/>
  <c r="I43" i="10"/>
  <c r="I55" i="18"/>
  <c r="I44" i="47"/>
  <c r="J44" i="58"/>
  <c r="B46" i="58"/>
  <c r="O8" i="60" s="1"/>
  <c r="A46" i="58"/>
  <c r="O31" i="18"/>
  <c r="AN185" i="18" s="1"/>
  <c r="O26" i="18"/>
  <c r="AN180" i="18" s="1"/>
  <c r="O32" i="18"/>
  <c r="AN186" i="18" s="1"/>
  <c r="H63" i="50"/>
  <c r="H78" i="50" s="1"/>
  <c r="E84" i="12"/>
  <c r="E85" i="12" s="1"/>
  <c r="G79" i="43"/>
  <c r="H64" i="12"/>
  <c r="G38" i="17"/>
  <c r="I20" i="17"/>
  <c r="F83" i="15"/>
  <c r="F84" i="15" s="1"/>
  <c r="H64" i="23"/>
  <c r="H79" i="23" s="1"/>
  <c r="H63" i="13"/>
  <c r="H78" i="13" s="1"/>
  <c r="H63" i="11"/>
  <c r="H78" i="11" s="1"/>
  <c r="H63" i="10"/>
  <c r="H78" i="10" s="1"/>
  <c r="F83" i="11"/>
  <c r="F84" i="11" s="1"/>
  <c r="G79" i="15"/>
  <c r="H64" i="45"/>
  <c r="H79" i="45" s="1"/>
  <c r="H63" i="43"/>
  <c r="H78" i="43" s="1"/>
  <c r="F83" i="10"/>
  <c r="F84" i="10" s="1"/>
  <c r="E83" i="11"/>
  <c r="E84" i="11" s="1"/>
  <c r="G80" i="12"/>
  <c r="G80" i="23"/>
  <c r="F83" i="13"/>
  <c r="F84" i="13" s="1"/>
  <c r="H62" i="58"/>
  <c r="H36" i="17"/>
  <c r="H76" i="58"/>
  <c r="I79" i="58"/>
  <c r="I75" i="58"/>
  <c r="I76" i="58" s="1"/>
  <c r="G79" i="50"/>
  <c r="F83" i="50"/>
  <c r="F84" i="50" s="1"/>
  <c r="G80" i="47"/>
  <c r="F84" i="47"/>
  <c r="F85" i="47" s="1"/>
  <c r="G80" i="45"/>
  <c r="F84" i="45"/>
  <c r="F85" i="45" s="1"/>
  <c r="F83" i="43"/>
  <c r="F84" i="43" s="1"/>
  <c r="F83" i="38"/>
  <c r="F84" i="38" s="1"/>
  <c r="G79" i="38"/>
  <c r="G79" i="13"/>
  <c r="G79" i="11"/>
  <c r="E83" i="10"/>
  <c r="E84" i="10" s="1"/>
  <c r="G79" i="10"/>
  <c r="O23" i="18"/>
  <c r="AN177" i="18" s="1"/>
  <c r="H64" i="58"/>
  <c r="H37" i="17"/>
  <c r="H63" i="15"/>
  <c r="H78" i="15" s="1"/>
  <c r="H64" i="47"/>
  <c r="H79" i="47" s="1"/>
  <c r="O9" i="11"/>
  <c r="O53" i="11" s="1"/>
  <c r="O11" i="12"/>
  <c r="O56" i="12" s="1"/>
  <c r="O11" i="45"/>
  <c r="O56" i="45" s="1"/>
  <c r="O11" i="15"/>
  <c r="O55" i="15" s="1"/>
  <c r="O11" i="43"/>
  <c r="O55" i="43" s="1"/>
  <c r="O11" i="13"/>
  <c r="O55" i="13" s="1"/>
  <c r="O11" i="50"/>
  <c r="O55" i="50" s="1"/>
  <c r="O11" i="23"/>
  <c r="O56" i="23" s="1"/>
  <c r="O11" i="10"/>
  <c r="O55" i="10" s="1"/>
  <c r="O11" i="47"/>
  <c r="O56" i="47" s="1"/>
  <c r="O11" i="11"/>
  <c r="O55" i="11" s="1"/>
  <c r="O11" i="38"/>
  <c r="O55" i="38" s="1"/>
  <c r="O9" i="10"/>
  <c r="O53" i="10" s="1"/>
  <c r="O9" i="12"/>
  <c r="O54" i="12" s="1"/>
  <c r="O9" i="43"/>
  <c r="O53" i="43" s="1"/>
  <c r="O9" i="23"/>
  <c r="O54" i="23" s="1"/>
  <c r="O9" i="45"/>
  <c r="O54" i="45" s="1"/>
  <c r="O9" i="13"/>
  <c r="O53" i="13" s="1"/>
  <c r="O9" i="50"/>
  <c r="O53" i="50" s="1"/>
  <c r="O9" i="15"/>
  <c r="O53" i="15" s="1"/>
  <c r="O9" i="47"/>
  <c r="O54" i="47" s="1"/>
  <c r="G71" i="10"/>
  <c r="H75" i="47"/>
  <c r="H74" i="50"/>
  <c r="H74" i="43"/>
  <c r="H74" i="38"/>
  <c r="H75" i="23"/>
  <c r="H74" i="15"/>
  <c r="H74" i="13"/>
  <c r="H75" i="12"/>
  <c r="H79" i="12"/>
  <c r="G71" i="11"/>
  <c r="H74" i="11"/>
  <c r="H74" i="10"/>
  <c r="H73" i="10"/>
  <c r="I62" i="11"/>
  <c r="I62" i="43"/>
  <c r="I63" i="45"/>
  <c r="I63" i="47"/>
  <c r="I63" i="23"/>
  <c r="I62" i="15"/>
  <c r="I62" i="13"/>
  <c r="I62" i="50"/>
  <c r="I62" i="38"/>
  <c r="I63" i="12"/>
  <c r="H75" i="45"/>
  <c r="H61" i="10"/>
  <c r="H61" i="11"/>
  <c r="H77" i="11" s="1"/>
  <c r="H62" i="45"/>
  <c r="H78" i="45" s="1"/>
  <c r="H61" i="50"/>
  <c r="H77" i="50" s="1"/>
  <c r="H61" i="38"/>
  <c r="H77" i="38" s="1"/>
  <c r="H79" i="38" s="1"/>
  <c r="H62" i="47"/>
  <c r="H78" i="47" s="1"/>
  <c r="H61" i="13"/>
  <c r="H77" i="13" s="1"/>
  <c r="H61" i="43"/>
  <c r="H77" i="43" s="1"/>
  <c r="H61" i="15"/>
  <c r="H77" i="15" s="1"/>
  <c r="H62" i="12"/>
  <c r="H62" i="23"/>
  <c r="H78" i="23" s="1"/>
  <c r="H60" i="11"/>
  <c r="H61" i="45"/>
  <c r="H60" i="50"/>
  <c r="H61" i="47"/>
  <c r="H60" i="38"/>
  <c r="H61" i="12"/>
  <c r="H78" i="12" s="1"/>
  <c r="H60" i="43"/>
  <c r="H61" i="23"/>
  <c r="H60" i="15"/>
  <c r="H60" i="13"/>
  <c r="F76" i="12"/>
  <c r="F84" i="12" s="1"/>
  <c r="F85" i="12" s="1"/>
  <c r="G73" i="15"/>
  <c r="G75" i="15" s="1"/>
  <c r="G73" i="38"/>
  <c r="G73" i="11"/>
  <c r="G75" i="11" s="1"/>
  <c r="G74" i="23"/>
  <c r="G76" i="23" s="1"/>
  <c r="I60" i="10"/>
  <c r="G74" i="47"/>
  <c r="G73" i="13"/>
  <c r="G74" i="45"/>
  <c r="G76" i="45" s="1"/>
  <c r="G73" i="10"/>
  <c r="G75" i="10" s="1"/>
  <c r="G74" i="12"/>
  <c r="G76" i="12" s="1"/>
  <c r="G73" i="50"/>
  <c r="G73" i="43"/>
  <c r="G75" i="43" s="1"/>
  <c r="X44" i="10"/>
  <c r="O44" i="10"/>
  <c r="N52" i="10"/>
  <c r="X52" i="10"/>
  <c r="J19" i="17"/>
  <c r="I62" i="10"/>
  <c r="J2" i="12"/>
  <c r="J43" i="12" s="1"/>
  <c r="J44" i="12" s="1"/>
  <c r="J2" i="50"/>
  <c r="J42" i="50" s="1"/>
  <c r="J43" i="50" s="1"/>
  <c r="J2" i="23"/>
  <c r="J43" i="23" s="1"/>
  <c r="J44" i="23" s="1"/>
  <c r="J2" i="13"/>
  <c r="J42" i="13" s="1"/>
  <c r="J43" i="13" s="1"/>
  <c r="J2" i="43"/>
  <c r="J42" i="43" s="1"/>
  <c r="J43" i="43" s="1"/>
  <c r="J2" i="38"/>
  <c r="J42" i="38" s="1"/>
  <c r="J43" i="38" s="1"/>
  <c r="J2" i="45"/>
  <c r="J43" i="45" s="1"/>
  <c r="J44" i="45" s="1"/>
  <c r="K2" i="58"/>
  <c r="K43" i="58" s="1"/>
  <c r="K44" i="58" s="1"/>
  <c r="J2" i="47"/>
  <c r="J43" i="47" s="1"/>
  <c r="J44" i="47" s="1"/>
  <c r="J2" i="10"/>
  <c r="J42" i="10" s="1"/>
  <c r="J43" i="10" s="1"/>
  <c r="J2" i="11"/>
  <c r="J42" i="11" s="1"/>
  <c r="J43" i="11" s="1"/>
  <c r="J2" i="15"/>
  <c r="J42" i="15" s="1"/>
  <c r="J43" i="15" s="1"/>
  <c r="Y7" i="50"/>
  <c r="Y48" i="50" s="1"/>
  <c r="Y7" i="47"/>
  <c r="Y49" i="47" s="1"/>
  <c r="Y7" i="13"/>
  <c r="Y48" i="13" s="1"/>
  <c r="Y7" i="12"/>
  <c r="Y49" i="12" s="1"/>
  <c r="Y7" i="43"/>
  <c r="Y48" i="43" s="1"/>
  <c r="Y7" i="15"/>
  <c r="Y48" i="15" s="1"/>
  <c r="Y7" i="23"/>
  <c r="Y7" i="38"/>
  <c r="Y48" i="38" s="1"/>
  <c r="Y7" i="11"/>
  <c r="Y48" i="11" s="1"/>
  <c r="Y7" i="10"/>
  <c r="Y48" i="10" s="1"/>
  <c r="Y7" i="45"/>
  <c r="Y49" i="45" s="1"/>
  <c r="Y8" i="50"/>
  <c r="Y52" i="50" s="1"/>
  <c r="Y8" i="45"/>
  <c r="Y53" i="45" s="1"/>
  <c r="Y8" i="47"/>
  <c r="Y53" i="47" s="1"/>
  <c r="Y8" i="43"/>
  <c r="Y52" i="43" s="1"/>
  <c r="Y8" i="38"/>
  <c r="Y52" i="38" s="1"/>
  <c r="Y8" i="13"/>
  <c r="Y52" i="13" s="1"/>
  <c r="Y8" i="23"/>
  <c r="Y53" i="23" s="1"/>
  <c r="Y8" i="15"/>
  <c r="Y52" i="15" s="1"/>
  <c r="Y8" i="12"/>
  <c r="Y53" i="12" s="1"/>
  <c r="Y8" i="11"/>
  <c r="Y52" i="11" s="1"/>
  <c r="Y8" i="10"/>
  <c r="Q6" i="50"/>
  <c r="Q47" i="50" s="1"/>
  <c r="Q6" i="47"/>
  <c r="Q48" i="47" s="1"/>
  <c r="Q6" i="43"/>
  <c r="Q47" i="43" s="1"/>
  <c r="Q6" i="45"/>
  <c r="Q6" i="38"/>
  <c r="Q47" i="38" s="1"/>
  <c r="Q6" i="23"/>
  <c r="Q6" i="15"/>
  <c r="Q47" i="15" s="1"/>
  <c r="Q6" i="13"/>
  <c r="Q47" i="13" s="1"/>
  <c r="Q6" i="12"/>
  <c r="Q48" i="12" s="1"/>
  <c r="Q6" i="11"/>
  <c r="Q47" i="11" s="1"/>
  <c r="Q6" i="10"/>
  <c r="Q47" i="10" s="1"/>
  <c r="Y9" i="50"/>
  <c r="Y53" i="50" s="1"/>
  <c r="Y9" i="47"/>
  <c r="Y54" i="47" s="1"/>
  <c r="Y9" i="45"/>
  <c r="Y54" i="45" s="1"/>
  <c r="Y9" i="43"/>
  <c r="Y53" i="43" s="1"/>
  <c r="Y9" i="38"/>
  <c r="Y53" i="38" s="1"/>
  <c r="Y9" i="23"/>
  <c r="Y54" i="23" s="1"/>
  <c r="Y9" i="15"/>
  <c r="Y53" i="15" s="1"/>
  <c r="Y9" i="13"/>
  <c r="Y53" i="13" s="1"/>
  <c r="Y9" i="10"/>
  <c r="Y53" i="10" s="1"/>
  <c r="Y9" i="11"/>
  <c r="Y53" i="11" s="1"/>
  <c r="Y9" i="12"/>
  <c r="Y54" i="12" s="1"/>
  <c r="P10" i="50"/>
  <c r="P54" i="50" s="1"/>
  <c r="P10" i="47"/>
  <c r="P55" i="47" s="1"/>
  <c r="P10" i="45"/>
  <c r="P55" i="45" s="1"/>
  <c r="P10" i="43"/>
  <c r="P54" i="43" s="1"/>
  <c r="P10" i="38"/>
  <c r="P54" i="38" s="1"/>
  <c r="P10" i="15"/>
  <c r="P54" i="15" s="1"/>
  <c r="P10" i="23"/>
  <c r="P55" i="23" s="1"/>
  <c r="P10" i="10"/>
  <c r="P54" i="10" s="1"/>
  <c r="P10" i="12"/>
  <c r="P55" i="12" s="1"/>
  <c r="P10" i="11"/>
  <c r="P54" i="11" s="1"/>
  <c r="P10" i="13"/>
  <c r="P54" i="13" s="1"/>
  <c r="P3" i="50"/>
  <c r="P44" i="50" s="1"/>
  <c r="P3" i="45"/>
  <c r="P3" i="47"/>
  <c r="P45" i="47" s="1"/>
  <c r="P3" i="43"/>
  <c r="P44" i="43" s="1"/>
  <c r="P3" i="38"/>
  <c r="P44" i="38" s="1"/>
  <c r="P3" i="23"/>
  <c r="P3" i="15"/>
  <c r="P44" i="15" s="1"/>
  <c r="P3" i="12"/>
  <c r="P45" i="12" s="1"/>
  <c r="P3" i="11"/>
  <c r="P44" i="11" s="1"/>
  <c r="P3" i="13"/>
  <c r="P44" i="13" s="1"/>
  <c r="P3" i="10"/>
  <c r="Y12" i="50"/>
  <c r="Y56" i="50" s="1"/>
  <c r="Y12" i="47"/>
  <c r="Y57" i="47" s="1"/>
  <c r="Y12" i="45"/>
  <c r="Y57" i="45" s="1"/>
  <c r="Y12" i="43"/>
  <c r="Y56" i="43" s="1"/>
  <c r="Y12" i="38"/>
  <c r="Y56" i="38" s="1"/>
  <c r="Y12" i="23"/>
  <c r="Y12" i="15"/>
  <c r="Y56" i="15" s="1"/>
  <c r="Y12" i="13"/>
  <c r="Y56" i="13" s="1"/>
  <c r="Y12" i="12"/>
  <c r="Y57" i="12" s="1"/>
  <c r="Y12" i="11"/>
  <c r="Y56" i="11" s="1"/>
  <c r="Y12" i="10"/>
  <c r="Y56" i="10" s="1"/>
  <c r="Y3" i="50"/>
  <c r="Y44" i="50" s="1"/>
  <c r="Y3" i="47"/>
  <c r="Y45" i="47" s="1"/>
  <c r="Y3" i="45"/>
  <c r="Y45" i="45" s="1"/>
  <c r="Y3" i="43"/>
  <c r="Y44" i="43" s="1"/>
  <c r="Y3" i="38"/>
  <c r="Y44" i="38" s="1"/>
  <c r="Y3" i="23"/>
  <c r="Y3" i="15"/>
  <c r="Y44" i="15" s="1"/>
  <c r="Y3" i="13"/>
  <c r="Y44" i="13" s="1"/>
  <c r="Y3" i="10"/>
  <c r="Y3" i="11"/>
  <c r="Y44" i="11" s="1"/>
  <c r="Y3" i="12"/>
  <c r="Y45" i="12" s="1"/>
  <c r="Y6" i="50"/>
  <c r="Y47" i="50" s="1"/>
  <c r="Y6" i="47"/>
  <c r="Y48" i="47" s="1"/>
  <c r="Y6" i="43"/>
  <c r="Y47" i="43" s="1"/>
  <c r="Y6" i="45"/>
  <c r="Y48" i="45" s="1"/>
  <c r="Y6" i="38"/>
  <c r="Y47" i="38" s="1"/>
  <c r="Y6" i="23"/>
  <c r="Y6" i="15"/>
  <c r="Y47" i="15" s="1"/>
  <c r="Y6" i="13"/>
  <c r="Y47" i="13" s="1"/>
  <c r="Y6" i="12"/>
  <c r="Y48" i="12" s="1"/>
  <c r="Y6" i="11"/>
  <c r="Y47" i="11" s="1"/>
  <c r="Y6" i="10"/>
  <c r="Y47" i="10" s="1"/>
  <c r="P11" i="45"/>
  <c r="P56" i="45" s="1"/>
  <c r="P11" i="15"/>
  <c r="P55" i="15" s="1"/>
  <c r="P11" i="10"/>
  <c r="P55" i="10" s="1"/>
  <c r="I18" i="17"/>
  <c r="I36" i="17" s="1"/>
  <c r="O4" i="50"/>
  <c r="O45" i="50" s="1"/>
  <c r="O4" i="47"/>
  <c r="O46" i="47" s="1"/>
  <c r="O4" i="43"/>
  <c r="O45" i="43" s="1"/>
  <c r="O4" i="45"/>
  <c r="O4" i="38"/>
  <c r="O45" i="38" s="1"/>
  <c r="O4" i="15"/>
  <c r="O45" i="15" s="1"/>
  <c r="O4" i="13"/>
  <c r="O45" i="13" s="1"/>
  <c r="O4" i="23"/>
  <c r="O4" i="12"/>
  <c r="O46" i="12" s="1"/>
  <c r="O4" i="11"/>
  <c r="O45" i="11" s="1"/>
  <c r="O4" i="10"/>
  <c r="O45" i="10" s="1"/>
  <c r="P9" i="50"/>
  <c r="P53" i="50" s="1"/>
  <c r="P9" i="47"/>
  <c r="P54" i="47" s="1"/>
  <c r="P9" i="23"/>
  <c r="P54" i="23" s="1"/>
  <c r="P9" i="10"/>
  <c r="P53" i="10" s="1"/>
  <c r="Y11" i="50"/>
  <c r="Y55" i="50" s="1"/>
  <c r="Y11" i="47"/>
  <c r="Y56" i="47" s="1"/>
  <c r="Y11" i="45"/>
  <c r="Y56" i="45" s="1"/>
  <c r="Y11" i="43"/>
  <c r="Y55" i="43" s="1"/>
  <c r="Y11" i="38"/>
  <c r="Y55" i="38" s="1"/>
  <c r="Y11" i="23"/>
  <c r="Y56" i="23" s="1"/>
  <c r="Y11" i="12"/>
  <c r="Y56" i="12" s="1"/>
  <c r="Y11" i="15"/>
  <c r="Y55" i="15" s="1"/>
  <c r="Y11" i="13"/>
  <c r="Y55" i="13" s="1"/>
  <c r="Y11" i="11"/>
  <c r="Y55" i="11" s="1"/>
  <c r="Y11" i="10"/>
  <c r="Y55" i="10" s="1"/>
  <c r="O7" i="50"/>
  <c r="O48" i="50" s="1"/>
  <c r="O7" i="47"/>
  <c r="O49" i="47" s="1"/>
  <c r="O7" i="45"/>
  <c r="O7" i="43"/>
  <c r="O48" i="43" s="1"/>
  <c r="O7" i="38"/>
  <c r="O48" i="38" s="1"/>
  <c r="O7" i="15"/>
  <c r="O48" i="15" s="1"/>
  <c r="O7" i="23"/>
  <c r="O7" i="10"/>
  <c r="O48" i="10" s="1"/>
  <c r="O7" i="13"/>
  <c r="O48" i="13" s="1"/>
  <c r="O7" i="12"/>
  <c r="O49" i="12" s="1"/>
  <c r="O7" i="11"/>
  <c r="O48" i="11" s="1"/>
  <c r="P5" i="50"/>
  <c r="P46" i="50" s="1"/>
  <c r="P5" i="47"/>
  <c r="P47" i="47" s="1"/>
  <c r="P5" i="45"/>
  <c r="P5" i="43"/>
  <c r="P46" i="43" s="1"/>
  <c r="P5" i="38"/>
  <c r="P46" i="38" s="1"/>
  <c r="P5" i="23"/>
  <c r="P5" i="15"/>
  <c r="P46" i="15" s="1"/>
  <c r="P5" i="13"/>
  <c r="P46" i="13" s="1"/>
  <c r="P5" i="12"/>
  <c r="P47" i="12" s="1"/>
  <c r="P5" i="11"/>
  <c r="P46" i="11" s="1"/>
  <c r="P5" i="10"/>
  <c r="P46" i="10" s="1"/>
  <c r="O12" i="50"/>
  <c r="O56" i="50" s="1"/>
  <c r="O12" i="47"/>
  <c r="O57" i="47" s="1"/>
  <c r="O12" i="45"/>
  <c r="O57" i="45" s="1"/>
  <c r="O12" i="43"/>
  <c r="O56" i="43" s="1"/>
  <c r="O12" i="38"/>
  <c r="O56" i="38" s="1"/>
  <c r="O12" i="23"/>
  <c r="O57" i="23" s="1"/>
  <c r="O12" i="13"/>
  <c r="O56" i="13" s="1"/>
  <c r="O12" i="15"/>
  <c r="O56" i="15" s="1"/>
  <c r="O12" i="12"/>
  <c r="O57" i="12" s="1"/>
  <c r="O12" i="11"/>
  <c r="O56" i="11" s="1"/>
  <c r="O12" i="10"/>
  <c r="O56" i="10" s="1"/>
  <c r="Y4" i="50"/>
  <c r="Y45" i="50" s="1"/>
  <c r="Y4" i="47"/>
  <c r="Y46" i="47" s="1"/>
  <c r="Y4" i="45"/>
  <c r="Y46" i="45" s="1"/>
  <c r="Y4" i="43"/>
  <c r="Y45" i="43" s="1"/>
  <c r="Y4" i="38"/>
  <c r="Y45" i="38" s="1"/>
  <c r="Y4" i="15"/>
  <c r="Y45" i="15" s="1"/>
  <c r="Y4" i="13"/>
  <c r="Y45" i="13" s="1"/>
  <c r="Y4" i="23"/>
  <c r="Y4" i="12"/>
  <c r="Y46" i="12" s="1"/>
  <c r="Y4" i="11"/>
  <c r="Y45" i="11" s="1"/>
  <c r="Y4" i="10"/>
  <c r="Y45" i="10" s="1"/>
  <c r="O8" i="50"/>
  <c r="O52" i="50" s="1"/>
  <c r="O8" i="47"/>
  <c r="O53" i="47" s="1"/>
  <c r="O8" i="43"/>
  <c r="O52" i="43" s="1"/>
  <c r="O8" i="38"/>
  <c r="O52" i="38" s="1"/>
  <c r="O8" i="45"/>
  <c r="O53" i="45" s="1"/>
  <c r="O8" i="15"/>
  <c r="O52" i="15" s="1"/>
  <c r="O8" i="23"/>
  <c r="O53" i="23" s="1"/>
  <c r="O8" i="13"/>
  <c r="O52" i="13" s="1"/>
  <c r="O8" i="12"/>
  <c r="O53" i="12" s="1"/>
  <c r="O8" i="11"/>
  <c r="O52" i="11" s="1"/>
  <c r="O8" i="10"/>
  <c r="Z10" i="50"/>
  <c r="Z54" i="50" s="1"/>
  <c r="Z10" i="47"/>
  <c r="Z55" i="47" s="1"/>
  <c r="Z10" i="45"/>
  <c r="Z55" i="45" s="1"/>
  <c r="Z10" i="43"/>
  <c r="Z54" i="43" s="1"/>
  <c r="Z10" i="38"/>
  <c r="Z54" i="38" s="1"/>
  <c r="Z10" i="23"/>
  <c r="Z55" i="23" s="1"/>
  <c r="Z10" i="13"/>
  <c r="Z54" i="13" s="1"/>
  <c r="Z10" i="15"/>
  <c r="Z54" i="15" s="1"/>
  <c r="Z10" i="11"/>
  <c r="Z54" i="11" s="1"/>
  <c r="Z10" i="12"/>
  <c r="Z55" i="12" s="1"/>
  <c r="Z10" i="10"/>
  <c r="Z54" i="10" s="1"/>
  <c r="Z5" i="50"/>
  <c r="Z46" i="50" s="1"/>
  <c r="Z5" i="45"/>
  <c r="Z47" i="45" s="1"/>
  <c r="Z5" i="47"/>
  <c r="Z47" i="47" s="1"/>
  <c r="Z5" i="43"/>
  <c r="Z46" i="43" s="1"/>
  <c r="Z5" i="38"/>
  <c r="Z46" i="38" s="1"/>
  <c r="Z5" i="15"/>
  <c r="Z46" i="15" s="1"/>
  <c r="Z5" i="23"/>
  <c r="Z5" i="12"/>
  <c r="Z47" i="12" s="1"/>
  <c r="Z5" i="11"/>
  <c r="Z46" i="11" s="1"/>
  <c r="Z5" i="13"/>
  <c r="Z46" i="13" s="1"/>
  <c r="Z5" i="10"/>
  <c r="Z46" i="10" s="1"/>
  <c r="O24" i="18" l="1"/>
  <c r="AN178" i="18" s="1"/>
  <c r="G83" i="43"/>
  <c r="G84" i="43" s="1"/>
  <c r="G84" i="45"/>
  <c r="G85" i="45" s="1"/>
  <c r="H79" i="50"/>
  <c r="H80" i="23"/>
  <c r="H79" i="11"/>
  <c r="G84" i="23"/>
  <c r="G85" i="23" s="1"/>
  <c r="H79" i="13"/>
  <c r="I63" i="10"/>
  <c r="I78" i="10" s="1"/>
  <c r="G83" i="15"/>
  <c r="G84" i="15" s="1"/>
  <c r="I64" i="12"/>
  <c r="I64" i="23"/>
  <c r="I79" i="23" s="1"/>
  <c r="I64" i="45"/>
  <c r="I79" i="45" s="1"/>
  <c r="I63" i="43"/>
  <c r="I78" i="43" s="1"/>
  <c r="J20" i="17"/>
  <c r="J63" i="43" s="1"/>
  <c r="J78" i="43" s="1"/>
  <c r="I63" i="13"/>
  <c r="I78" i="13" s="1"/>
  <c r="I63" i="11"/>
  <c r="I78" i="11" s="1"/>
  <c r="I63" i="38"/>
  <c r="I78" i="38" s="1"/>
  <c r="I37" i="17"/>
  <c r="I38" i="17" s="1"/>
  <c r="I64" i="47"/>
  <c r="I79" i="47" s="1"/>
  <c r="I64" i="58"/>
  <c r="H80" i="45"/>
  <c r="I63" i="50"/>
  <c r="I78" i="50" s="1"/>
  <c r="I63" i="15"/>
  <c r="I78" i="15" s="1"/>
  <c r="H79" i="43"/>
  <c r="H38" i="17"/>
  <c r="I80" i="58"/>
  <c r="J33" i="17"/>
  <c r="J63" i="58"/>
  <c r="H80" i="47"/>
  <c r="H84" i="58"/>
  <c r="H85" i="58" s="1"/>
  <c r="H79" i="15"/>
  <c r="H80" i="12"/>
  <c r="H77" i="10"/>
  <c r="H79" i="10" s="1"/>
  <c r="I62" i="58"/>
  <c r="H71" i="11"/>
  <c r="H75" i="10"/>
  <c r="P11" i="13"/>
  <c r="P55" i="13" s="1"/>
  <c r="P11" i="47"/>
  <c r="P56" i="47" s="1"/>
  <c r="P11" i="23"/>
  <c r="P56" i="23" s="1"/>
  <c r="P11" i="50"/>
  <c r="P55" i="50" s="1"/>
  <c r="P11" i="38"/>
  <c r="P55" i="38" s="1"/>
  <c r="P11" i="11"/>
  <c r="P55" i="11" s="1"/>
  <c r="P11" i="43"/>
  <c r="P55" i="43" s="1"/>
  <c r="P11" i="12"/>
  <c r="P56" i="12" s="1"/>
  <c r="P9" i="11"/>
  <c r="P53" i="11" s="1"/>
  <c r="P9" i="13"/>
  <c r="P53" i="13" s="1"/>
  <c r="P9" i="12"/>
  <c r="P54" i="12" s="1"/>
  <c r="P9" i="43"/>
  <c r="P53" i="43" s="1"/>
  <c r="P9" i="15"/>
  <c r="P53" i="15" s="1"/>
  <c r="P9" i="45"/>
  <c r="P54" i="45" s="1"/>
  <c r="P9" i="38"/>
  <c r="P53" i="38" s="1"/>
  <c r="I74" i="50"/>
  <c r="I75" i="47"/>
  <c r="I75" i="45"/>
  <c r="I74" i="43"/>
  <c r="I74" i="38"/>
  <c r="I75" i="23"/>
  <c r="I74" i="15"/>
  <c r="I74" i="13"/>
  <c r="I75" i="12"/>
  <c r="I79" i="12"/>
  <c r="I74" i="11"/>
  <c r="H71" i="10"/>
  <c r="I74" i="10"/>
  <c r="H67" i="10"/>
  <c r="I73" i="10"/>
  <c r="I61" i="10"/>
  <c r="I77" i="10" s="1"/>
  <c r="I61" i="11"/>
  <c r="I77" i="11" s="1"/>
  <c r="I79" i="11" s="1"/>
  <c r="I61" i="50"/>
  <c r="I77" i="50" s="1"/>
  <c r="I62" i="47"/>
  <c r="I78" i="47" s="1"/>
  <c r="I61" i="43"/>
  <c r="I77" i="43" s="1"/>
  <c r="I61" i="15"/>
  <c r="I77" i="15" s="1"/>
  <c r="I61" i="38"/>
  <c r="I77" i="38" s="1"/>
  <c r="I62" i="45"/>
  <c r="I78" i="45" s="1"/>
  <c r="I62" i="12"/>
  <c r="I62" i="23"/>
  <c r="I78" i="23" s="1"/>
  <c r="I61" i="13"/>
  <c r="I77" i="13" s="1"/>
  <c r="J62" i="11"/>
  <c r="J63" i="45"/>
  <c r="J62" i="50"/>
  <c r="J62" i="38"/>
  <c r="J62" i="13"/>
  <c r="J63" i="47"/>
  <c r="J62" i="15"/>
  <c r="J63" i="12"/>
  <c r="J79" i="12" s="1"/>
  <c r="J62" i="43"/>
  <c r="J63" i="23"/>
  <c r="I60" i="11"/>
  <c r="I60" i="50"/>
  <c r="I61" i="47"/>
  <c r="I60" i="38"/>
  <c r="I60" i="43"/>
  <c r="I61" i="23"/>
  <c r="I60" i="15"/>
  <c r="I61" i="45"/>
  <c r="I60" i="13"/>
  <c r="I61" i="12"/>
  <c r="I78" i="12" s="1"/>
  <c r="G75" i="50"/>
  <c r="G83" i="50" s="1"/>
  <c r="G84" i="50" s="1"/>
  <c r="G76" i="47"/>
  <c r="G84" i="47" s="1"/>
  <c r="G85" i="47" s="1"/>
  <c r="G67" i="11"/>
  <c r="G83" i="11" s="1"/>
  <c r="G84" i="11" s="1"/>
  <c r="H73" i="13"/>
  <c r="H75" i="13" s="1"/>
  <c r="H74" i="47"/>
  <c r="H76" i="47" s="1"/>
  <c r="H73" i="11"/>
  <c r="H75" i="11" s="1"/>
  <c r="H67" i="11"/>
  <c r="G68" i="12"/>
  <c r="G84" i="12" s="1"/>
  <c r="G85" i="12" s="1"/>
  <c r="H73" i="15"/>
  <c r="H74" i="12"/>
  <c r="H76" i="12" s="1"/>
  <c r="H68" i="12"/>
  <c r="H73" i="50"/>
  <c r="H75" i="50" s="1"/>
  <c r="H83" i="50" s="1"/>
  <c r="H84" i="50" s="1"/>
  <c r="G75" i="13"/>
  <c r="G83" i="13" s="1"/>
  <c r="G84" i="13" s="1"/>
  <c r="H74" i="23"/>
  <c r="H73" i="38"/>
  <c r="H75" i="38" s="1"/>
  <c r="H83" i="38" s="1"/>
  <c r="H84" i="38" s="1"/>
  <c r="G67" i="10"/>
  <c r="G83" i="10" s="1"/>
  <c r="G84" i="10" s="1"/>
  <c r="G75" i="38"/>
  <c r="G83" i="38" s="1"/>
  <c r="G84" i="38" s="1"/>
  <c r="H73" i="43"/>
  <c r="H74" i="45"/>
  <c r="H76" i="45" s="1"/>
  <c r="Y44" i="10"/>
  <c r="Y52" i="10"/>
  <c r="O52" i="10"/>
  <c r="J62" i="10"/>
  <c r="K19" i="17"/>
  <c r="K63" i="58" s="1"/>
  <c r="P44" i="10"/>
  <c r="K2" i="38"/>
  <c r="K42" i="38" s="1"/>
  <c r="K43" i="38" s="1"/>
  <c r="K2" i="13"/>
  <c r="K42" i="13" s="1"/>
  <c r="K43" i="13" s="1"/>
  <c r="K2" i="45"/>
  <c r="K43" i="45" s="1"/>
  <c r="K44" i="45" s="1"/>
  <c r="K2" i="10"/>
  <c r="K42" i="10" s="1"/>
  <c r="K2" i="15"/>
  <c r="K42" i="15" s="1"/>
  <c r="K43" i="15" s="1"/>
  <c r="L2" i="58"/>
  <c r="L43" i="58" s="1"/>
  <c r="L44" i="58" s="1"/>
  <c r="K2" i="11"/>
  <c r="K42" i="11" s="1"/>
  <c r="K43" i="11" s="1"/>
  <c r="K2" i="43"/>
  <c r="K42" i="43" s="1"/>
  <c r="K43" i="43" s="1"/>
  <c r="K2" i="50"/>
  <c r="K42" i="50" s="1"/>
  <c r="K43" i="50" s="1"/>
  <c r="K2" i="23"/>
  <c r="K43" i="23" s="1"/>
  <c r="K44" i="23" s="1"/>
  <c r="K2" i="47"/>
  <c r="K43" i="47" s="1"/>
  <c r="K44" i="47" s="1"/>
  <c r="K2" i="12"/>
  <c r="K43" i="12" s="1"/>
  <c r="K44" i="12" s="1"/>
  <c r="Z7" i="47"/>
  <c r="Z49" i="47" s="1"/>
  <c r="Z7" i="15"/>
  <c r="Z48" i="15" s="1"/>
  <c r="Z7" i="12"/>
  <c r="Z49" i="12" s="1"/>
  <c r="Z7" i="43"/>
  <c r="Z48" i="43" s="1"/>
  <c r="Z7" i="11"/>
  <c r="Z48" i="11" s="1"/>
  <c r="Z7" i="38"/>
  <c r="Z48" i="38" s="1"/>
  <c r="Z7" i="10"/>
  <c r="Z48" i="10" s="1"/>
  <c r="Z7" i="50"/>
  <c r="Z48" i="50" s="1"/>
  <c r="Z7" i="13"/>
  <c r="Z48" i="13" s="1"/>
  <c r="Z7" i="45"/>
  <c r="Z49" i="45" s="1"/>
  <c r="Z7" i="23"/>
  <c r="Q10" i="50"/>
  <c r="Q54" i="50" s="1"/>
  <c r="Q10" i="47"/>
  <c r="Q55" i="47" s="1"/>
  <c r="Q10" i="43"/>
  <c r="Q54" i="43" s="1"/>
  <c r="Q10" i="45"/>
  <c r="Q55" i="45" s="1"/>
  <c r="Q10" i="38"/>
  <c r="Q54" i="38" s="1"/>
  <c r="Q10" i="15"/>
  <c r="Q54" i="15" s="1"/>
  <c r="Q10" i="23"/>
  <c r="Q55" i="23" s="1"/>
  <c r="Q10" i="13"/>
  <c r="Q54" i="13" s="1"/>
  <c r="Q10" i="12"/>
  <c r="Q55" i="12" s="1"/>
  <c r="Q10" i="11"/>
  <c r="Q54" i="11" s="1"/>
  <c r="Q10" i="10"/>
  <c r="Q54" i="10" s="1"/>
  <c r="J18" i="17"/>
  <c r="J36" i="17" s="1"/>
  <c r="AA10" i="50"/>
  <c r="AA54" i="50" s="1"/>
  <c r="AA10" i="47"/>
  <c r="AA55" i="47" s="1"/>
  <c r="AA10" i="45"/>
  <c r="AA55" i="45" s="1"/>
  <c r="AA10" i="43"/>
  <c r="AA54" i="43" s="1"/>
  <c r="AA10" i="38"/>
  <c r="AA54" i="38" s="1"/>
  <c r="AA10" i="13"/>
  <c r="AA54" i="13" s="1"/>
  <c r="AA10" i="15"/>
  <c r="AA54" i="15" s="1"/>
  <c r="AA10" i="23"/>
  <c r="AA55" i="23" s="1"/>
  <c r="AA10" i="12"/>
  <c r="AA55" i="12" s="1"/>
  <c r="AA10" i="11"/>
  <c r="AA54" i="11" s="1"/>
  <c r="AA10" i="10"/>
  <c r="AA54" i="10" s="1"/>
  <c r="Z3" i="50"/>
  <c r="Z44" i="50" s="1"/>
  <c r="Z3" i="47"/>
  <c r="Z45" i="47" s="1"/>
  <c r="Z3" i="43"/>
  <c r="Z44" i="43" s="1"/>
  <c r="Z3" i="45"/>
  <c r="Z45" i="45" s="1"/>
  <c r="Z3" i="38"/>
  <c r="Z44" i="38" s="1"/>
  <c r="Z3" i="23"/>
  <c r="Z3" i="15"/>
  <c r="Z44" i="15" s="1"/>
  <c r="Z3" i="13"/>
  <c r="Z44" i="13" s="1"/>
  <c r="Z3" i="12"/>
  <c r="Z45" i="12" s="1"/>
  <c r="Z3" i="10"/>
  <c r="Z3" i="11"/>
  <c r="Z44" i="11" s="1"/>
  <c r="AA5" i="50"/>
  <c r="AA46" i="50" s="1"/>
  <c r="AA5" i="45"/>
  <c r="AA47" i="45" s="1"/>
  <c r="AA5" i="43"/>
  <c r="AA46" i="43" s="1"/>
  <c r="AA5" i="47"/>
  <c r="AA47" i="47" s="1"/>
  <c r="AA5" i="38"/>
  <c r="AA46" i="38" s="1"/>
  <c r="AA5" i="23"/>
  <c r="AA5" i="15"/>
  <c r="AA46" i="15" s="1"/>
  <c r="AA5" i="13"/>
  <c r="AA46" i="13" s="1"/>
  <c r="AA5" i="11"/>
  <c r="AA46" i="11" s="1"/>
  <c r="AA5" i="10"/>
  <c r="AA46" i="10" s="1"/>
  <c r="AA5" i="12"/>
  <c r="AA47" i="12" s="1"/>
  <c r="Z11" i="50"/>
  <c r="Z55" i="50" s="1"/>
  <c r="Z11" i="47"/>
  <c r="Z56" i="47" s="1"/>
  <c r="Z11" i="45"/>
  <c r="Z56" i="45" s="1"/>
  <c r="Z11" i="43"/>
  <c r="Z55" i="43" s="1"/>
  <c r="Z11" i="38"/>
  <c r="Z55" i="38" s="1"/>
  <c r="Z11" i="23"/>
  <c r="Z56" i="23" s="1"/>
  <c r="Z11" i="13"/>
  <c r="Z55" i="13" s="1"/>
  <c r="Z11" i="15"/>
  <c r="Z55" i="15" s="1"/>
  <c r="Z11" i="12"/>
  <c r="Z56" i="12" s="1"/>
  <c r="Z11" i="11"/>
  <c r="Z55" i="11" s="1"/>
  <c r="Z11" i="10"/>
  <c r="Z55" i="10" s="1"/>
  <c r="Q11" i="50"/>
  <c r="Q55" i="50" s="1"/>
  <c r="Q11" i="47"/>
  <c r="Q56" i="47" s="1"/>
  <c r="Q11" i="45"/>
  <c r="Q56" i="45" s="1"/>
  <c r="Q11" i="43"/>
  <c r="Q55" i="43" s="1"/>
  <c r="Q11" i="38"/>
  <c r="Q55" i="38" s="1"/>
  <c r="Q11" i="23"/>
  <c r="Q56" i="23" s="1"/>
  <c r="Q11" i="13"/>
  <c r="Q55" i="13" s="1"/>
  <c r="Q11" i="12"/>
  <c r="Q56" i="12" s="1"/>
  <c r="Q11" i="11"/>
  <c r="Q55" i="11" s="1"/>
  <c r="Q11" i="10"/>
  <c r="Q55" i="10" s="1"/>
  <c r="Q11" i="15"/>
  <c r="Q55" i="15" s="1"/>
  <c r="R6" i="50"/>
  <c r="R47" i="50" s="1"/>
  <c r="R6" i="47"/>
  <c r="R48" i="47" s="1"/>
  <c r="R6" i="45"/>
  <c r="R6" i="43"/>
  <c r="R47" i="43" s="1"/>
  <c r="R6" i="38"/>
  <c r="R47" i="38" s="1"/>
  <c r="R6" i="15"/>
  <c r="R47" i="15" s="1"/>
  <c r="R6" i="10"/>
  <c r="R47" i="10" s="1"/>
  <c r="R6" i="12"/>
  <c r="R48" i="12" s="1"/>
  <c r="R6" i="13"/>
  <c r="R47" i="13" s="1"/>
  <c r="R6" i="11"/>
  <c r="R47" i="11" s="1"/>
  <c r="R6" i="23"/>
  <c r="Z8" i="50"/>
  <c r="Z52" i="50" s="1"/>
  <c r="Z8" i="47"/>
  <c r="Z53" i="47" s="1"/>
  <c r="Z8" i="45"/>
  <c r="Z53" i="45" s="1"/>
  <c r="Z8" i="43"/>
  <c r="Z52" i="43" s="1"/>
  <c r="Z8" i="38"/>
  <c r="Z52" i="38" s="1"/>
  <c r="Z8" i="23"/>
  <c r="Z53" i="23" s="1"/>
  <c r="Z8" i="15"/>
  <c r="Z52" i="15" s="1"/>
  <c r="Z8" i="13"/>
  <c r="Z52" i="13" s="1"/>
  <c r="Z8" i="12"/>
  <c r="Z53" i="12" s="1"/>
  <c r="Z8" i="11"/>
  <c r="Z52" i="11" s="1"/>
  <c r="Z8" i="10"/>
  <c r="Z4" i="50"/>
  <c r="Z45" i="50" s="1"/>
  <c r="Z4" i="47"/>
  <c r="Z46" i="47" s="1"/>
  <c r="Z4" i="45"/>
  <c r="Z46" i="45" s="1"/>
  <c r="Z4" i="43"/>
  <c r="Z45" i="43" s="1"/>
  <c r="Z4" i="38"/>
  <c r="Z45" i="38" s="1"/>
  <c r="Z4" i="23"/>
  <c r="Z4" i="15"/>
  <c r="Z45" i="15" s="1"/>
  <c r="Z4" i="11"/>
  <c r="Z45" i="11" s="1"/>
  <c r="Z4" i="12"/>
  <c r="Z46" i="12" s="1"/>
  <c r="Z4" i="13"/>
  <c r="Z45" i="13" s="1"/>
  <c r="Z4" i="10"/>
  <c r="Z45" i="10" s="1"/>
  <c r="Z12" i="50"/>
  <c r="Z56" i="50" s="1"/>
  <c r="Z12" i="45"/>
  <c r="Z57" i="45" s="1"/>
  <c r="Z12" i="47"/>
  <c r="Z57" i="47" s="1"/>
  <c r="Z12" i="43"/>
  <c r="Z56" i="43" s="1"/>
  <c r="Z12" i="38"/>
  <c r="Z56" i="38" s="1"/>
  <c r="Z12" i="23"/>
  <c r="Z12" i="15"/>
  <c r="Z56" i="15" s="1"/>
  <c r="Z12" i="13"/>
  <c r="Z56" i="13" s="1"/>
  <c r="Z12" i="10"/>
  <c r="Z56" i="10" s="1"/>
  <c r="Z12" i="12"/>
  <c r="Z57" i="12" s="1"/>
  <c r="Z12" i="11"/>
  <c r="Z56" i="11" s="1"/>
  <c r="Z9" i="50"/>
  <c r="Z53" i="50" s="1"/>
  <c r="Z9" i="47"/>
  <c r="Z54" i="47" s="1"/>
  <c r="Z9" i="43"/>
  <c r="Z53" i="43" s="1"/>
  <c r="Z9" i="45"/>
  <c r="Z54" i="45" s="1"/>
  <c r="Z9" i="38"/>
  <c r="Z53" i="38" s="1"/>
  <c r="Z9" i="23"/>
  <c r="Z54" i="23" s="1"/>
  <c r="Z9" i="15"/>
  <c r="Z53" i="15" s="1"/>
  <c r="Z9" i="13"/>
  <c r="Z53" i="13" s="1"/>
  <c r="Z9" i="12"/>
  <c r="Z54" i="12" s="1"/>
  <c r="Z9" i="11"/>
  <c r="Z53" i="11" s="1"/>
  <c r="Z9" i="10"/>
  <c r="Z53" i="10" s="1"/>
  <c r="Q5" i="50"/>
  <c r="Q46" i="50" s="1"/>
  <c r="Q5" i="47"/>
  <c r="Q47" i="47" s="1"/>
  <c r="Q5" i="45"/>
  <c r="Q5" i="43"/>
  <c r="Q46" i="43" s="1"/>
  <c r="Q5" i="38"/>
  <c r="Q46" i="38" s="1"/>
  <c r="Q5" i="23"/>
  <c r="Q5" i="15"/>
  <c r="Q46" i="15" s="1"/>
  <c r="Q5" i="12"/>
  <c r="Q47" i="12" s="1"/>
  <c r="Q5" i="13"/>
  <c r="Q46" i="13" s="1"/>
  <c r="Q5" i="11"/>
  <c r="Q46" i="11" s="1"/>
  <c r="Q5" i="10"/>
  <c r="Q46" i="10" s="1"/>
  <c r="Q9" i="50"/>
  <c r="Q53" i="50" s="1"/>
  <c r="Q9" i="45"/>
  <c r="Q54" i="45" s="1"/>
  <c r="Q9" i="47"/>
  <c r="Q54" i="47" s="1"/>
  <c r="Q9" i="43"/>
  <c r="Q53" i="43" s="1"/>
  <c r="Q9" i="38"/>
  <c r="Q53" i="38" s="1"/>
  <c r="Q9" i="23"/>
  <c r="Q54" i="23" s="1"/>
  <c r="Q9" i="15"/>
  <c r="Q53" i="15" s="1"/>
  <c r="Q9" i="13"/>
  <c r="Q53" i="13" s="1"/>
  <c r="Q9" i="12"/>
  <c r="Q54" i="12" s="1"/>
  <c r="Q9" i="10"/>
  <c r="Q53" i="10" s="1"/>
  <c r="Q9" i="11"/>
  <c r="Q53" i="11" s="1"/>
  <c r="P4" i="50"/>
  <c r="P45" i="50" s="1"/>
  <c r="P4" i="47"/>
  <c r="P46" i="47" s="1"/>
  <c r="P4" i="45"/>
  <c r="P4" i="43"/>
  <c r="P45" i="43" s="1"/>
  <c r="P4" i="38"/>
  <c r="P45" i="38" s="1"/>
  <c r="P4" i="15"/>
  <c r="P45" i="15" s="1"/>
  <c r="P4" i="23"/>
  <c r="P4" i="13"/>
  <c r="P45" i="13" s="1"/>
  <c r="P4" i="10"/>
  <c r="P45" i="10" s="1"/>
  <c r="P4" i="12"/>
  <c r="P46" i="12" s="1"/>
  <c r="P4" i="11"/>
  <c r="P45" i="11" s="1"/>
  <c r="Z6" i="50"/>
  <c r="Z47" i="50" s="1"/>
  <c r="Z6" i="47"/>
  <c r="Z48" i="47" s="1"/>
  <c r="Z6" i="45"/>
  <c r="Z48" i="45" s="1"/>
  <c r="Z6" i="43"/>
  <c r="Z47" i="43" s="1"/>
  <c r="Z6" i="38"/>
  <c r="Z47" i="38" s="1"/>
  <c r="Z6" i="23"/>
  <c r="Z6" i="15"/>
  <c r="Z47" i="15" s="1"/>
  <c r="Z6" i="13"/>
  <c r="Z47" i="13" s="1"/>
  <c r="Z6" i="11"/>
  <c r="Z47" i="11" s="1"/>
  <c r="Z6" i="10"/>
  <c r="Z47" i="10" s="1"/>
  <c r="Z6" i="12"/>
  <c r="Z48" i="12" s="1"/>
  <c r="Q3" i="50"/>
  <c r="Q44" i="50" s="1"/>
  <c r="Q3" i="45"/>
  <c r="Q3" i="47"/>
  <c r="Q45" i="47" s="1"/>
  <c r="Q3" i="43"/>
  <c r="Q44" i="43" s="1"/>
  <c r="Q3" i="38"/>
  <c r="Q44" i="38" s="1"/>
  <c r="Q3" i="23"/>
  <c r="Q3" i="15"/>
  <c r="Q44" i="15" s="1"/>
  <c r="Q3" i="13"/>
  <c r="Q44" i="13" s="1"/>
  <c r="Q3" i="11"/>
  <c r="Q44" i="11" s="1"/>
  <c r="Q3" i="10"/>
  <c r="Q3" i="12"/>
  <c r="Q45" i="12" s="1"/>
  <c r="P7" i="50"/>
  <c r="P48" i="50" s="1"/>
  <c r="P7" i="47"/>
  <c r="P49" i="47" s="1"/>
  <c r="P7" i="45"/>
  <c r="P7" i="43"/>
  <c r="P48" i="43" s="1"/>
  <c r="P7" i="38"/>
  <c r="P48" i="38" s="1"/>
  <c r="P7" i="15"/>
  <c r="P48" i="15" s="1"/>
  <c r="P7" i="23"/>
  <c r="P7" i="13"/>
  <c r="P48" i="13" s="1"/>
  <c r="P7" i="12"/>
  <c r="P49" i="12" s="1"/>
  <c r="P7" i="11"/>
  <c r="P48" i="11" s="1"/>
  <c r="P7" i="10"/>
  <c r="P48" i="10" s="1"/>
  <c r="P8" i="50"/>
  <c r="P52" i="50" s="1"/>
  <c r="P8" i="47"/>
  <c r="P53" i="47" s="1"/>
  <c r="P8" i="45"/>
  <c r="P53" i="45" s="1"/>
  <c r="P8" i="43"/>
  <c r="P52" i="43" s="1"/>
  <c r="P8" i="38"/>
  <c r="P52" i="38" s="1"/>
  <c r="P8" i="23"/>
  <c r="P53" i="23" s="1"/>
  <c r="P8" i="13"/>
  <c r="P52" i="13" s="1"/>
  <c r="P8" i="15"/>
  <c r="P52" i="15" s="1"/>
  <c r="P8" i="12"/>
  <c r="P53" i="12" s="1"/>
  <c r="P8" i="11"/>
  <c r="P52" i="11" s="1"/>
  <c r="P8" i="10"/>
  <c r="P12" i="50"/>
  <c r="P56" i="50" s="1"/>
  <c r="P12" i="47"/>
  <c r="P57" i="47" s="1"/>
  <c r="P12" i="45"/>
  <c r="P57" i="45" s="1"/>
  <c r="P12" i="43"/>
  <c r="P56" i="43" s="1"/>
  <c r="P12" i="38"/>
  <c r="P56" i="38" s="1"/>
  <c r="P12" i="23"/>
  <c r="P57" i="23" s="1"/>
  <c r="P12" i="15"/>
  <c r="P56" i="15" s="1"/>
  <c r="P12" i="13"/>
  <c r="P56" i="13" s="1"/>
  <c r="P12" i="10"/>
  <c r="P56" i="10" s="1"/>
  <c r="P12" i="11"/>
  <c r="P56" i="11" s="1"/>
  <c r="P12" i="12"/>
  <c r="P57" i="12" s="1"/>
  <c r="J63" i="13" l="1"/>
  <c r="J78" i="13" s="1"/>
  <c r="J63" i="38"/>
  <c r="J78" i="38" s="1"/>
  <c r="K43" i="10"/>
  <c r="H83" i="13"/>
  <c r="H84" i="13" s="1"/>
  <c r="I79" i="43"/>
  <c r="I79" i="10"/>
  <c r="I79" i="38"/>
  <c r="I79" i="15"/>
  <c r="I80" i="45"/>
  <c r="H84" i="45"/>
  <c r="H85" i="45" s="1"/>
  <c r="I79" i="13"/>
  <c r="I80" i="23"/>
  <c r="I80" i="12"/>
  <c r="I79" i="50"/>
  <c r="J64" i="47"/>
  <c r="J79" i="47" s="1"/>
  <c r="J37" i="17"/>
  <c r="J38" i="17" s="1"/>
  <c r="J63" i="15"/>
  <c r="J78" i="15" s="1"/>
  <c r="J64" i="58"/>
  <c r="K20" i="17"/>
  <c r="K64" i="58" s="1"/>
  <c r="J64" i="23"/>
  <c r="J79" i="23" s="1"/>
  <c r="J63" i="11"/>
  <c r="J78" i="11" s="1"/>
  <c r="J63" i="50"/>
  <c r="J78" i="50" s="1"/>
  <c r="J63" i="10"/>
  <c r="J78" i="10" s="1"/>
  <c r="J64" i="12"/>
  <c r="J64" i="45"/>
  <c r="J79" i="45" s="1"/>
  <c r="I80" i="47"/>
  <c r="H83" i="10"/>
  <c r="H84" i="10" s="1"/>
  <c r="H84" i="47"/>
  <c r="H85" i="47" s="1"/>
  <c r="K79" i="58"/>
  <c r="K80" i="58" s="1"/>
  <c r="K75" i="58"/>
  <c r="K76" i="58" s="1"/>
  <c r="J79" i="58"/>
  <c r="J75" i="58"/>
  <c r="I84" i="58"/>
  <c r="I85" i="58" s="1"/>
  <c r="H84" i="12"/>
  <c r="H85" i="12" s="1"/>
  <c r="H83" i="11"/>
  <c r="H84" i="11" s="1"/>
  <c r="K37" i="17"/>
  <c r="J62" i="58"/>
  <c r="I71" i="10"/>
  <c r="J60" i="10"/>
  <c r="J73" i="10" s="1"/>
  <c r="J32" i="17"/>
  <c r="I75" i="10"/>
  <c r="I67" i="10"/>
  <c r="J74" i="10"/>
  <c r="J74" i="11"/>
  <c r="I71" i="11"/>
  <c r="K63" i="10"/>
  <c r="K78" i="10" s="1"/>
  <c r="K63" i="11"/>
  <c r="K78" i="11" s="1"/>
  <c r="K63" i="43"/>
  <c r="K78" i="43" s="1"/>
  <c r="K64" i="45"/>
  <c r="K79" i="45" s="1"/>
  <c r="K64" i="47"/>
  <c r="K79" i="47" s="1"/>
  <c r="K64" i="23"/>
  <c r="K79" i="23" s="1"/>
  <c r="K63" i="15"/>
  <c r="K78" i="15" s="1"/>
  <c r="K63" i="38"/>
  <c r="K78" i="38" s="1"/>
  <c r="K63" i="13"/>
  <c r="K78" i="13" s="1"/>
  <c r="K63" i="50"/>
  <c r="K78" i="50" s="1"/>
  <c r="K64" i="12"/>
  <c r="J74" i="43"/>
  <c r="J74" i="38"/>
  <c r="J61" i="10"/>
  <c r="J77" i="10" s="1"/>
  <c r="J61" i="11"/>
  <c r="J77" i="11" s="1"/>
  <c r="J61" i="50"/>
  <c r="J77" i="50" s="1"/>
  <c r="J62" i="47"/>
  <c r="J78" i="47" s="1"/>
  <c r="J61" i="38"/>
  <c r="J77" i="38" s="1"/>
  <c r="J79" i="38" s="1"/>
  <c r="J62" i="45"/>
  <c r="J78" i="45" s="1"/>
  <c r="J80" i="45" s="1"/>
  <c r="J61" i="13"/>
  <c r="J77" i="13" s="1"/>
  <c r="J79" i="13" s="1"/>
  <c r="J61" i="15"/>
  <c r="J77" i="15" s="1"/>
  <c r="J61" i="43"/>
  <c r="J77" i="43" s="1"/>
  <c r="J79" i="43" s="1"/>
  <c r="J62" i="12"/>
  <c r="J62" i="23"/>
  <c r="J78" i="23" s="1"/>
  <c r="J75" i="12"/>
  <c r="J74" i="50"/>
  <c r="J74" i="15"/>
  <c r="J75" i="45"/>
  <c r="K62" i="11"/>
  <c r="K62" i="50"/>
  <c r="K63" i="47"/>
  <c r="K62" i="43"/>
  <c r="K63" i="45"/>
  <c r="K62" i="15"/>
  <c r="K63" i="12"/>
  <c r="K79" i="12" s="1"/>
  <c r="K62" i="38"/>
  <c r="K63" i="23"/>
  <c r="K62" i="13"/>
  <c r="J75" i="23"/>
  <c r="J75" i="47"/>
  <c r="J74" i="13"/>
  <c r="I73" i="11"/>
  <c r="H75" i="43"/>
  <c r="H83" i="43" s="1"/>
  <c r="H84" i="43" s="1"/>
  <c r="J60" i="11"/>
  <c r="J61" i="47"/>
  <c r="J60" i="38"/>
  <c r="J60" i="43"/>
  <c r="J61" i="45"/>
  <c r="J60" i="50"/>
  <c r="J61" i="23"/>
  <c r="J60" i="15"/>
  <c r="J60" i="13"/>
  <c r="J61" i="12"/>
  <c r="J78" i="12" s="1"/>
  <c r="J80" i="12" s="1"/>
  <c r="H75" i="15"/>
  <c r="H83" i="15" s="1"/>
  <c r="H84" i="15" s="1"/>
  <c r="I74" i="23"/>
  <c r="I76" i="23" s="1"/>
  <c r="I84" i="23" s="1"/>
  <c r="I85" i="23" s="1"/>
  <c r="I74" i="12"/>
  <c r="I73" i="38"/>
  <c r="I75" i="38" s="1"/>
  <c r="K60" i="10"/>
  <c r="H76" i="23"/>
  <c r="H84" i="23" s="1"/>
  <c r="H85" i="23" s="1"/>
  <c r="I73" i="13"/>
  <c r="I74" i="47"/>
  <c r="I76" i="47" s="1"/>
  <c r="I73" i="15"/>
  <c r="I75" i="15" s="1"/>
  <c r="I74" i="45"/>
  <c r="I76" i="45" s="1"/>
  <c r="I73" i="43"/>
  <c r="I73" i="50"/>
  <c r="I75" i="50" s="1"/>
  <c r="Z52" i="10"/>
  <c r="K62" i="10"/>
  <c r="L19" i="17"/>
  <c r="L63" i="58" s="1"/>
  <c r="P52" i="10"/>
  <c r="Z44" i="10"/>
  <c r="Q44" i="10"/>
  <c r="AA7" i="43"/>
  <c r="AA48" i="43" s="1"/>
  <c r="AA7" i="11"/>
  <c r="AA48" i="11" s="1"/>
  <c r="AA7" i="47"/>
  <c r="AA49" i="47" s="1"/>
  <c r="AA7" i="38"/>
  <c r="AA48" i="38" s="1"/>
  <c r="AA7" i="50"/>
  <c r="AA48" i="50" s="1"/>
  <c r="AA7" i="45"/>
  <c r="AA49" i="45" s="1"/>
  <c r="AA7" i="15"/>
  <c r="AA48" i="15" s="1"/>
  <c r="AA7" i="10"/>
  <c r="AA48" i="10" s="1"/>
  <c r="AA7" i="13"/>
  <c r="AA48" i="13" s="1"/>
  <c r="AA7" i="23"/>
  <c r="AA7" i="12"/>
  <c r="AA49" i="12" s="1"/>
  <c r="L2" i="11"/>
  <c r="L42" i="11" s="1"/>
  <c r="L43" i="11" s="1"/>
  <c r="L2" i="43"/>
  <c r="L42" i="43" s="1"/>
  <c r="L43" i="43" s="1"/>
  <c r="L2" i="38"/>
  <c r="L42" i="38" s="1"/>
  <c r="L43" i="38" s="1"/>
  <c r="L2" i="12"/>
  <c r="L43" i="12" s="1"/>
  <c r="L44" i="12" s="1"/>
  <c r="M2" i="58"/>
  <c r="M43" i="58" s="1"/>
  <c r="M44" i="58" s="1"/>
  <c r="L2" i="47"/>
  <c r="L43" i="47" s="1"/>
  <c r="L44" i="47" s="1"/>
  <c r="L2" i="10"/>
  <c r="L42" i="10" s="1"/>
  <c r="L43" i="10" s="1"/>
  <c r="L2" i="15"/>
  <c r="L42" i="15" s="1"/>
  <c r="L43" i="15" s="1"/>
  <c r="L2" i="50"/>
  <c r="L42" i="50" s="1"/>
  <c r="L43" i="50" s="1"/>
  <c r="L2" i="23"/>
  <c r="L43" i="23" s="1"/>
  <c r="L44" i="23" s="1"/>
  <c r="L2" i="45"/>
  <c r="L43" i="45" s="1"/>
  <c r="L44" i="45" s="1"/>
  <c r="L2" i="13"/>
  <c r="L42" i="13" s="1"/>
  <c r="L43" i="13" s="1"/>
  <c r="AB5" i="50"/>
  <c r="AB46" i="50" s="1"/>
  <c r="AB5" i="47"/>
  <c r="AB47" i="47" s="1"/>
  <c r="AB5" i="43"/>
  <c r="AB46" i="43" s="1"/>
  <c r="AB5" i="45"/>
  <c r="AB47" i="45" s="1"/>
  <c r="AB5" i="38"/>
  <c r="AB46" i="38" s="1"/>
  <c r="AB5" i="15"/>
  <c r="AB46" i="15" s="1"/>
  <c r="AB5" i="23"/>
  <c r="AB5" i="12"/>
  <c r="AB47" i="12" s="1"/>
  <c r="AB5" i="11"/>
  <c r="AB46" i="11" s="1"/>
  <c r="AB5" i="13"/>
  <c r="AB46" i="13" s="1"/>
  <c r="AB5" i="10"/>
  <c r="AB46" i="10" s="1"/>
  <c r="AA6" i="50"/>
  <c r="AA47" i="50" s="1"/>
  <c r="AA6" i="47"/>
  <c r="AA48" i="47" s="1"/>
  <c r="AA6" i="45"/>
  <c r="AA48" i="45" s="1"/>
  <c r="AA6" i="43"/>
  <c r="AA47" i="43" s="1"/>
  <c r="AA6" i="38"/>
  <c r="AA47" i="38" s="1"/>
  <c r="AA6" i="15"/>
  <c r="AA47" i="15" s="1"/>
  <c r="AA6" i="13"/>
  <c r="AA47" i="13" s="1"/>
  <c r="AA6" i="12"/>
  <c r="AA48" i="12" s="1"/>
  <c r="AA6" i="11"/>
  <c r="AA47" i="11" s="1"/>
  <c r="AA6" i="10"/>
  <c r="AA47" i="10" s="1"/>
  <c r="AA6" i="23"/>
  <c r="AA12" i="50"/>
  <c r="AA56" i="50" s="1"/>
  <c r="AA12" i="47"/>
  <c r="AA57" i="47" s="1"/>
  <c r="AA12" i="43"/>
  <c r="AA56" i="43" s="1"/>
  <c r="AA12" i="45"/>
  <c r="AA57" i="45" s="1"/>
  <c r="AA12" i="38"/>
  <c r="AA56" i="38" s="1"/>
  <c r="AA12" i="15"/>
  <c r="AA56" i="15" s="1"/>
  <c r="AA12" i="13"/>
  <c r="AA56" i="13" s="1"/>
  <c r="AA12" i="23"/>
  <c r="AA12" i="12"/>
  <c r="AA57" i="12" s="1"/>
  <c r="AA12" i="11"/>
  <c r="AA56" i="11" s="1"/>
  <c r="AA12" i="10"/>
  <c r="AA56" i="10" s="1"/>
  <c r="Q8" i="50"/>
  <c r="Q52" i="50" s="1"/>
  <c r="Q8" i="47"/>
  <c r="Q53" i="47" s="1"/>
  <c r="Q8" i="45"/>
  <c r="Q53" i="45" s="1"/>
  <c r="Q8" i="38"/>
  <c r="Q52" i="38" s="1"/>
  <c r="Q8" i="43"/>
  <c r="Q52" i="43" s="1"/>
  <c r="Q8" i="23"/>
  <c r="Q53" i="23" s="1"/>
  <c r="Q8" i="13"/>
  <c r="Q52" i="13" s="1"/>
  <c r="Q8" i="15"/>
  <c r="Q52" i="15" s="1"/>
  <c r="Q8" i="12"/>
  <c r="Q53" i="12" s="1"/>
  <c r="Q8" i="11"/>
  <c r="Q52" i="11" s="1"/>
  <c r="Q8" i="10"/>
  <c r="R3" i="50"/>
  <c r="R44" i="50" s="1"/>
  <c r="R3" i="47"/>
  <c r="R45" i="47" s="1"/>
  <c r="R3" i="43"/>
  <c r="R44" i="43" s="1"/>
  <c r="R3" i="45"/>
  <c r="R3" i="38"/>
  <c r="R44" i="38" s="1"/>
  <c r="R3" i="23"/>
  <c r="R3" i="15"/>
  <c r="R44" i="15" s="1"/>
  <c r="R3" i="13"/>
  <c r="R44" i="13" s="1"/>
  <c r="R3" i="12"/>
  <c r="R45" i="12" s="1"/>
  <c r="R3" i="11"/>
  <c r="R44" i="11" s="1"/>
  <c r="R3" i="10"/>
  <c r="AB10" i="50"/>
  <c r="AB54" i="50" s="1"/>
  <c r="AB10" i="47"/>
  <c r="AB55" i="47" s="1"/>
  <c r="AB10" i="45"/>
  <c r="AB55" i="45" s="1"/>
  <c r="AB10" i="43"/>
  <c r="AB54" i="43" s="1"/>
  <c r="AB10" i="38"/>
  <c r="AB54" i="38" s="1"/>
  <c r="AB10" i="23"/>
  <c r="AB55" i="23" s="1"/>
  <c r="AB10" i="13"/>
  <c r="AB54" i="13" s="1"/>
  <c r="AB10" i="15"/>
  <c r="AB54" i="15" s="1"/>
  <c r="AB10" i="12"/>
  <c r="AB55" i="12" s="1"/>
  <c r="AB10" i="11"/>
  <c r="AB54" i="11" s="1"/>
  <c r="AB10" i="10"/>
  <c r="AB54" i="10" s="1"/>
  <c r="K18" i="17"/>
  <c r="K36" i="17" s="1"/>
  <c r="Q4" i="50"/>
  <c r="Q45" i="50" s="1"/>
  <c r="Q4" i="47"/>
  <c r="Q46" i="47" s="1"/>
  <c r="Q4" i="45"/>
  <c r="Q4" i="43"/>
  <c r="Q45" i="43" s="1"/>
  <c r="Q4" i="38"/>
  <c r="Q45" i="38" s="1"/>
  <c r="Q4" i="15"/>
  <c r="Q45" i="15" s="1"/>
  <c r="Q4" i="23"/>
  <c r="Q4" i="13"/>
  <c r="Q45" i="13" s="1"/>
  <c r="Q4" i="12"/>
  <c r="Q46" i="12" s="1"/>
  <c r="Q4" i="11"/>
  <c r="Q45" i="11" s="1"/>
  <c r="Q4" i="10"/>
  <c r="Q45" i="10" s="1"/>
  <c r="AA9" i="50"/>
  <c r="AA53" i="50" s="1"/>
  <c r="AA9" i="47"/>
  <c r="AA54" i="47" s="1"/>
  <c r="AA9" i="45"/>
  <c r="AA54" i="45" s="1"/>
  <c r="AA9" i="43"/>
  <c r="AA53" i="43" s="1"/>
  <c r="AA9" i="38"/>
  <c r="AA53" i="38" s="1"/>
  <c r="AA9" i="23"/>
  <c r="AA54" i="23" s="1"/>
  <c r="AA9" i="15"/>
  <c r="AA53" i="15" s="1"/>
  <c r="AA9" i="13"/>
  <c r="AA53" i="13" s="1"/>
  <c r="AA9" i="10"/>
  <c r="AA53" i="10" s="1"/>
  <c r="AA9" i="12"/>
  <c r="AA54" i="12" s="1"/>
  <c r="AA9" i="11"/>
  <c r="AA53" i="11" s="1"/>
  <c r="AA8" i="47"/>
  <c r="AA53" i="47" s="1"/>
  <c r="AA8" i="50"/>
  <c r="AA52" i="50" s="1"/>
  <c r="AA8" i="45"/>
  <c r="AA53" i="45" s="1"/>
  <c r="AA8" i="43"/>
  <c r="AA52" i="43" s="1"/>
  <c r="AA8" i="38"/>
  <c r="AA52" i="38" s="1"/>
  <c r="AA8" i="23"/>
  <c r="AA53" i="23" s="1"/>
  <c r="AA8" i="13"/>
  <c r="AA52" i="13" s="1"/>
  <c r="AA8" i="15"/>
  <c r="AA52" i="15" s="1"/>
  <c r="AA8" i="12"/>
  <c r="AA53" i="12" s="1"/>
  <c r="AA8" i="11"/>
  <c r="AA52" i="11" s="1"/>
  <c r="AA8" i="10"/>
  <c r="R11" i="50"/>
  <c r="R55" i="50" s="1"/>
  <c r="R11" i="47"/>
  <c r="R56" i="47" s="1"/>
  <c r="R11" i="45"/>
  <c r="R56" i="45" s="1"/>
  <c r="R11" i="43"/>
  <c r="R55" i="43" s="1"/>
  <c r="R11" i="38"/>
  <c r="R55" i="38" s="1"/>
  <c r="R11" i="23"/>
  <c r="R56" i="23" s="1"/>
  <c r="R11" i="13"/>
  <c r="R55" i="13" s="1"/>
  <c r="R11" i="15"/>
  <c r="R55" i="15" s="1"/>
  <c r="R11" i="12"/>
  <c r="R56" i="12" s="1"/>
  <c r="R11" i="11"/>
  <c r="R55" i="11" s="1"/>
  <c r="R11" i="10"/>
  <c r="R55" i="10" s="1"/>
  <c r="AA3" i="50"/>
  <c r="AA44" i="50" s="1"/>
  <c r="AA3" i="47"/>
  <c r="AA45" i="47" s="1"/>
  <c r="AA3" i="45"/>
  <c r="AA45" i="45" s="1"/>
  <c r="AA3" i="43"/>
  <c r="AA44" i="43" s="1"/>
  <c r="AA3" i="38"/>
  <c r="AA44" i="38" s="1"/>
  <c r="AA3" i="23"/>
  <c r="AA3" i="15"/>
  <c r="AA44" i="15" s="1"/>
  <c r="AA3" i="13"/>
  <c r="AA44" i="13" s="1"/>
  <c r="AA3" i="10"/>
  <c r="AA3" i="11"/>
  <c r="AA44" i="11" s="1"/>
  <c r="AA3" i="12"/>
  <c r="AA45" i="12" s="1"/>
  <c r="R5" i="50"/>
  <c r="R46" i="50" s="1"/>
  <c r="R5" i="45"/>
  <c r="R5" i="47"/>
  <c r="R47" i="47" s="1"/>
  <c r="R5" i="43"/>
  <c r="R46" i="43" s="1"/>
  <c r="R5" i="38"/>
  <c r="R46" i="38" s="1"/>
  <c r="R5" i="23"/>
  <c r="R5" i="15"/>
  <c r="R46" i="15" s="1"/>
  <c r="R5" i="12"/>
  <c r="R47" i="12" s="1"/>
  <c r="R5" i="11"/>
  <c r="R46" i="11" s="1"/>
  <c r="R5" i="13"/>
  <c r="R46" i="13" s="1"/>
  <c r="R5" i="10"/>
  <c r="R46" i="10" s="1"/>
  <c r="AA4" i="50"/>
  <c r="AA45" i="50" s="1"/>
  <c r="AA4" i="47"/>
  <c r="AA46" i="47" s="1"/>
  <c r="AA4" i="45"/>
  <c r="AA46" i="45" s="1"/>
  <c r="AA4" i="38"/>
  <c r="AA45" i="38" s="1"/>
  <c r="AA4" i="43"/>
  <c r="AA45" i="43" s="1"/>
  <c r="AA4" i="23"/>
  <c r="AA4" i="15"/>
  <c r="AA45" i="15" s="1"/>
  <c r="AA4" i="12"/>
  <c r="AA46" i="12" s="1"/>
  <c r="AA4" i="11"/>
  <c r="AA45" i="11" s="1"/>
  <c r="AA4" i="13"/>
  <c r="AA45" i="13" s="1"/>
  <c r="AA4" i="10"/>
  <c r="AA45" i="10" s="1"/>
  <c r="S6" i="50"/>
  <c r="S47" i="50" s="1"/>
  <c r="S6" i="47"/>
  <c r="S48" i="47" s="1"/>
  <c r="S6" i="45"/>
  <c r="S6" i="43"/>
  <c r="S47" i="43" s="1"/>
  <c r="S6" i="38"/>
  <c r="S47" i="38" s="1"/>
  <c r="S6" i="15"/>
  <c r="S47" i="15" s="1"/>
  <c r="S6" i="13"/>
  <c r="S47" i="13" s="1"/>
  <c r="S6" i="23"/>
  <c r="S6" i="12"/>
  <c r="S48" i="12" s="1"/>
  <c r="S6" i="11"/>
  <c r="S47" i="11" s="1"/>
  <c r="S6" i="10"/>
  <c r="S47" i="10" s="1"/>
  <c r="Q7" i="50"/>
  <c r="Q48" i="50" s="1"/>
  <c r="Q7" i="47"/>
  <c r="Q49" i="47" s="1"/>
  <c r="Q7" i="45"/>
  <c r="Q7" i="43"/>
  <c r="Q48" i="43" s="1"/>
  <c r="Q7" i="38"/>
  <c r="Q48" i="38" s="1"/>
  <c r="Q7" i="23"/>
  <c r="Q7" i="15"/>
  <c r="Q48" i="15" s="1"/>
  <c r="Q7" i="13"/>
  <c r="Q48" i="13" s="1"/>
  <c r="Q7" i="12"/>
  <c r="Q49" i="12" s="1"/>
  <c r="Q7" i="11"/>
  <c r="Q48" i="11" s="1"/>
  <c r="Q7" i="10"/>
  <c r="Q48" i="10" s="1"/>
  <c r="AA11" i="50"/>
  <c r="AA55" i="50" s="1"/>
  <c r="AA11" i="45"/>
  <c r="AA56" i="45" s="1"/>
  <c r="AA11" i="47"/>
  <c r="AA56" i="47" s="1"/>
  <c r="AA11" i="43"/>
  <c r="AA55" i="43" s="1"/>
  <c r="AA11" i="38"/>
  <c r="AA55" i="38" s="1"/>
  <c r="AA11" i="23"/>
  <c r="AA56" i="23" s="1"/>
  <c r="AA11" i="15"/>
  <c r="AA55" i="15" s="1"/>
  <c r="AA11" i="13"/>
  <c r="AA55" i="13" s="1"/>
  <c r="AA11" i="10"/>
  <c r="AA55" i="10" s="1"/>
  <c r="AA11" i="11"/>
  <c r="AA55" i="11" s="1"/>
  <c r="AA11" i="12"/>
  <c r="AA56" i="12" s="1"/>
  <c r="R10" i="50"/>
  <c r="R54" i="50" s="1"/>
  <c r="R10" i="47"/>
  <c r="R55" i="47" s="1"/>
  <c r="R10" i="43"/>
  <c r="R54" i="43" s="1"/>
  <c r="R10" i="45"/>
  <c r="R55" i="45" s="1"/>
  <c r="R10" i="38"/>
  <c r="R54" i="38" s="1"/>
  <c r="R10" i="23"/>
  <c r="R55" i="23" s="1"/>
  <c r="R10" i="13"/>
  <c r="R54" i="13" s="1"/>
  <c r="R10" i="15"/>
  <c r="R54" i="15" s="1"/>
  <c r="R10" i="12"/>
  <c r="R55" i="12" s="1"/>
  <c r="R10" i="11"/>
  <c r="R54" i="11" s="1"/>
  <c r="R10" i="10"/>
  <c r="R54" i="10" s="1"/>
  <c r="Q12" i="50"/>
  <c r="Q56" i="50" s="1"/>
  <c r="Q12" i="47"/>
  <c r="Q57" i="47" s="1"/>
  <c r="Q12" i="43"/>
  <c r="Q56" i="43" s="1"/>
  <c r="Q12" i="45"/>
  <c r="Q57" i="45" s="1"/>
  <c r="Q12" i="38"/>
  <c r="Q56" i="38" s="1"/>
  <c r="Q12" i="15"/>
  <c r="Q56" i="15" s="1"/>
  <c r="Q12" i="13"/>
  <c r="Q56" i="13" s="1"/>
  <c r="Q12" i="12"/>
  <c r="Q57" i="12" s="1"/>
  <c r="Q12" i="11"/>
  <c r="Q56" i="11" s="1"/>
  <c r="Q12" i="23"/>
  <c r="Q57" i="23" s="1"/>
  <c r="Q12" i="10"/>
  <c r="Q56" i="10" s="1"/>
  <c r="L20" i="17"/>
  <c r="R9" i="50"/>
  <c r="R53" i="50" s="1"/>
  <c r="R9" i="47"/>
  <c r="R54" i="47" s="1"/>
  <c r="R9" i="43"/>
  <c r="R53" i="43" s="1"/>
  <c r="R9" i="45"/>
  <c r="R54" i="45" s="1"/>
  <c r="R9" i="38"/>
  <c r="R53" i="38" s="1"/>
  <c r="R9" i="15"/>
  <c r="R53" i="15" s="1"/>
  <c r="R9" i="23"/>
  <c r="R54" i="23" s="1"/>
  <c r="R9" i="13"/>
  <c r="R53" i="13" s="1"/>
  <c r="R9" i="12"/>
  <c r="R54" i="12" s="1"/>
  <c r="R9" i="11"/>
  <c r="R53" i="11" s="1"/>
  <c r="R9" i="10"/>
  <c r="R53" i="10" s="1"/>
  <c r="I84" i="45" l="1"/>
  <c r="I85" i="45" s="1"/>
  <c r="I83" i="38"/>
  <c r="I84" i="38" s="1"/>
  <c r="I83" i="15"/>
  <c r="I84" i="15" s="1"/>
  <c r="I84" i="47"/>
  <c r="I85" i="47" s="1"/>
  <c r="I83" i="50"/>
  <c r="I84" i="50" s="1"/>
  <c r="J80" i="23"/>
  <c r="J79" i="15"/>
  <c r="J79" i="50"/>
  <c r="K84" i="58"/>
  <c r="K85" i="58" s="1"/>
  <c r="J79" i="10"/>
  <c r="J80" i="47"/>
  <c r="J79" i="11"/>
  <c r="J76" i="58"/>
  <c r="J80" i="58"/>
  <c r="K38" i="17"/>
  <c r="L79" i="58"/>
  <c r="L80" i="58" s="1"/>
  <c r="L75" i="58"/>
  <c r="L76" i="58" s="1"/>
  <c r="I83" i="10"/>
  <c r="I84" i="10" s="1"/>
  <c r="L64" i="58"/>
  <c r="L37" i="17"/>
  <c r="K62" i="58"/>
  <c r="J71" i="11"/>
  <c r="J71" i="10"/>
  <c r="J75" i="10"/>
  <c r="K74" i="10"/>
  <c r="K73" i="10"/>
  <c r="K74" i="43"/>
  <c r="K74" i="38"/>
  <c r="K75" i="47"/>
  <c r="K61" i="10"/>
  <c r="K77" i="10" s="1"/>
  <c r="K79" i="10" s="1"/>
  <c r="K61" i="11"/>
  <c r="K77" i="11" s="1"/>
  <c r="K79" i="11" s="1"/>
  <c r="K61" i="50"/>
  <c r="K77" i="50" s="1"/>
  <c r="K79" i="50" s="1"/>
  <c r="K62" i="47"/>
  <c r="K78" i="47" s="1"/>
  <c r="K80" i="47" s="1"/>
  <c r="K61" i="38"/>
  <c r="K77" i="38" s="1"/>
  <c r="K79" i="38" s="1"/>
  <c r="K61" i="43"/>
  <c r="K77" i="43" s="1"/>
  <c r="K79" i="43" s="1"/>
  <c r="K61" i="13"/>
  <c r="K77" i="13" s="1"/>
  <c r="K79" i="13" s="1"/>
  <c r="K62" i="23"/>
  <c r="K78" i="23" s="1"/>
  <c r="K80" i="23" s="1"/>
  <c r="K62" i="12"/>
  <c r="K62" i="45"/>
  <c r="K78" i="45" s="1"/>
  <c r="K80" i="45" s="1"/>
  <c r="K61" i="15"/>
  <c r="K77" i="15" s="1"/>
  <c r="K79" i="15" s="1"/>
  <c r="K75" i="23"/>
  <c r="L63" i="10"/>
  <c r="L78" i="10" s="1"/>
  <c r="L63" i="11"/>
  <c r="L78" i="11" s="1"/>
  <c r="L64" i="45"/>
  <c r="L79" i="45" s="1"/>
  <c r="L63" i="50"/>
  <c r="L78" i="50" s="1"/>
  <c r="L63" i="38"/>
  <c r="L78" i="38" s="1"/>
  <c r="L63" i="43"/>
  <c r="L78" i="43" s="1"/>
  <c r="L64" i="47"/>
  <c r="L79" i="47" s="1"/>
  <c r="L64" i="23"/>
  <c r="L79" i="23" s="1"/>
  <c r="L64" i="12"/>
  <c r="L63" i="15"/>
  <c r="L78" i="15" s="1"/>
  <c r="L63" i="13"/>
  <c r="L78" i="13" s="1"/>
  <c r="K75" i="12"/>
  <c r="K74" i="50"/>
  <c r="AO83" i="18"/>
  <c r="K74" i="15"/>
  <c r="K75" i="45"/>
  <c r="L62" i="11"/>
  <c r="L62" i="50"/>
  <c r="L63" i="47"/>
  <c r="L62" i="38"/>
  <c r="L63" i="45"/>
  <c r="L62" i="13"/>
  <c r="L62" i="43"/>
  <c r="L63" i="12"/>
  <c r="L79" i="12" s="1"/>
  <c r="L63" i="23"/>
  <c r="L62" i="15"/>
  <c r="AO75" i="18"/>
  <c r="K74" i="11"/>
  <c r="K74" i="13"/>
  <c r="J73" i="15"/>
  <c r="J75" i="15" s="1"/>
  <c r="J74" i="45"/>
  <c r="J76" i="45" s="1"/>
  <c r="J84" i="45" s="1"/>
  <c r="J85" i="45" s="1"/>
  <c r="I75" i="11"/>
  <c r="I75" i="43"/>
  <c r="I83" i="43" s="1"/>
  <c r="I84" i="43" s="1"/>
  <c r="I75" i="13"/>
  <c r="I83" i="13" s="1"/>
  <c r="I84" i="13" s="1"/>
  <c r="K60" i="11"/>
  <c r="K60" i="43"/>
  <c r="K61" i="45"/>
  <c r="K60" i="50"/>
  <c r="K60" i="38"/>
  <c r="K60" i="13"/>
  <c r="K61" i="47"/>
  <c r="K61" i="12"/>
  <c r="K78" i="12" s="1"/>
  <c r="K80" i="12" s="1"/>
  <c r="K61" i="23"/>
  <c r="K60" i="15"/>
  <c r="I68" i="12"/>
  <c r="J74" i="23"/>
  <c r="J76" i="23" s="1"/>
  <c r="J84" i="23" s="1"/>
  <c r="J85" i="23" s="1"/>
  <c r="J74" i="47"/>
  <c r="J76" i="47" s="1"/>
  <c r="J84" i="47" s="1"/>
  <c r="J85" i="47" s="1"/>
  <c r="L61" i="45"/>
  <c r="J67" i="10"/>
  <c r="J74" i="12"/>
  <c r="J76" i="12" s="1"/>
  <c r="J68" i="12"/>
  <c r="J73" i="50"/>
  <c r="J75" i="50" s="1"/>
  <c r="J73" i="43"/>
  <c r="J75" i="43" s="1"/>
  <c r="J83" i="43" s="1"/>
  <c r="J84" i="43" s="1"/>
  <c r="J73" i="11"/>
  <c r="J75" i="11" s="1"/>
  <c r="J67" i="11"/>
  <c r="I76" i="12"/>
  <c r="J73" i="13"/>
  <c r="J75" i="13" s="1"/>
  <c r="J83" i="13" s="1"/>
  <c r="J84" i="13" s="1"/>
  <c r="J73" i="38"/>
  <c r="I67" i="11"/>
  <c r="AA52" i="10"/>
  <c r="AA44" i="10"/>
  <c r="L62" i="10"/>
  <c r="M19" i="17"/>
  <c r="M63" i="58" s="1"/>
  <c r="R44" i="10"/>
  <c r="Q52" i="10"/>
  <c r="M2" i="43"/>
  <c r="M42" i="43" s="1"/>
  <c r="M43" i="43" s="1"/>
  <c r="M2" i="13"/>
  <c r="M42" i="13" s="1"/>
  <c r="M43" i="13" s="1"/>
  <c r="M2" i="45"/>
  <c r="M43" i="45" s="1"/>
  <c r="M44" i="45" s="1"/>
  <c r="M2" i="47"/>
  <c r="M43" i="47" s="1"/>
  <c r="M44" i="47" s="1"/>
  <c r="M2" i="12"/>
  <c r="M43" i="12" s="1"/>
  <c r="M44" i="12" s="1"/>
  <c r="M2" i="10"/>
  <c r="M42" i="10" s="1"/>
  <c r="M43" i="10" s="1"/>
  <c r="M2" i="11"/>
  <c r="M42" i="11" s="1"/>
  <c r="M43" i="11" s="1"/>
  <c r="N2" i="58"/>
  <c r="N43" i="58" s="1"/>
  <c r="N44" i="58" s="1"/>
  <c r="M2" i="15"/>
  <c r="M42" i="15" s="1"/>
  <c r="M43" i="15" s="1"/>
  <c r="M2" i="38"/>
  <c r="M42" i="38" s="1"/>
  <c r="M43" i="38" s="1"/>
  <c r="M2" i="23"/>
  <c r="M43" i="23" s="1"/>
  <c r="M44" i="23" s="1"/>
  <c r="M2" i="50"/>
  <c r="M42" i="50" s="1"/>
  <c r="M43" i="50" s="1"/>
  <c r="AB7" i="38"/>
  <c r="AB48" i="38" s="1"/>
  <c r="AB7" i="11"/>
  <c r="AB48" i="11" s="1"/>
  <c r="AB7" i="10"/>
  <c r="AB48" i="10" s="1"/>
  <c r="AB7" i="50"/>
  <c r="AB48" i="50" s="1"/>
  <c r="AB7" i="45"/>
  <c r="AB49" i="45" s="1"/>
  <c r="AB7" i="23"/>
  <c r="AB7" i="13"/>
  <c r="AB48" i="13" s="1"/>
  <c r="AB7" i="47"/>
  <c r="AB49" i="47" s="1"/>
  <c r="AB7" i="15"/>
  <c r="AB48" i="15" s="1"/>
  <c r="AB7" i="43"/>
  <c r="AB48" i="43" s="1"/>
  <c r="AB7" i="12"/>
  <c r="AB49" i="12" s="1"/>
  <c r="S11" i="50"/>
  <c r="S55" i="50" s="1"/>
  <c r="S11" i="47"/>
  <c r="S56" i="47" s="1"/>
  <c r="S11" i="45"/>
  <c r="S56" i="45" s="1"/>
  <c r="S11" i="43"/>
  <c r="S55" i="43" s="1"/>
  <c r="S11" i="38"/>
  <c r="S55" i="38" s="1"/>
  <c r="S11" i="23"/>
  <c r="S56" i="23" s="1"/>
  <c r="S11" i="15"/>
  <c r="S55" i="15" s="1"/>
  <c r="S11" i="13"/>
  <c r="S55" i="13" s="1"/>
  <c r="S11" i="12"/>
  <c r="S56" i="12" s="1"/>
  <c r="S11" i="11"/>
  <c r="S55" i="11" s="1"/>
  <c r="S11" i="10"/>
  <c r="S55" i="10" s="1"/>
  <c r="AB12" i="50"/>
  <c r="AB56" i="50" s="1"/>
  <c r="AB12" i="47"/>
  <c r="AB57" i="47" s="1"/>
  <c r="AB12" i="45"/>
  <c r="AB57" i="45" s="1"/>
  <c r="AB12" i="43"/>
  <c r="AB56" i="43" s="1"/>
  <c r="AB12" i="38"/>
  <c r="AB56" i="38" s="1"/>
  <c r="AB12" i="23"/>
  <c r="AB12" i="13"/>
  <c r="AB56" i="13" s="1"/>
  <c r="AB12" i="15"/>
  <c r="AB56" i="15" s="1"/>
  <c r="AB12" i="12"/>
  <c r="AB57" i="12" s="1"/>
  <c r="AB12" i="11"/>
  <c r="AB56" i="11" s="1"/>
  <c r="AB12" i="10"/>
  <c r="AB56" i="10" s="1"/>
  <c r="AB8" i="50"/>
  <c r="AB52" i="50" s="1"/>
  <c r="AB8" i="47"/>
  <c r="AB53" i="47" s="1"/>
  <c r="AB8" i="45"/>
  <c r="AB53" i="45" s="1"/>
  <c r="AB8" i="43"/>
  <c r="AB52" i="43" s="1"/>
  <c r="AB8" i="38"/>
  <c r="AB52" i="38" s="1"/>
  <c r="AB8" i="23"/>
  <c r="AB53" i="23" s="1"/>
  <c r="AB8" i="15"/>
  <c r="AB52" i="15" s="1"/>
  <c r="AB8" i="13"/>
  <c r="AB52" i="13" s="1"/>
  <c r="AB8" i="10"/>
  <c r="AB8" i="12"/>
  <c r="AB53" i="12" s="1"/>
  <c r="AB8" i="11"/>
  <c r="AB52" i="11" s="1"/>
  <c r="AA46" i="23"/>
  <c r="AA45" i="23"/>
  <c r="AA48" i="23"/>
  <c r="R8" i="47"/>
  <c r="R53" i="47" s="1"/>
  <c r="R8" i="50"/>
  <c r="R52" i="50" s="1"/>
  <c r="R8" i="45"/>
  <c r="R53" i="45" s="1"/>
  <c r="R8" i="43"/>
  <c r="R52" i="43" s="1"/>
  <c r="R8" i="38"/>
  <c r="R52" i="38" s="1"/>
  <c r="R8" i="23"/>
  <c r="R53" i="23" s="1"/>
  <c r="R8" i="13"/>
  <c r="R52" i="13" s="1"/>
  <c r="R8" i="15"/>
  <c r="R52" i="15" s="1"/>
  <c r="R8" i="12"/>
  <c r="R53" i="12" s="1"/>
  <c r="R8" i="11"/>
  <c r="R52" i="11" s="1"/>
  <c r="R8" i="10"/>
  <c r="AB11" i="50"/>
  <c r="AB55" i="50" s="1"/>
  <c r="AB11" i="47"/>
  <c r="AB56" i="47" s="1"/>
  <c r="AB11" i="43"/>
  <c r="AB55" i="43" s="1"/>
  <c r="AB11" i="45"/>
  <c r="AB56" i="45" s="1"/>
  <c r="AB11" i="38"/>
  <c r="AB55" i="38" s="1"/>
  <c r="AB11" i="23"/>
  <c r="AB56" i="23" s="1"/>
  <c r="AB11" i="15"/>
  <c r="AB55" i="15" s="1"/>
  <c r="AB11" i="13"/>
  <c r="AB55" i="13" s="1"/>
  <c r="AB11" i="12"/>
  <c r="AB56" i="12" s="1"/>
  <c r="AB11" i="11"/>
  <c r="AB55" i="11" s="1"/>
  <c r="AB11" i="10"/>
  <c r="AB55" i="10" s="1"/>
  <c r="AC5" i="50"/>
  <c r="AC46" i="50" s="1"/>
  <c r="AC5" i="47"/>
  <c r="AC47" i="47" s="1"/>
  <c r="AC5" i="45"/>
  <c r="AC47" i="45" s="1"/>
  <c r="AC5" i="43"/>
  <c r="AC46" i="43" s="1"/>
  <c r="AC5" i="38"/>
  <c r="AC46" i="38" s="1"/>
  <c r="AC5" i="15"/>
  <c r="AC46" i="15" s="1"/>
  <c r="AC5" i="23"/>
  <c r="AC5" i="13"/>
  <c r="AC46" i="13" s="1"/>
  <c r="AC5" i="10"/>
  <c r="AC46" i="10" s="1"/>
  <c r="AC5" i="11"/>
  <c r="AC46" i="11" s="1"/>
  <c r="AC5" i="12"/>
  <c r="AC47" i="12" s="1"/>
  <c r="S9" i="50"/>
  <c r="S53" i="50" s="1"/>
  <c r="S9" i="45"/>
  <c r="S54" i="45" s="1"/>
  <c r="S9" i="47"/>
  <c r="S54" i="47" s="1"/>
  <c r="S9" i="43"/>
  <c r="S53" i="43" s="1"/>
  <c r="S9" i="38"/>
  <c r="S53" i="38" s="1"/>
  <c r="S9" i="15"/>
  <c r="S53" i="15" s="1"/>
  <c r="S9" i="13"/>
  <c r="S53" i="13" s="1"/>
  <c r="S9" i="12"/>
  <c r="S54" i="12" s="1"/>
  <c r="S9" i="10"/>
  <c r="S53" i="10" s="1"/>
  <c r="S9" i="11"/>
  <c r="S53" i="11" s="1"/>
  <c r="S9" i="23"/>
  <c r="S54" i="23" s="1"/>
  <c r="S10" i="50"/>
  <c r="S54" i="50" s="1"/>
  <c r="S10" i="47"/>
  <c r="S55" i="47" s="1"/>
  <c r="S10" i="45"/>
  <c r="S55" i="45" s="1"/>
  <c r="S10" i="43"/>
  <c r="S54" i="43" s="1"/>
  <c r="S10" i="38"/>
  <c r="S54" i="38" s="1"/>
  <c r="S10" i="23"/>
  <c r="S55" i="23" s="1"/>
  <c r="S10" i="13"/>
  <c r="S54" i="13" s="1"/>
  <c r="S10" i="15"/>
  <c r="S54" i="15" s="1"/>
  <c r="S10" i="12"/>
  <c r="S55" i="12" s="1"/>
  <c r="S10" i="11"/>
  <c r="S54" i="11" s="1"/>
  <c r="S10" i="10"/>
  <c r="S54" i="10" s="1"/>
  <c r="AB4" i="50"/>
  <c r="AB45" i="50" s="1"/>
  <c r="AB4" i="47"/>
  <c r="AB46" i="47" s="1"/>
  <c r="AB4" i="45"/>
  <c r="AB46" i="45" s="1"/>
  <c r="AB4" i="43"/>
  <c r="AB45" i="43" s="1"/>
  <c r="AB4" i="38"/>
  <c r="AB45" i="38" s="1"/>
  <c r="AB4" i="23"/>
  <c r="AB4" i="11"/>
  <c r="AB45" i="11" s="1"/>
  <c r="AB4" i="15"/>
  <c r="AB45" i="15" s="1"/>
  <c r="AB4" i="13"/>
  <c r="AB45" i="13" s="1"/>
  <c r="AB4" i="10"/>
  <c r="AB45" i="10" s="1"/>
  <c r="AB4" i="12"/>
  <c r="AB46" i="12" s="1"/>
  <c r="L18" i="17"/>
  <c r="L36" i="17" s="1"/>
  <c r="R7" i="50"/>
  <c r="R48" i="50" s="1"/>
  <c r="R7" i="45"/>
  <c r="R7" i="47"/>
  <c r="R49" i="47" s="1"/>
  <c r="R7" i="43"/>
  <c r="R48" i="43" s="1"/>
  <c r="R7" i="38"/>
  <c r="R48" i="38" s="1"/>
  <c r="R7" i="23"/>
  <c r="R7" i="15"/>
  <c r="R48" i="15" s="1"/>
  <c r="R7" i="12"/>
  <c r="R49" i="12" s="1"/>
  <c r="R7" i="11"/>
  <c r="R48" i="11" s="1"/>
  <c r="R7" i="13"/>
  <c r="R48" i="13" s="1"/>
  <c r="R7" i="10"/>
  <c r="R48" i="10" s="1"/>
  <c r="AB3" i="50"/>
  <c r="AB44" i="50" s="1"/>
  <c r="AB3" i="47"/>
  <c r="AB45" i="47" s="1"/>
  <c r="AB3" i="45"/>
  <c r="AB45" i="45" s="1"/>
  <c r="AB3" i="43"/>
  <c r="AB44" i="43" s="1"/>
  <c r="AB3" i="38"/>
  <c r="AB44" i="38" s="1"/>
  <c r="AB3" i="23"/>
  <c r="AB3" i="15"/>
  <c r="AB44" i="15" s="1"/>
  <c r="AB3" i="13"/>
  <c r="AB44" i="13" s="1"/>
  <c r="AB3" i="12"/>
  <c r="AB45" i="12" s="1"/>
  <c r="AB3" i="11"/>
  <c r="AB44" i="11" s="1"/>
  <c r="AB3" i="10"/>
  <c r="AO73" i="18"/>
  <c r="C67" i="18" s="1"/>
  <c r="M20" i="17"/>
  <c r="S5" i="50"/>
  <c r="S46" i="50" s="1"/>
  <c r="S5" i="45"/>
  <c r="S5" i="47"/>
  <c r="S47" i="47" s="1"/>
  <c r="S5" i="43"/>
  <c r="S46" i="43" s="1"/>
  <c r="S5" i="38"/>
  <c r="S46" i="38" s="1"/>
  <c r="S5" i="23"/>
  <c r="S5" i="15"/>
  <c r="S46" i="15" s="1"/>
  <c r="S5" i="12"/>
  <c r="S47" i="12" s="1"/>
  <c r="S5" i="10"/>
  <c r="S46" i="10" s="1"/>
  <c r="S5" i="13"/>
  <c r="S46" i="13" s="1"/>
  <c r="S5" i="11"/>
  <c r="S46" i="11" s="1"/>
  <c r="R4" i="50"/>
  <c r="R45" i="50" s="1"/>
  <c r="R4" i="47"/>
  <c r="R46" i="47" s="1"/>
  <c r="R4" i="45"/>
  <c r="R4" i="43"/>
  <c r="R45" i="43" s="1"/>
  <c r="R4" i="38"/>
  <c r="R45" i="38" s="1"/>
  <c r="R4" i="23"/>
  <c r="R4" i="15"/>
  <c r="R45" i="15" s="1"/>
  <c r="R4" i="13"/>
  <c r="R45" i="13" s="1"/>
  <c r="R4" i="12"/>
  <c r="R46" i="12" s="1"/>
  <c r="R4" i="11"/>
  <c r="R45" i="11" s="1"/>
  <c r="R4" i="10"/>
  <c r="R45" i="10" s="1"/>
  <c r="S3" i="50"/>
  <c r="S44" i="50" s="1"/>
  <c r="S3" i="47"/>
  <c r="S45" i="47" s="1"/>
  <c r="S3" i="45"/>
  <c r="S3" i="43"/>
  <c r="S44" i="43" s="1"/>
  <c r="S3" i="38"/>
  <c r="S44" i="38" s="1"/>
  <c r="S3" i="15"/>
  <c r="S44" i="15" s="1"/>
  <c r="S3" i="13"/>
  <c r="S44" i="13" s="1"/>
  <c r="S3" i="23"/>
  <c r="S3" i="11"/>
  <c r="S44" i="11" s="1"/>
  <c r="S3" i="10"/>
  <c r="S3" i="12"/>
  <c r="S45" i="12" s="1"/>
  <c r="R12" i="50"/>
  <c r="R56" i="50" s="1"/>
  <c r="R12" i="47"/>
  <c r="R57" i="47" s="1"/>
  <c r="R12" i="45"/>
  <c r="R57" i="45" s="1"/>
  <c r="R12" i="43"/>
  <c r="R56" i="43" s="1"/>
  <c r="R12" i="38"/>
  <c r="R56" i="38" s="1"/>
  <c r="R12" i="15"/>
  <c r="R56" i="15" s="1"/>
  <c r="R12" i="23"/>
  <c r="R57" i="23" s="1"/>
  <c r="R12" i="13"/>
  <c r="R56" i="13" s="1"/>
  <c r="R12" i="10"/>
  <c r="R56" i="10" s="1"/>
  <c r="R12" i="11"/>
  <c r="R56" i="11" s="1"/>
  <c r="R12" i="12"/>
  <c r="R57" i="12" s="1"/>
  <c r="AB9" i="50"/>
  <c r="AB53" i="50" s="1"/>
  <c r="AB9" i="47"/>
  <c r="AB54" i="47" s="1"/>
  <c r="AB9" i="45"/>
  <c r="AB54" i="45" s="1"/>
  <c r="AB9" i="43"/>
  <c r="AB53" i="43" s="1"/>
  <c r="AB9" i="38"/>
  <c r="AB53" i="38" s="1"/>
  <c r="AB9" i="15"/>
  <c r="AB53" i="15" s="1"/>
  <c r="AB9" i="13"/>
  <c r="AB53" i="13" s="1"/>
  <c r="AB9" i="23"/>
  <c r="AB54" i="23" s="1"/>
  <c r="AB9" i="12"/>
  <c r="AB54" i="12" s="1"/>
  <c r="AB9" i="11"/>
  <c r="AB53" i="11" s="1"/>
  <c r="AB9" i="10"/>
  <c r="AB53" i="10" s="1"/>
  <c r="AO82" i="18"/>
  <c r="AC10" i="47"/>
  <c r="AC55" i="47" s="1"/>
  <c r="AC10" i="50"/>
  <c r="AC54" i="50" s="1"/>
  <c r="A54" i="50" s="1"/>
  <c r="AC10" i="45"/>
  <c r="AC55" i="45" s="1"/>
  <c r="AC10" i="43"/>
  <c r="AC54" i="43" s="1"/>
  <c r="A54" i="43" s="1"/>
  <c r="AC10" i="38"/>
  <c r="AC54" i="38" s="1"/>
  <c r="AC10" i="23"/>
  <c r="AC55" i="23" s="1"/>
  <c r="AC10" i="13"/>
  <c r="AC54" i="13" s="1"/>
  <c r="A54" i="13" s="1"/>
  <c r="AC10" i="15"/>
  <c r="AC54" i="15" s="1"/>
  <c r="AC10" i="12"/>
  <c r="AC55" i="12" s="1"/>
  <c r="AC10" i="11"/>
  <c r="AC54" i="11" s="1"/>
  <c r="A54" i="11" s="1"/>
  <c r="AC10" i="10"/>
  <c r="AC54" i="10" s="1"/>
  <c r="A54" i="10" s="1"/>
  <c r="AB6" i="50"/>
  <c r="AB47" i="50" s="1"/>
  <c r="AB6" i="47"/>
  <c r="AB48" i="47" s="1"/>
  <c r="AB6" i="45"/>
  <c r="AB48" i="45" s="1"/>
  <c r="AB6" i="43"/>
  <c r="AB47" i="43" s="1"/>
  <c r="AB6" i="38"/>
  <c r="AB47" i="38" s="1"/>
  <c r="AB6" i="23"/>
  <c r="AB6" i="15"/>
  <c r="AB47" i="15" s="1"/>
  <c r="AB6" i="13"/>
  <c r="AB47" i="13" s="1"/>
  <c r="AB6" i="10"/>
  <c r="AB47" i="10" s="1"/>
  <c r="AB6" i="11"/>
  <c r="AB47" i="11" s="1"/>
  <c r="AB6" i="12"/>
  <c r="AB48" i="12" s="1"/>
  <c r="AO76" i="18"/>
  <c r="A54" i="38" l="1"/>
  <c r="A55" i="45"/>
  <c r="J83" i="50"/>
  <c r="J84" i="50" s="1"/>
  <c r="A46" i="38"/>
  <c r="A46" i="15"/>
  <c r="A54" i="15"/>
  <c r="A47" i="12"/>
  <c r="B46" i="43"/>
  <c r="A46" i="43"/>
  <c r="B55" i="12"/>
  <c r="A55" i="12"/>
  <c r="A46" i="10"/>
  <c r="A55" i="47"/>
  <c r="B46" i="11"/>
  <c r="D9" i="60" s="1"/>
  <c r="A46" i="11"/>
  <c r="A55" i="23"/>
  <c r="B46" i="13"/>
  <c r="F9" i="60" s="1"/>
  <c r="A46" i="13"/>
  <c r="A47" i="47"/>
  <c r="A46" i="50"/>
  <c r="J83" i="15"/>
  <c r="J84" i="15" s="1"/>
  <c r="C57" i="18"/>
  <c r="C76" i="18"/>
  <c r="C50" i="18"/>
  <c r="C69" i="18"/>
  <c r="C51" i="18"/>
  <c r="C70" i="18"/>
  <c r="C58" i="18"/>
  <c r="C77" i="18"/>
  <c r="C48" i="18"/>
  <c r="B55" i="23"/>
  <c r="H17" i="60" s="1"/>
  <c r="B54" i="15"/>
  <c r="G17" i="60" s="1"/>
  <c r="B54" i="13"/>
  <c r="F17" i="60" s="1"/>
  <c r="B54" i="43"/>
  <c r="K17" i="60" s="1"/>
  <c r="B46" i="15"/>
  <c r="G9" i="60" s="1"/>
  <c r="B47" i="12"/>
  <c r="E9" i="60" s="1"/>
  <c r="B54" i="11"/>
  <c r="D17" i="60" s="1"/>
  <c r="B46" i="10"/>
  <c r="C9" i="60" s="1"/>
  <c r="B54" i="10"/>
  <c r="C17" i="60" s="1"/>
  <c r="B46" i="38"/>
  <c r="I9" i="60" s="1"/>
  <c r="B54" i="38"/>
  <c r="I17" i="60" s="1"/>
  <c r="J84" i="12"/>
  <c r="J85" i="12" s="1"/>
  <c r="L84" i="58"/>
  <c r="L85" i="58" s="1"/>
  <c r="I84" i="12"/>
  <c r="I85" i="12" s="1"/>
  <c r="M79" i="58"/>
  <c r="M80" i="58" s="1"/>
  <c r="M75" i="58"/>
  <c r="M76" i="58" s="1"/>
  <c r="J83" i="11"/>
  <c r="J84" i="11" s="1"/>
  <c r="J84" i="58"/>
  <c r="J85" i="58" s="1"/>
  <c r="L38" i="17"/>
  <c r="I83" i="11"/>
  <c r="I84" i="11" s="1"/>
  <c r="J83" i="10"/>
  <c r="J84" i="10" s="1"/>
  <c r="M64" i="58"/>
  <c r="M37" i="17"/>
  <c r="L62" i="58"/>
  <c r="K71" i="11"/>
  <c r="K71" i="10"/>
  <c r="L60" i="43"/>
  <c r="L60" i="13"/>
  <c r="L61" i="12"/>
  <c r="L78" i="12" s="1"/>
  <c r="L80" i="12" s="1"/>
  <c r="L60" i="38"/>
  <c r="L60" i="11"/>
  <c r="L61" i="47"/>
  <c r="L60" i="15"/>
  <c r="L60" i="50"/>
  <c r="L60" i="10"/>
  <c r="L73" i="10" s="1"/>
  <c r="L61" i="23"/>
  <c r="L74" i="10"/>
  <c r="L74" i="13"/>
  <c r="AO85" i="18"/>
  <c r="L61" i="10"/>
  <c r="L77" i="10" s="1"/>
  <c r="L79" i="10" s="1"/>
  <c r="L61" i="11"/>
  <c r="L77" i="11" s="1"/>
  <c r="L79" i="11" s="1"/>
  <c r="L61" i="50"/>
  <c r="L77" i="50" s="1"/>
  <c r="L79" i="50" s="1"/>
  <c r="L62" i="47"/>
  <c r="L78" i="47" s="1"/>
  <c r="L80" i="47" s="1"/>
  <c r="L61" i="38"/>
  <c r="L77" i="38" s="1"/>
  <c r="L79" i="38" s="1"/>
  <c r="L61" i="43"/>
  <c r="L77" i="43" s="1"/>
  <c r="L79" i="43" s="1"/>
  <c r="L62" i="45"/>
  <c r="L78" i="45" s="1"/>
  <c r="L80" i="45" s="1"/>
  <c r="L61" i="13"/>
  <c r="L77" i="13" s="1"/>
  <c r="L79" i="13" s="1"/>
  <c r="L62" i="23"/>
  <c r="L78" i="23" s="1"/>
  <c r="L80" i="23" s="1"/>
  <c r="L61" i="15"/>
  <c r="L77" i="15" s="1"/>
  <c r="L79" i="15" s="1"/>
  <c r="L62" i="12"/>
  <c r="L74" i="15"/>
  <c r="L75" i="45"/>
  <c r="M63" i="10"/>
  <c r="M78" i="10" s="1"/>
  <c r="M63" i="11"/>
  <c r="M78" i="11" s="1"/>
  <c r="M63" i="50"/>
  <c r="M78" i="50" s="1"/>
  <c r="M64" i="47"/>
  <c r="M79" i="47" s="1"/>
  <c r="M63" i="43"/>
  <c r="M78" i="43" s="1"/>
  <c r="M64" i="45"/>
  <c r="M79" i="45" s="1"/>
  <c r="M63" i="38"/>
  <c r="M78" i="38" s="1"/>
  <c r="M64" i="23"/>
  <c r="M79" i="23" s="1"/>
  <c r="M64" i="12"/>
  <c r="M63" i="13"/>
  <c r="M78" i="13" s="1"/>
  <c r="M63" i="15"/>
  <c r="M78" i="15" s="1"/>
  <c r="AO74" i="18"/>
  <c r="K67" i="10"/>
  <c r="L75" i="23"/>
  <c r="L74" i="38"/>
  <c r="AO81" i="18"/>
  <c r="L75" i="12"/>
  <c r="L75" i="47"/>
  <c r="C52" i="18"/>
  <c r="M62" i="11"/>
  <c r="M62" i="50"/>
  <c r="M63" i="47"/>
  <c r="M62" i="38"/>
  <c r="M62" i="43"/>
  <c r="M62" i="13"/>
  <c r="M63" i="45"/>
  <c r="M63" i="12"/>
  <c r="M79" i="12" s="1"/>
  <c r="M63" i="23"/>
  <c r="M62" i="15"/>
  <c r="L74" i="50"/>
  <c r="AO84" i="18"/>
  <c r="L74" i="43"/>
  <c r="L74" i="11"/>
  <c r="K74" i="47"/>
  <c r="K76" i="47" s="1"/>
  <c r="K84" i="47" s="1"/>
  <c r="K85" i="47" s="1"/>
  <c r="K74" i="12"/>
  <c r="K76" i="12" s="1"/>
  <c r="K68" i="12"/>
  <c r="K73" i="50"/>
  <c r="K75" i="50" s="1"/>
  <c r="K83" i="50" s="1"/>
  <c r="K84" i="50" s="1"/>
  <c r="K73" i="43"/>
  <c r="K75" i="43" s="1"/>
  <c r="K83" i="43" s="1"/>
  <c r="K84" i="43" s="1"/>
  <c r="K73" i="11"/>
  <c r="K75" i="11" s="1"/>
  <c r="M60" i="11"/>
  <c r="M60" i="43"/>
  <c r="M61" i="23"/>
  <c r="L74" i="45"/>
  <c r="K73" i="15"/>
  <c r="K75" i="15" s="1"/>
  <c r="K83" i="15" s="1"/>
  <c r="K84" i="15" s="1"/>
  <c r="K73" i="13"/>
  <c r="K75" i="13" s="1"/>
  <c r="K83" i="13" s="1"/>
  <c r="K84" i="13" s="1"/>
  <c r="K74" i="45"/>
  <c r="K76" i="45" s="1"/>
  <c r="K84" i="45" s="1"/>
  <c r="K85" i="45" s="1"/>
  <c r="J75" i="38"/>
  <c r="J83" i="38" s="1"/>
  <c r="J84" i="38" s="1"/>
  <c r="K74" i="23"/>
  <c r="K76" i="23" s="1"/>
  <c r="K84" i="23" s="1"/>
  <c r="K85" i="23" s="1"/>
  <c r="K73" i="38"/>
  <c r="K75" i="38" s="1"/>
  <c r="K83" i="38" s="1"/>
  <c r="K84" i="38" s="1"/>
  <c r="K75" i="10"/>
  <c r="E17" i="60"/>
  <c r="B55" i="45"/>
  <c r="L17" i="60" s="1"/>
  <c r="S44" i="10"/>
  <c r="AB52" i="10"/>
  <c r="M60" i="10"/>
  <c r="M62" i="10"/>
  <c r="N19" i="17"/>
  <c r="N63" i="58" s="1"/>
  <c r="R52" i="10"/>
  <c r="AB44" i="10"/>
  <c r="B54" i="50"/>
  <c r="N17" i="60" s="1"/>
  <c r="N2" i="12"/>
  <c r="N43" i="12" s="1"/>
  <c r="N44" i="12" s="1"/>
  <c r="N2" i="38"/>
  <c r="N42" i="38" s="1"/>
  <c r="N43" i="38" s="1"/>
  <c r="O2" i="58"/>
  <c r="O43" i="58" s="1"/>
  <c r="O44" i="58" s="1"/>
  <c r="N2" i="23"/>
  <c r="N43" i="23" s="1"/>
  <c r="N44" i="23" s="1"/>
  <c r="N2" i="50"/>
  <c r="N42" i="50" s="1"/>
  <c r="N43" i="50" s="1"/>
  <c r="N2" i="15"/>
  <c r="N42" i="15" s="1"/>
  <c r="N43" i="15" s="1"/>
  <c r="N2" i="47"/>
  <c r="N43" i="47" s="1"/>
  <c r="N44" i="47" s="1"/>
  <c r="N2" i="45"/>
  <c r="N43" i="45" s="1"/>
  <c r="N44" i="45" s="1"/>
  <c r="N2" i="13"/>
  <c r="N42" i="13" s="1"/>
  <c r="N43" i="13" s="1"/>
  <c r="N2" i="43"/>
  <c r="N42" i="43" s="1"/>
  <c r="N43" i="43" s="1"/>
  <c r="N2" i="10"/>
  <c r="N42" i="10" s="1"/>
  <c r="N43" i="10" s="1"/>
  <c r="N2" i="11"/>
  <c r="N42" i="11" s="1"/>
  <c r="N43" i="11" s="1"/>
  <c r="AC7" i="38"/>
  <c r="AC48" i="38" s="1"/>
  <c r="AC7" i="50"/>
  <c r="AC48" i="50" s="1"/>
  <c r="AC7" i="45"/>
  <c r="AC49" i="45" s="1"/>
  <c r="AC7" i="15"/>
  <c r="AC48" i="15" s="1"/>
  <c r="AC7" i="47"/>
  <c r="AC49" i="47" s="1"/>
  <c r="AC7" i="13"/>
  <c r="AC48" i="13" s="1"/>
  <c r="AC7" i="43"/>
  <c r="AC48" i="43" s="1"/>
  <c r="AC7" i="10"/>
  <c r="AC48" i="10" s="1"/>
  <c r="AC7" i="12"/>
  <c r="AC49" i="12" s="1"/>
  <c r="AC7" i="11"/>
  <c r="AC48" i="11" s="1"/>
  <c r="AC7" i="23"/>
  <c r="B55" i="47"/>
  <c r="M17" i="60" s="1"/>
  <c r="AA49" i="23"/>
  <c r="AC8" i="50"/>
  <c r="AC52" i="50" s="1"/>
  <c r="AC8" i="47"/>
  <c r="AC53" i="47" s="1"/>
  <c r="AC8" i="43"/>
  <c r="AC52" i="43" s="1"/>
  <c r="AC8" i="45"/>
  <c r="AC53" i="45" s="1"/>
  <c r="AC8" i="38"/>
  <c r="AC52" i="38" s="1"/>
  <c r="AC8" i="23"/>
  <c r="AC53" i="23" s="1"/>
  <c r="AC8" i="15"/>
  <c r="AC52" i="15" s="1"/>
  <c r="AC8" i="13"/>
  <c r="AC52" i="13" s="1"/>
  <c r="AC8" i="12"/>
  <c r="AC53" i="12" s="1"/>
  <c r="AC8" i="11"/>
  <c r="AC52" i="11" s="1"/>
  <c r="AC8" i="10"/>
  <c r="AC12" i="50"/>
  <c r="AC56" i="50" s="1"/>
  <c r="AC12" i="47"/>
  <c r="AC57" i="47" s="1"/>
  <c r="AC12" i="45"/>
  <c r="AC57" i="45" s="1"/>
  <c r="AC12" i="43"/>
  <c r="AC56" i="43" s="1"/>
  <c r="AC12" i="38"/>
  <c r="AC56" i="38" s="1"/>
  <c r="AC12" i="13"/>
  <c r="AC56" i="13" s="1"/>
  <c r="AC12" i="23"/>
  <c r="AC12" i="15"/>
  <c r="AC56" i="15" s="1"/>
  <c r="AC12" i="12"/>
  <c r="AC57" i="12" s="1"/>
  <c r="AC12" i="11"/>
  <c r="AC56" i="11" s="1"/>
  <c r="AC12" i="10"/>
  <c r="AC56" i="10" s="1"/>
  <c r="S12" i="47"/>
  <c r="S57" i="47" s="1"/>
  <c r="S12" i="50"/>
  <c r="S56" i="50" s="1"/>
  <c r="S12" i="45"/>
  <c r="S57" i="45" s="1"/>
  <c r="S12" i="43"/>
  <c r="S56" i="43" s="1"/>
  <c r="S12" i="38"/>
  <c r="S56" i="38" s="1"/>
  <c r="S12" i="15"/>
  <c r="S56" i="15" s="1"/>
  <c r="S12" i="13"/>
  <c r="S56" i="13" s="1"/>
  <c r="S12" i="23"/>
  <c r="S57" i="23" s="1"/>
  <c r="S12" i="12"/>
  <c r="S57" i="12" s="1"/>
  <c r="S12" i="11"/>
  <c r="S56" i="11" s="1"/>
  <c r="S12" i="10"/>
  <c r="S56" i="10" s="1"/>
  <c r="AC4" i="50"/>
  <c r="AC45" i="50" s="1"/>
  <c r="AC4" i="45"/>
  <c r="AC46" i="45" s="1"/>
  <c r="AC4" i="47"/>
  <c r="AC46" i="47" s="1"/>
  <c r="AC4" i="43"/>
  <c r="AC45" i="43" s="1"/>
  <c r="AC4" i="38"/>
  <c r="AC45" i="38" s="1"/>
  <c r="AC4" i="23"/>
  <c r="AC4" i="15"/>
  <c r="AC45" i="15" s="1"/>
  <c r="AC4" i="12"/>
  <c r="AC46" i="12" s="1"/>
  <c r="AC4" i="11"/>
  <c r="AC45" i="11" s="1"/>
  <c r="AC4" i="13"/>
  <c r="AC45" i="13" s="1"/>
  <c r="AC4" i="10"/>
  <c r="AC45" i="10" s="1"/>
  <c r="AC3" i="50"/>
  <c r="AC44" i="50" s="1"/>
  <c r="A44" i="50" s="1"/>
  <c r="AC3" i="47"/>
  <c r="AC45" i="47" s="1"/>
  <c r="A45" i="47" s="1"/>
  <c r="AC3" i="45"/>
  <c r="AC45" i="45" s="1"/>
  <c r="AC3" i="43"/>
  <c r="AC44" i="43" s="1"/>
  <c r="AC3" i="38"/>
  <c r="AC44" i="38" s="1"/>
  <c r="AC3" i="23"/>
  <c r="AC3" i="15"/>
  <c r="AC44" i="15" s="1"/>
  <c r="AC3" i="11"/>
  <c r="AC44" i="11" s="1"/>
  <c r="AC3" i="13"/>
  <c r="AC44" i="13" s="1"/>
  <c r="AC3" i="12"/>
  <c r="AC45" i="12" s="1"/>
  <c r="AC3" i="10"/>
  <c r="M18" i="17"/>
  <c r="M36" i="17" s="1"/>
  <c r="K9" i="60"/>
  <c r="AA47" i="23"/>
  <c r="S4" i="50"/>
  <c r="S45" i="50" s="1"/>
  <c r="S4" i="45"/>
  <c r="S4" i="47"/>
  <c r="S46" i="47" s="1"/>
  <c r="S4" i="43"/>
  <c r="S45" i="43" s="1"/>
  <c r="S4" i="38"/>
  <c r="S45" i="38" s="1"/>
  <c r="S4" i="23"/>
  <c r="S4" i="15"/>
  <c r="S45" i="15" s="1"/>
  <c r="S4" i="12"/>
  <c r="S46" i="12" s="1"/>
  <c r="S4" i="11"/>
  <c r="S45" i="11" s="1"/>
  <c r="S4" i="13"/>
  <c r="S45" i="13" s="1"/>
  <c r="S4" i="10"/>
  <c r="S45" i="10" s="1"/>
  <c r="N20" i="17"/>
  <c r="S7" i="50"/>
  <c r="S48" i="50" s="1"/>
  <c r="S7" i="47"/>
  <c r="S49" i="47" s="1"/>
  <c r="S7" i="45"/>
  <c r="S7" i="43"/>
  <c r="S48" i="43" s="1"/>
  <c r="S7" i="38"/>
  <c r="S48" i="38" s="1"/>
  <c r="S7" i="23"/>
  <c r="S7" i="15"/>
  <c r="S48" i="15" s="1"/>
  <c r="S7" i="13"/>
  <c r="S48" i="13" s="1"/>
  <c r="S7" i="12"/>
  <c r="S49" i="12" s="1"/>
  <c r="S7" i="11"/>
  <c r="S48" i="11" s="1"/>
  <c r="S7" i="10"/>
  <c r="S48" i="10" s="1"/>
  <c r="B47" i="47"/>
  <c r="M9" i="60" s="1"/>
  <c r="AC9" i="50"/>
  <c r="AC53" i="50" s="1"/>
  <c r="AC9" i="47"/>
  <c r="AC54" i="47" s="1"/>
  <c r="AC9" i="45"/>
  <c r="AC54" i="45" s="1"/>
  <c r="AC9" i="43"/>
  <c r="AC53" i="43" s="1"/>
  <c r="A53" i="43" s="1"/>
  <c r="AC9" i="38"/>
  <c r="AC53" i="38" s="1"/>
  <c r="A53" i="38" s="1"/>
  <c r="AC9" i="23"/>
  <c r="AC54" i="23" s="1"/>
  <c r="A54" i="23" s="1"/>
  <c r="AC9" i="13"/>
  <c r="AC53" i="13" s="1"/>
  <c r="A53" i="13" s="1"/>
  <c r="AC9" i="15"/>
  <c r="AC53" i="15" s="1"/>
  <c r="A53" i="15" s="1"/>
  <c r="AC9" i="12"/>
  <c r="AC54" i="12" s="1"/>
  <c r="A54" i="12" s="1"/>
  <c r="AC9" i="10"/>
  <c r="AC53" i="10" s="1"/>
  <c r="A53" i="10" s="1"/>
  <c r="AC9" i="11"/>
  <c r="AC53" i="11" s="1"/>
  <c r="A53" i="11" s="1"/>
  <c r="AC6" i="50"/>
  <c r="AC47" i="50" s="1"/>
  <c r="AC6" i="45"/>
  <c r="AC48" i="45" s="1"/>
  <c r="AC6" i="47"/>
  <c r="AC48" i="47" s="1"/>
  <c r="AC6" i="43"/>
  <c r="AC47" i="43" s="1"/>
  <c r="A47" i="43" s="1"/>
  <c r="AC6" i="38"/>
  <c r="AC47" i="38" s="1"/>
  <c r="AC6" i="23"/>
  <c r="AC6" i="15"/>
  <c r="AC47" i="15" s="1"/>
  <c r="A47" i="15" s="1"/>
  <c r="AC6" i="13"/>
  <c r="AC47" i="13" s="1"/>
  <c r="A47" i="13" s="1"/>
  <c r="AC6" i="12"/>
  <c r="AC48" i="12" s="1"/>
  <c r="A48" i="12" s="1"/>
  <c r="AC6" i="11"/>
  <c r="AC47" i="11" s="1"/>
  <c r="A47" i="11" s="1"/>
  <c r="AC6" i="10"/>
  <c r="AC47" i="10" s="1"/>
  <c r="A47" i="10" s="1"/>
  <c r="B46" i="50"/>
  <c r="N9" i="60" s="1"/>
  <c r="AC11" i="50"/>
  <c r="AC55" i="50" s="1"/>
  <c r="AC11" i="45"/>
  <c r="AC56" i="45" s="1"/>
  <c r="AC11" i="47"/>
  <c r="AC56" i="47" s="1"/>
  <c r="AC11" i="43"/>
  <c r="AC55" i="43" s="1"/>
  <c r="A55" i="43" s="1"/>
  <c r="AC11" i="38"/>
  <c r="AC55" i="38" s="1"/>
  <c r="A55" i="38" s="1"/>
  <c r="AC11" i="23"/>
  <c r="AC56" i="23" s="1"/>
  <c r="A56" i="23" s="1"/>
  <c r="AC11" i="15"/>
  <c r="AC55" i="15" s="1"/>
  <c r="A55" i="15" s="1"/>
  <c r="AC11" i="13"/>
  <c r="AC55" i="13" s="1"/>
  <c r="A55" i="13" s="1"/>
  <c r="AC11" i="10"/>
  <c r="AC55" i="10" s="1"/>
  <c r="A55" i="10" s="1"/>
  <c r="AC11" i="11"/>
  <c r="AC55" i="11" s="1"/>
  <c r="A55" i="11" s="1"/>
  <c r="AC11" i="12"/>
  <c r="AC56" i="12" s="1"/>
  <c r="A56" i="12" s="1"/>
  <c r="S8" i="50"/>
  <c r="S52" i="50" s="1"/>
  <c r="S8" i="47"/>
  <c r="S53" i="47" s="1"/>
  <c r="S8" i="45"/>
  <c r="S53" i="45" s="1"/>
  <c r="S8" i="43"/>
  <c r="S52" i="43" s="1"/>
  <c r="S8" i="38"/>
  <c r="S52" i="38" s="1"/>
  <c r="S8" i="23"/>
  <c r="S53" i="23" s="1"/>
  <c r="S8" i="13"/>
  <c r="S52" i="13" s="1"/>
  <c r="S8" i="15"/>
  <c r="S52" i="15" s="1"/>
  <c r="S8" i="12"/>
  <c r="S53" i="12" s="1"/>
  <c r="S8" i="11"/>
  <c r="S52" i="11" s="1"/>
  <c r="S8" i="10"/>
  <c r="A45" i="50" l="1"/>
  <c r="A56" i="50"/>
  <c r="A53" i="12"/>
  <c r="A48" i="43"/>
  <c r="B44" i="13"/>
  <c r="A44" i="13"/>
  <c r="B56" i="45"/>
  <c r="L18" i="60" s="1"/>
  <c r="A56" i="45"/>
  <c r="B48" i="47"/>
  <c r="M10" i="60" s="1"/>
  <c r="A48" i="47"/>
  <c r="B44" i="15"/>
  <c r="G7" i="60" s="1"/>
  <c r="A44" i="15"/>
  <c r="A45" i="38"/>
  <c r="A53" i="45"/>
  <c r="A48" i="10"/>
  <c r="A48" i="38"/>
  <c r="B52" i="43"/>
  <c r="K15" i="60" s="1"/>
  <c r="A52" i="43"/>
  <c r="B47" i="50"/>
  <c r="N10" i="60" s="1"/>
  <c r="A47" i="50"/>
  <c r="B45" i="10"/>
  <c r="A45" i="10"/>
  <c r="B56" i="10"/>
  <c r="C19" i="60" s="1"/>
  <c r="A56" i="10"/>
  <c r="B56" i="38"/>
  <c r="A56" i="38"/>
  <c r="A52" i="13"/>
  <c r="A53" i="47"/>
  <c r="A48" i="13"/>
  <c r="B48" i="13"/>
  <c r="F11" i="60" s="1"/>
  <c r="A45" i="13"/>
  <c r="A45" i="43"/>
  <c r="B56" i="11"/>
  <c r="A56" i="11"/>
  <c r="A56" i="43"/>
  <c r="A52" i="15"/>
  <c r="A52" i="50"/>
  <c r="A49" i="47"/>
  <c r="B55" i="50"/>
  <c r="N18" i="60" s="1"/>
  <c r="A55" i="50"/>
  <c r="B44" i="38"/>
  <c r="A44" i="38"/>
  <c r="A45" i="11"/>
  <c r="A46" i="47"/>
  <c r="A57" i="12"/>
  <c r="A57" i="45"/>
  <c r="A53" i="23"/>
  <c r="A48" i="15"/>
  <c r="B54" i="45"/>
  <c r="L16" i="60" s="1"/>
  <c r="A54" i="45"/>
  <c r="B45" i="12"/>
  <c r="E7" i="60" s="1"/>
  <c r="A45" i="12"/>
  <c r="B44" i="43"/>
  <c r="A44" i="43"/>
  <c r="A46" i="12"/>
  <c r="A56" i="15"/>
  <c r="A57" i="47"/>
  <c r="B48" i="11"/>
  <c r="A48" i="11"/>
  <c r="B45" i="15"/>
  <c r="G8" i="60" s="1"/>
  <c r="A45" i="15"/>
  <c r="B47" i="38"/>
  <c r="I10" i="60" s="1"/>
  <c r="A47" i="38"/>
  <c r="B54" i="47"/>
  <c r="M16" i="60" s="1"/>
  <c r="A54" i="47"/>
  <c r="B56" i="47"/>
  <c r="M18" i="60" s="1"/>
  <c r="A56" i="47"/>
  <c r="B53" i="50"/>
  <c r="N16" i="60" s="1"/>
  <c r="A53" i="50"/>
  <c r="B44" i="11"/>
  <c r="D7" i="60" s="1"/>
  <c r="A44" i="11"/>
  <c r="A56" i="13"/>
  <c r="A52" i="38"/>
  <c r="B49" i="12"/>
  <c r="A49" i="12"/>
  <c r="A48" i="50"/>
  <c r="C59" i="18"/>
  <c r="C78" i="18"/>
  <c r="C60" i="18"/>
  <c r="C79" i="18"/>
  <c r="C56" i="18"/>
  <c r="C75" i="18"/>
  <c r="C49" i="18"/>
  <c r="C68" i="18"/>
  <c r="B48" i="50"/>
  <c r="B56" i="43"/>
  <c r="K19" i="60" s="1"/>
  <c r="B52" i="38"/>
  <c r="I15" i="60" s="1"/>
  <c r="B52" i="13"/>
  <c r="F15" i="60" s="1"/>
  <c r="B55" i="43"/>
  <c r="K18" i="60" s="1"/>
  <c r="B48" i="43"/>
  <c r="K11" i="60" s="1"/>
  <c r="B53" i="43"/>
  <c r="K16" i="60" s="1"/>
  <c r="B47" i="43"/>
  <c r="K10" i="60" s="1"/>
  <c r="B45" i="43"/>
  <c r="K8" i="60" s="1"/>
  <c r="B45" i="38"/>
  <c r="I8" i="60" s="1"/>
  <c r="B53" i="23"/>
  <c r="H15" i="60" s="1"/>
  <c r="B54" i="23"/>
  <c r="H16" i="60" s="1"/>
  <c r="B56" i="23"/>
  <c r="H18" i="60" s="1"/>
  <c r="B52" i="15"/>
  <c r="G15" i="60" s="1"/>
  <c r="B53" i="15"/>
  <c r="G16" i="60" s="1"/>
  <c r="B56" i="15"/>
  <c r="G19" i="60" s="1"/>
  <c r="B47" i="15"/>
  <c r="G10" i="60" s="1"/>
  <c r="B55" i="15"/>
  <c r="G18" i="60" s="1"/>
  <c r="B48" i="15"/>
  <c r="G11" i="60" s="1"/>
  <c r="B47" i="13"/>
  <c r="F10" i="60" s="1"/>
  <c r="B45" i="13"/>
  <c r="F8" i="60" s="1"/>
  <c r="B55" i="13"/>
  <c r="F18" i="60" s="1"/>
  <c r="B53" i="13"/>
  <c r="F32" i="18" s="1"/>
  <c r="AN56" i="18" s="1"/>
  <c r="B56" i="13"/>
  <c r="F19" i="60" s="1"/>
  <c r="B53" i="12"/>
  <c r="E15" i="60" s="1"/>
  <c r="B56" i="12"/>
  <c r="E18" i="60" s="1"/>
  <c r="B54" i="12"/>
  <c r="E16" i="60" s="1"/>
  <c r="B57" i="12"/>
  <c r="E19" i="60" s="1"/>
  <c r="B46" i="12"/>
  <c r="E8" i="60" s="1"/>
  <c r="B48" i="12"/>
  <c r="E10" i="60" s="1"/>
  <c r="B53" i="11"/>
  <c r="D16" i="60" s="1"/>
  <c r="B47" i="11"/>
  <c r="D26" i="18" s="1"/>
  <c r="AN21" i="18" s="1"/>
  <c r="B55" i="11"/>
  <c r="D18" i="60" s="1"/>
  <c r="B45" i="11"/>
  <c r="D8" i="60" s="1"/>
  <c r="B48" i="10"/>
  <c r="C11" i="60" s="1"/>
  <c r="B55" i="10"/>
  <c r="C18" i="60" s="1"/>
  <c r="B47" i="10"/>
  <c r="C10" i="60" s="1"/>
  <c r="B53" i="10"/>
  <c r="C16" i="60" s="1"/>
  <c r="B53" i="38"/>
  <c r="I16" i="60" s="1"/>
  <c r="B55" i="38"/>
  <c r="I18" i="60" s="1"/>
  <c r="B48" i="38"/>
  <c r="I11" i="60" s="1"/>
  <c r="M38" i="17"/>
  <c r="N79" i="58"/>
  <c r="N80" i="58" s="1"/>
  <c r="N75" i="58"/>
  <c r="N76" i="58" s="1"/>
  <c r="R17" i="60"/>
  <c r="Q17" i="60"/>
  <c r="P17" i="60"/>
  <c r="K84" i="12"/>
  <c r="K85" i="12" s="1"/>
  <c r="M84" i="58"/>
  <c r="M85" i="58" s="1"/>
  <c r="K83" i="10"/>
  <c r="K84" i="10" s="1"/>
  <c r="N33" i="18"/>
  <c r="AN174" i="18" s="1"/>
  <c r="N25" i="18"/>
  <c r="AN166" i="18" s="1"/>
  <c r="M33" i="18"/>
  <c r="AN161" i="18" s="1"/>
  <c r="M25" i="18"/>
  <c r="AN153" i="18" s="1"/>
  <c r="M26" i="18"/>
  <c r="AN154" i="18" s="1"/>
  <c r="M34" i="18"/>
  <c r="AN162" i="18" s="1"/>
  <c r="L33" i="18"/>
  <c r="AN148" i="18" s="1"/>
  <c r="L32" i="18"/>
  <c r="AN147" i="18" s="1"/>
  <c r="K25" i="18"/>
  <c r="AN127" i="18" s="1"/>
  <c r="K33" i="18"/>
  <c r="AN135" i="18" s="1"/>
  <c r="AN121" i="18"/>
  <c r="AN122" i="18"/>
  <c r="AN123" i="18"/>
  <c r="AN114" i="18"/>
  <c r="I25" i="18"/>
  <c r="AN101" i="18" s="1"/>
  <c r="I33" i="18"/>
  <c r="AN109" i="18" s="1"/>
  <c r="H33" i="18"/>
  <c r="AN96" i="18" s="1"/>
  <c r="G33" i="18"/>
  <c r="AN70" i="18" s="1"/>
  <c r="G25" i="18"/>
  <c r="AN62" i="18" s="1"/>
  <c r="F33" i="18"/>
  <c r="AN57" i="18" s="1"/>
  <c r="F25" i="18"/>
  <c r="AN49" i="18" s="1"/>
  <c r="E25" i="18"/>
  <c r="AN33" i="18" s="1"/>
  <c r="E33" i="18"/>
  <c r="AN44" i="18" s="1"/>
  <c r="D33" i="18"/>
  <c r="AN28" i="18" s="1"/>
  <c r="D25" i="18"/>
  <c r="AN20" i="18" s="1"/>
  <c r="C25" i="18"/>
  <c r="AN7" i="18" s="1"/>
  <c r="C33" i="18"/>
  <c r="AN15" i="18" s="1"/>
  <c r="N64" i="58"/>
  <c r="N37" i="17"/>
  <c r="M62" i="58"/>
  <c r="L71" i="10"/>
  <c r="L74" i="47"/>
  <c r="L76" i="47" s="1"/>
  <c r="L84" i="47" s="1"/>
  <c r="L85" i="47" s="1"/>
  <c r="L71" i="11"/>
  <c r="L73" i="13"/>
  <c r="L75" i="13" s="1"/>
  <c r="L83" i="13" s="1"/>
  <c r="L84" i="13" s="1"/>
  <c r="L73" i="43"/>
  <c r="L75" i="43" s="1"/>
  <c r="L83" i="43" s="1"/>
  <c r="L84" i="43" s="1"/>
  <c r="M60" i="13"/>
  <c r="M73" i="13" s="1"/>
  <c r="M60" i="38"/>
  <c r="M61" i="47"/>
  <c r="M61" i="12"/>
  <c r="M78" i="12" s="1"/>
  <c r="M80" i="12" s="1"/>
  <c r="M60" i="50"/>
  <c r="M73" i="50" s="1"/>
  <c r="M60" i="15"/>
  <c r="M61" i="45"/>
  <c r="L74" i="12"/>
  <c r="L76" i="12" s="1"/>
  <c r="L73" i="38"/>
  <c r="L75" i="38" s="1"/>
  <c r="L83" i="38" s="1"/>
  <c r="L84" i="38" s="1"/>
  <c r="L73" i="50"/>
  <c r="L75" i="50" s="1"/>
  <c r="L83" i="50" s="1"/>
  <c r="L84" i="50" s="1"/>
  <c r="L74" i="23"/>
  <c r="L76" i="23" s="1"/>
  <c r="L84" i="23" s="1"/>
  <c r="L85" i="23" s="1"/>
  <c r="L73" i="15"/>
  <c r="L75" i="15" s="1"/>
  <c r="L83" i="15" s="1"/>
  <c r="L84" i="15" s="1"/>
  <c r="L67" i="11"/>
  <c r="L73" i="11"/>
  <c r="L75" i="11" s="1"/>
  <c r="L76" i="45"/>
  <c r="L84" i="45" s="1"/>
  <c r="L85" i="45" s="1"/>
  <c r="E11" i="60"/>
  <c r="N13" i="60"/>
  <c r="I13" i="60"/>
  <c r="M75" i="23"/>
  <c r="G13" i="60"/>
  <c r="L68" i="12"/>
  <c r="D13" i="60"/>
  <c r="M74" i="10"/>
  <c r="C13" i="60"/>
  <c r="M73" i="10"/>
  <c r="B45" i="47"/>
  <c r="M7" i="60" s="1"/>
  <c r="M74" i="11"/>
  <c r="B44" i="50"/>
  <c r="N7" i="60" s="1"/>
  <c r="M12" i="60"/>
  <c r="M61" i="10"/>
  <c r="M77" i="10" s="1"/>
  <c r="M79" i="10" s="1"/>
  <c r="M61" i="11"/>
  <c r="M77" i="11" s="1"/>
  <c r="M79" i="11" s="1"/>
  <c r="M62" i="47"/>
  <c r="M78" i="47" s="1"/>
  <c r="M80" i="47" s="1"/>
  <c r="M61" i="38"/>
  <c r="M77" i="38" s="1"/>
  <c r="M79" i="38" s="1"/>
  <c r="M61" i="43"/>
  <c r="M77" i="43" s="1"/>
  <c r="M79" i="43" s="1"/>
  <c r="M62" i="45"/>
  <c r="M78" i="45" s="1"/>
  <c r="M80" i="45" s="1"/>
  <c r="M61" i="50"/>
  <c r="M77" i="50" s="1"/>
  <c r="M79" i="50" s="1"/>
  <c r="M61" i="13"/>
  <c r="M77" i="13" s="1"/>
  <c r="M79" i="13" s="1"/>
  <c r="M62" i="23"/>
  <c r="M78" i="23" s="1"/>
  <c r="M80" i="23" s="1"/>
  <c r="M61" i="15"/>
  <c r="M77" i="15" s="1"/>
  <c r="M79" i="15" s="1"/>
  <c r="M62" i="12"/>
  <c r="M74" i="15"/>
  <c r="M74" i="43"/>
  <c r="I7" i="60"/>
  <c r="M74" i="38"/>
  <c r="M75" i="12"/>
  <c r="M75" i="47"/>
  <c r="F7" i="60"/>
  <c r="K7" i="60"/>
  <c r="N62" i="11"/>
  <c r="N62" i="50"/>
  <c r="N63" i="47"/>
  <c r="N62" i="38"/>
  <c r="N62" i="43"/>
  <c r="N63" i="45"/>
  <c r="N62" i="13"/>
  <c r="N63" i="23"/>
  <c r="N62" i="15"/>
  <c r="N63" i="12"/>
  <c r="N79" i="12" s="1"/>
  <c r="M75" i="45"/>
  <c r="M74" i="50"/>
  <c r="H12" i="60"/>
  <c r="N63" i="10"/>
  <c r="N78" i="10" s="1"/>
  <c r="N63" i="11"/>
  <c r="N78" i="11" s="1"/>
  <c r="N63" i="50"/>
  <c r="N78" i="50" s="1"/>
  <c r="N64" i="47"/>
  <c r="N79" i="47" s="1"/>
  <c r="N63" i="38"/>
  <c r="N78" i="38" s="1"/>
  <c r="N64" i="45"/>
  <c r="N79" i="45" s="1"/>
  <c r="N63" i="43"/>
  <c r="N78" i="43" s="1"/>
  <c r="N63" i="13"/>
  <c r="N78" i="13" s="1"/>
  <c r="N64" i="23"/>
  <c r="N79" i="23" s="1"/>
  <c r="N63" i="15"/>
  <c r="N78" i="15" s="1"/>
  <c r="N64" i="12"/>
  <c r="M74" i="13"/>
  <c r="M74" i="23"/>
  <c r="K67" i="11"/>
  <c r="K83" i="11" s="1"/>
  <c r="K84" i="11" s="1"/>
  <c r="M73" i="43"/>
  <c r="N60" i="11"/>
  <c r="N61" i="47"/>
  <c r="N60" i="38"/>
  <c r="N60" i="43"/>
  <c r="N61" i="45"/>
  <c r="N61" i="23"/>
  <c r="N60" i="15"/>
  <c r="N60" i="13"/>
  <c r="N61" i="12"/>
  <c r="N78" i="12" s="1"/>
  <c r="N60" i="50"/>
  <c r="M73" i="11"/>
  <c r="L75" i="10"/>
  <c r="L67" i="10"/>
  <c r="AC52" i="10"/>
  <c r="N60" i="10"/>
  <c r="S52" i="10"/>
  <c r="AC44" i="10"/>
  <c r="N62" i="10"/>
  <c r="O19" i="17"/>
  <c r="O63" i="58" s="1"/>
  <c r="B49" i="47"/>
  <c r="M11" i="60" s="1"/>
  <c r="AB48" i="23"/>
  <c r="AC48" i="23"/>
  <c r="O2" i="47"/>
  <c r="O43" i="47" s="1"/>
  <c r="O44" i="47" s="1"/>
  <c r="O2" i="15"/>
  <c r="O42" i="15" s="1"/>
  <c r="O43" i="15" s="1"/>
  <c r="O2" i="43"/>
  <c r="O42" i="43" s="1"/>
  <c r="O43" i="43" s="1"/>
  <c r="O2" i="12"/>
  <c r="O43" i="12" s="1"/>
  <c r="O44" i="12" s="1"/>
  <c r="P2" i="58"/>
  <c r="P43" i="58" s="1"/>
  <c r="P44" i="58" s="1"/>
  <c r="O2" i="50"/>
  <c r="O42" i="50" s="1"/>
  <c r="O43" i="50" s="1"/>
  <c r="O2" i="23"/>
  <c r="O43" i="23" s="1"/>
  <c r="O44" i="23" s="1"/>
  <c r="O2" i="45"/>
  <c r="O43" i="45" s="1"/>
  <c r="O44" i="45" s="1"/>
  <c r="O2" i="13"/>
  <c r="O42" i="13" s="1"/>
  <c r="O43" i="13" s="1"/>
  <c r="O2" i="11"/>
  <c r="O42" i="11" s="1"/>
  <c r="O43" i="11" s="1"/>
  <c r="O2" i="38"/>
  <c r="O42" i="38" s="1"/>
  <c r="O43" i="38" s="1"/>
  <c r="O2" i="10"/>
  <c r="O42" i="10" s="1"/>
  <c r="O43" i="10" s="1"/>
  <c r="N11" i="60"/>
  <c r="D11" i="60"/>
  <c r="D19" i="60"/>
  <c r="AC45" i="23"/>
  <c r="B53" i="47"/>
  <c r="M15" i="60" s="1"/>
  <c r="W46" i="23"/>
  <c r="W45" i="23"/>
  <c r="N18" i="17"/>
  <c r="N36" i="17" s="1"/>
  <c r="B46" i="47"/>
  <c r="M8" i="60" s="1"/>
  <c r="B52" i="50"/>
  <c r="N15" i="60" s="1"/>
  <c r="O20" i="17"/>
  <c r="U49" i="23"/>
  <c r="T49" i="23"/>
  <c r="I19" i="60"/>
  <c r="AB45" i="23"/>
  <c r="AC46" i="23"/>
  <c r="B45" i="50"/>
  <c r="N8" i="60" s="1"/>
  <c r="W49" i="23"/>
  <c r="AC49" i="23"/>
  <c r="AB49" i="23"/>
  <c r="W47" i="23"/>
  <c r="U46" i="23"/>
  <c r="T46" i="23"/>
  <c r="B57" i="45"/>
  <c r="L19" i="60" s="1"/>
  <c r="AB46" i="23"/>
  <c r="AC47" i="23"/>
  <c r="AB47" i="23"/>
  <c r="C8" i="60"/>
  <c r="W48" i="23"/>
  <c r="B57" i="47"/>
  <c r="M19" i="60" s="1"/>
  <c r="B53" i="45"/>
  <c r="L15" i="60" s="1"/>
  <c r="B56" i="50"/>
  <c r="N19" i="60" s="1"/>
  <c r="I26" i="18" l="1"/>
  <c r="AN102" i="18" s="1"/>
  <c r="M32" i="18"/>
  <c r="AN160" i="18" s="1"/>
  <c r="L34" i="18"/>
  <c r="AN149" i="18" s="1"/>
  <c r="N34" i="18"/>
  <c r="AN175" i="18" s="1"/>
  <c r="A52" i="10"/>
  <c r="N26" i="18"/>
  <c r="AN167" i="18" s="1"/>
  <c r="N32" i="18"/>
  <c r="AN173" i="18" s="1"/>
  <c r="B44" i="10"/>
  <c r="C7" i="60" s="1"/>
  <c r="A44" i="10"/>
  <c r="D34" i="18"/>
  <c r="AN29" i="18" s="1"/>
  <c r="I32" i="18"/>
  <c r="AN108" i="18" s="1"/>
  <c r="F26" i="18"/>
  <c r="AN50" i="18" s="1"/>
  <c r="H32" i="18"/>
  <c r="AN95" i="18" s="1"/>
  <c r="D32" i="18"/>
  <c r="AN27" i="18" s="1"/>
  <c r="P13" i="60"/>
  <c r="Q13" i="60"/>
  <c r="R13" i="60"/>
  <c r="K26" i="18"/>
  <c r="AN128" i="18" s="1"/>
  <c r="K34" i="18"/>
  <c r="AN136" i="18" s="1"/>
  <c r="K32" i="18"/>
  <c r="AN134" i="18" s="1"/>
  <c r="G32" i="18"/>
  <c r="AN69" i="18" s="1"/>
  <c r="F34" i="18"/>
  <c r="AN58" i="18" s="1"/>
  <c r="E32" i="18"/>
  <c r="AN43" i="18" s="1"/>
  <c r="G26" i="18"/>
  <c r="AN63" i="18" s="1"/>
  <c r="E34" i="18"/>
  <c r="AN45" i="18" s="1"/>
  <c r="C32" i="18"/>
  <c r="AN14" i="18" s="1"/>
  <c r="B52" i="10"/>
  <c r="C15" i="60" s="1"/>
  <c r="C34" i="18"/>
  <c r="AN16" i="18" s="1"/>
  <c r="I34" i="18"/>
  <c r="AN110" i="18" s="1"/>
  <c r="H34" i="18"/>
  <c r="AN97" i="18" s="1"/>
  <c r="G34" i="18"/>
  <c r="AN71" i="18" s="1"/>
  <c r="F16" i="60"/>
  <c r="Q16" i="60" s="1"/>
  <c r="E26" i="18"/>
  <c r="AN34" i="18" s="1"/>
  <c r="D10" i="60"/>
  <c r="C26" i="18"/>
  <c r="AN8" i="18" s="1"/>
  <c r="P18" i="60"/>
  <c r="Q18" i="60"/>
  <c r="R18" i="60"/>
  <c r="M74" i="12"/>
  <c r="M76" i="12" s="1"/>
  <c r="L83" i="10"/>
  <c r="L84" i="10" s="1"/>
  <c r="N84" i="58"/>
  <c r="N85" i="58" s="1"/>
  <c r="N38" i="17"/>
  <c r="O79" i="58"/>
  <c r="O80" i="58" s="1"/>
  <c r="O75" i="58"/>
  <c r="O76" i="58" s="1"/>
  <c r="N80" i="12"/>
  <c r="L84" i="12"/>
  <c r="L85" i="12" s="1"/>
  <c r="L83" i="11"/>
  <c r="L84" i="11" s="1"/>
  <c r="N23" i="18"/>
  <c r="AN164" i="18" s="1"/>
  <c r="N35" i="18"/>
  <c r="AN176" i="18" s="1"/>
  <c r="N31" i="18"/>
  <c r="AN172" i="18" s="1"/>
  <c r="N29" i="18"/>
  <c r="AN170" i="18" s="1"/>
  <c r="N24" i="18"/>
  <c r="AN165" i="18" s="1"/>
  <c r="N27" i="18"/>
  <c r="AN168" i="18" s="1"/>
  <c r="M23" i="18"/>
  <c r="AN151" i="18" s="1"/>
  <c r="M28" i="18"/>
  <c r="AN156" i="18" s="1"/>
  <c r="M27" i="18"/>
  <c r="AN155" i="18" s="1"/>
  <c r="M29" i="18"/>
  <c r="AN157" i="18" s="1"/>
  <c r="M24" i="18"/>
  <c r="AN152" i="18" s="1"/>
  <c r="M35" i="18"/>
  <c r="AN163" i="18" s="1"/>
  <c r="M31" i="18"/>
  <c r="AN159" i="18" s="1"/>
  <c r="L35" i="18"/>
  <c r="AN150" i="18" s="1"/>
  <c r="L29" i="18"/>
  <c r="AN144" i="18" s="1"/>
  <c r="L31" i="18"/>
  <c r="AN146" i="18" s="1"/>
  <c r="K29" i="18"/>
  <c r="AN131" i="18" s="1"/>
  <c r="K23" i="18"/>
  <c r="AN125" i="18" s="1"/>
  <c r="K31" i="18"/>
  <c r="AN133" i="18" s="1"/>
  <c r="K24" i="18"/>
  <c r="AN126" i="18" s="1"/>
  <c r="K35" i="18"/>
  <c r="AN137" i="18" s="1"/>
  <c r="K27" i="18"/>
  <c r="AN129" i="18" s="1"/>
  <c r="AN115" i="18"/>
  <c r="AN124" i="18"/>
  <c r="AN117" i="18"/>
  <c r="AN118" i="18"/>
  <c r="AN116" i="18"/>
  <c r="AN113" i="18"/>
  <c r="AN120" i="18"/>
  <c r="I24" i="18"/>
  <c r="AN100" i="18" s="1"/>
  <c r="I27" i="18"/>
  <c r="AN103" i="18" s="1"/>
  <c r="I31" i="18"/>
  <c r="AN107" i="18" s="1"/>
  <c r="I29" i="18"/>
  <c r="AN105" i="18" s="1"/>
  <c r="I35" i="18"/>
  <c r="AN111" i="18" s="1"/>
  <c r="I23" i="18"/>
  <c r="AN99" i="18" s="1"/>
  <c r="H29" i="18"/>
  <c r="AN92" i="18" s="1"/>
  <c r="H28" i="18"/>
  <c r="AN91" i="18" s="1"/>
  <c r="H31" i="18"/>
  <c r="AN94" i="18" s="1"/>
  <c r="G24" i="18"/>
  <c r="AN61" i="18" s="1"/>
  <c r="G23" i="18"/>
  <c r="AN60" i="18" s="1"/>
  <c r="G31" i="18"/>
  <c r="AN68" i="18" s="1"/>
  <c r="G29" i="18"/>
  <c r="AN66" i="18" s="1"/>
  <c r="G35" i="18"/>
  <c r="AN72" i="18" s="1"/>
  <c r="G27" i="18"/>
  <c r="AN64" i="18" s="1"/>
  <c r="F23" i="18"/>
  <c r="AN47" i="18" s="1"/>
  <c r="F31" i="18"/>
  <c r="AN55" i="18" s="1"/>
  <c r="F35" i="18"/>
  <c r="AN59" i="18" s="1"/>
  <c r="F29" i="18"/>
  <c r="AN53" i="18" s="1"/>
  <c r="F24" i="18"/>
  <c r="AN48" i="18" s="1"/>
  <c r="F27" i="18"/>
  <c r="AN51" i="18" s="1"/>
  <c r="E27" i="18"/>
  <c r="AN35" i="18" s="1"/>
  <c r="E35" i="18"/>
  <c r="AN46" i="18" s="1"/>
  <c r="E31" i="18"/>
  <c r="AN42" i="18" s="1"/>
  <c r="E29" i="18"/>
  <c r="AN40" i="18" s="1"/>
  <c r="E24" i="18"/>
  <c r="AN32" i="18" s="1"/>
  <c r="E23" i="18"/>
  <c r="AN31" i="18" s="1"/>
  <c r="D27" i="18"/>
  <c r="AN22" i="18" s="1"/>
  <c r="D23" i="18"/>
  <c r="AN18" i="18" s="1"/>
  <c r="D29" i="18"/>
  <c r="AN24" i="18" s="1"/>
  <c r="D35" i="18"/>
  <c r="AN30" i="18" s="1"/>
  <c r="D24" i="18"/>
  <c r="AN19" i="18" s="1"/>
  <c r="C27" i="18"/>
  <c r="AN9" i="18" s="1"/>
  <c r="C24" i="18"/>
  <c r="AN6" i="18" s="1"/>
  <c r="C35" i="18"/>
  <c r="AN17" i="18" s="1"/>
  <c r="C29" i="18"/>
  <c r="AN11" i="18" s="1"/>
  <c r="O64" i="58"/>
  <c r="O37" i="17"/>
  <c r="N62" i="58"/>
  <c r="M71" i="10"/>
  <c r="M71" i="11"/>
  <c r="M73" i="38"/>
  <c r="M75" i="38" s="1"/>
  <c r="M83" i="38" s="1"/>
  <c r="M84" i="38" s="1"/>
  <c r="M74" i="47"/>
  <c r="M76" i="47" s="1"/>
  <c r="M84" i="47" s="1"/>
  <c r="M85" i="47" s="1"/>
  <c r="M73" i="15"/>
  <c r="M75" i="15" s="1"/>
  <c r="M83" i="15" s="1"/>
  <c r="M84" i="15" s="1"/>
  <c r="M74" i="45"/>
  <c r="M76" i="45" s="1"/>
  <c r="M84" i="45" s="1"/>
  <c r="M85" i="45" s="1"/>
  <c r="M76" i="23"/>
  <c r="M84" i="23" s="1"/>
  <c r="M85" i="23" s="1"/>
  <c r="M75" i="11"/>
  <c r="M75" i="43"/>
  <c r="M83" i="43" s="1"/>
  <c r="M84" i="43" s="1"/>
  <c r="N75" i="23"/>
  <c r="M67" i="11"/>
  <c r="N74" i="10"/>
  <c r="N73" i="10"/>
  <c r="M75" i="50"/>
  <c r="M83" i="50" s="1"/>
  <c r="M84" i="50" s="1"/>
  <c r="N74" i="43"/>
  <c r="O63" i="10"/>
  <c r="O78" i="10" s="1"/>
  <c r="O63" i="11"/>
  <c r="O78" i="11" s="1"/>
  <c r="O63" i="50"/>
  <c r="O78" i="50" s="1"/>
  <c r="O64" i="47"/>
  <c r="O79" i="47" s="1"/>
  <c r="O63" i="38"/>
  <c r="O78" i="38" s="1"/>
  <c r="O63" i="43"/>
  <c r="O78" i="43" s="1"/>
  <c r="O64" i="45"/>
  <c r="O79" i="45" s="1"/>
  <c r="O63" i="13"/>
  <c r="O78" i="13" s="1"/>
  <c r="O64" i="23"/>
  <c r="O79" i="23" s="1"/>
  <c r="O64" i="12"/>
  <c r="O63" i="15"/>
  <c r="O78" i="15" s="1"/>
  <c r="N75" i="12"/>
  <c r="N74" i="38"/>
  <c r="N74" i="15"/>
  <c r="N75" i="47"/>
  <c r="M75" i="13"/>
  <c r="M83" i="13" s="1"/>
  <c r="M84" i="13" s="1"/>
  <c r="N74" i="50"/>
  <c r="O62" i="11"/>
  <c r="O63" i="47"/>
  <c r="O62" i="38"/>
  <c r="O62" i="43"/>
  <c r="O63" i="45"/>
  <c r="O62" i="13"/>
  <c r="O63" i="23"/>
  <c r="O62" i="15"/>
  <c r="O62" i="50"/>
  <c r="O63" i="12"/>
  <c r="O79" i="12" s="1"/>
  <c r="N74" i="13"/>
  <c r="N61" i="10"/>
  <c r="N77" i="10" s="1"/>
  <c r="N79" i="10" s="1"/>
  <c r="N61" i="11"/>
  <c r="N77" i="11" s="1"/>
  <c r="N79" i="11" s="1"/>
  <c r="N61" i="38"/>
  <c r="N61" i="43"/>
  <c r="N77" i="43" s="1"/>
  <c r="N79" i="43" s="1"/>
  <c r="N62" i="45"/>
  <c r="N78" i="45" s="1"/>
  <c r="N80" i="45" s="1"/>
  <c r="N61" i="50"/>
  <c r="N62" i="23"/>
  <c r="N78" i="23" s="1"/>
  <c r="N80" i="23" s="1"/>
  <c r="N61" i="15"/>
  <c r="N61" i="13"/>
  <c r="N77" i="13" s="1"/>
  <c r="N79" i="13" s="1"/>
  <c r="N62" i="12"/>
  <c r="N62" i="47"/>
  <c r="N78" i="47" s="1"/>
  <c r="N80" i="47" s="1"/>
  <c r="N75" i="45"/>
  <c r="N74" i="11"/>
  <c r="N74" i="47"/>
  <c r="N74" i="12"/>
  <c r="N73" i="38"/>
  <c r="M68" i="12"/>
  <c r="N73" i="15"/>
  <c r="O60" i="11"/>
  <c r="O60" i="43"/>
  <c r="O61" i="45"/>
  <c r="O60" i="50"/>
  <c r="O61" i="47"/>
  <c r="O60" i="13"/>
  <c r="O60" i="15"/>
  <c r="O61" i="12"/>
  <c r="O78" i="12" s="1"/>
  <c r="O60" i="38"/>
  <c r="O61" i="23"/>
  <c r="N73" i="13"/>
  <c r="N74" i="45"/>
  <c r="N73" i="50"/>
  <c r="N74" i="23"/>
  <c r="N73" i="43"/>
  <c r="N73" i="11"/>
  <c r="M67" i="10"/>
  <c r="M75" i="10"/>
  <c r="O62" i="10"/>
  <c r="P19" i="17"/>
  <c r="P63" i="58" s="1"/>
  <c r="O60" i="10"/>
  <c r="P2" i="38"/>
  <c r="P42" i="38" s="1"/>
  <c r="P43" i="38" s="1"/>
  <c r="P2" i="10"/>
  <c r="P42" i="10" s="1"/>
  <c r="P43" i="10" s="1"/>
  <c r="Q2" i="58"/>
  <c r="Q43" i="58" s="1"/>
  <c r="Q44" i="58" s="1"/>
  <c r="P2" i="12"/>
  <c r="P43" i="12" s="1"/>
  <c r="P44" i="12" s="1"/>
  <c r="P2" i="47"/>
  <c r="P43" i="47" s="1"/>
  <c r="P44" i="47" s="1"/>
  <c r="P2" i="13"/>
  <c r="P42" i="13" s="1"/>
  <c r="P43" i="13" s="1"/>
  <c r="P2" i="50"/>
  <c r="P42" i="50" s="1"/>
  <c r="P43" i="50" s="1"/>
  <c r="P2" i="23"/>
  <c r="P43" i="23" s="1"/>
  <c r="P44" i="23" s="1"/>
  <c r="P2" i="15"/>
  <c r="P42" i="15" s="1"/>
  <c r="P43" i="15" s="1"/>
  <c r="P2" i="45"/>
  <c r="P43" i="45" s="1"/>
  <c r="P44" i="45" s="1"/>
  <c r="P2" i="11"/>
  <c r="P42" i="11" s="1"/>
  <c r="P43" i="11" s="1"/>
  <c r="P2" i="43"/>
  <c r="P42" i="43" s="1"/>
  <c r="P43" i="43" s="1"/>
  <c r="AO169" i="18"/>
  <c r="X45" i="23"/>
  <c r="X47" i="23"/>
  <c r="X49" i="23"/>
  <c r="P20" i="17"/>
  <c r="X48" i="23"/>
  <c r="B49" i="38"/>
  <c r="AO143" i="18"/>
  <c r="O53" i="18" s="1"/>
  <c r="X46" i="23"/>
  <c r="O18" i="17"/>
  <c r="O36" i="17" s="1"/>
  <c r="C23" i="18" l="1"/>
  <c r="AN5" i="18" s="1"/>
  <c r="P16" i="60"/>
  <c r="R16" i="60"/>
  <c r="O84" i="58"/>
  <c r="O85" i="58" s="1"/>
  <c r="M84" i="12"/>
  <c r="M85" i="12" s="1"/>
  <c r="M83" i="11"/>
  <c r="M84" i="11" s="1"/>
  <c r="O38" i="17"/>
  <c r="P79" i="58"/>
  <c r="P80" i="58" s="1"/>
  <c r="P75" i="58"/>
  <c r="P76" i="58" s="1"/>
  <c r="O80" i="12"/>
  <c r="M83" i="10"/>
  <c r="M84" i="10" s="1"/>
  <c r="N77" i="50"/>
  <c r="N79" i="50" s="1"/>
  <c r="AO104" i="18"/>
  <c r="M53" i="18" s="1"/>
  <c r="N77" i="38"/>
  <c r="N79" i="38" s="1"/>
  <c r="N77" i="15"/>
  <c r="N79" i="15" s="1"/>
  <c r="C31" i="18"/>
  <c r="AN13" i="18" s="1"/>
  <c r="P64" i="58"/>
  <c r="P37" i="17"/>
  <c r="O62" i="58"/>
  <c r="N71" i="11"/>
  <c r="N71" i="10"/>
  <c r="N76" i="23"/>
  <c r="N84" i="23" s="1"/>
  <c r="N85" i="23" s="1"/>
  <c r="N76" i="12"/>
  <c r="N68" i="12"/>
  <c r="N76" i="45"/>
  <c r="N84" i="45" s="1"/>
  <c r="N85" i="45" s="1"/>
  <c r="N67" i="11"/>
  <c r="N75" i="13"/>
  <c r="N83" i="13" s="1"/>
  <c r="N84" i="13" s="1"/>
  <c r="N75" i="50"/>
  <c r="N75" i="11"/>
  <c r="O75" i="23"/>
  <c r="O74" i="10"/>
  <c r="N75" i="15"/>
  <c r="O73" i="10"/>
  <c r="N75" i="38"/>
  <c r="O75" i="45"/>
  <c r="O74" i="11"/>
  <c r="O74" i="13"/>
  <c r="P63" i="10"/>
  <c r="P78" i="10" s="1"/>
  <c r="P63" i="11"/>
  <c r="P78" i="11" s="1"/>
  <c r="P63" i="50"/>
  <c r="P78" i="50" s="1"/>
  <c r="P64" i="47"/>
  <c r="P79" i="47" s="1"/>
  <c r="P63" i="38"/>
  <c r="P78" i="38" s="1"/>
  <c r="P63" i="43"/>
  <c r="P78" i="43" s="1"/>
  <c r="P64" i="45"/>
  <c r="P79" i="45" s="1"/>
  <c r="P63" i="13"/>
  <c r="P78" i="13" s="1"/>
  <c r="P64" i="23"/>
  <c r="P79" i="23" s="1"/>
  <c r="P63" i="15"/>
  <c r="P78" i="15" s="1"/>
  <c r="P64" i="12"/>
  <c r="O75" i="12"/>
  <c r="N75" i="43"/>
  <c r="N83" i="43" s="1"/>
  <c r="N84" i="43" s="1"/>
  <c r="O74" i="50"/>
  <c r="O74" i="43"/>
  <c r="N76" i="47"/>
  <c r="N84" i="47" s="1"/>
  <c r="N85" i="47" s="1"/>
  <c r="O74" i="38"/>
  <c r="O75" i="47"/>
  <c r="O61" i="10"/>
  <c r="O77" i="10" s="1"/>
  <c r="O79" i="10" s="1"/>
  <c r="O61" i="11"/>
  <c r="O77" i="11" s="1"/>
  <c r="O79" i="11" s="1"/>
  <c r="O61" i="43"/>
  <c r="O77" i="43" s="1"/>
  <c r="O79" i="43" s="1"/>
  <c r="O62" i="45"/>
  <c r="O78" i="45" s="1"/>
  <c r="O80" i="45" s="1"/>
  <c r="O62" i="47"/>
  <c r="O78" i="47" s="1"/>
  <c r="O80" i="47" s="1"/>
  <c r="O62" i="23"/>
  <c r="O78" i="23" s="1"/>
  <c r="O80" i="23" s="1"/>
  <c r="O61" i="15"/>
  <c r="O61" i="50"/>
  <c r="O61" i="38"/>
  <c r="O61" i="13"/>
  <c r="O77" i="13" s="1"/>
  <c r="O79" i="13" s="1"/>
  <c r="O62" i="12"/>
  <c r="P62" i="11"/>
  <c r="P62" i="38"/>
  <c r="P62" i="43"/>
  <c r="P63" i="45"/>
  <c r="P62" i="50"/>
  <c r="P63" i="23"/>
  <c r="P62" i="15"/>
  <c r="P63" i="47"/>
  <c r="P62" i="13"/>
  <c r="P63" i="12"/>
  <c r="P79" i="12" s="1"/>
  <c r="O74" i="15"/>
  <c r="O73" i="13"/>
  <c r="O73" i="50"/>
  <c r="O73" i="43"/>
  <c r="O74" i="23"/>
  <c r="O73" i="15"/>
  <c r="O73" i="38"/>
  <c r="O74" i="45"/>
  <c r="P60" i="11"/>
  <c r="P61" i="45"/>
  <c r="P60" i="50"/>
  <c r="P61" i="47"/>
  <c r="P60" i="38"/>
  <c r="P60" i="43"/>
  <c r="P61" i="12"/>
  <c r="P78" i="12" s="1"/>
  <c r="P60" i="13"/>
  <c r="P61" i="23"/>
  <c r="P60" i="15"/>
  <c r="O74" i="12"/>
  <c r="O74" i="47"/>
  <c r="O73" i="11"/>
  <c r="N67" i="10"/>
  <c r="N75" i="10"/>
  <c r="P60" i="10"/>
  <c r="P62" i="10"/>
  <c r="Q19" i="17"/>
  <c r="Q63" i="58" s="1"/>
  <c r="Q2" i="47"/>
  <c r="Q43" i="47" s="1"/>
  <c r="Q44" i="47" s="1"/>
  <c r="Q2" i="15"/>
  <c r="Q42" i="15" s="1"/>
  <c r="Q43" i="15" s="1"/>
  <c r="Q2" i="43"/>
  <c r="Q42" i="43" s="1"/>
  <c r="Q43" i="43" s="1"/>
  <c r="Q2" i="13"/>
  <c r="Q42" i="13" s="1"/>
  <c r="Q43" i="13" s="1"/>
  <c r="Q2" i="12"/>
  <c r="Q43" i="12" s="1"/>
  <c r="Q44" i="12" s="1"/>
  <c r="Q2" i="38"/>
  <c r="Q42" i="38" s="1"/>
  <c r="Q43" i="38" s="1"/>
  <c r="Q2" i="11"/>
  <c r="Q42" i="11" s="1"/>
  <c r="Q43" i="11" s="1"/>
  <c r="Q2" i="10"/>
  <c r="Q42" i="10" s="1"/>
  <c r="Q43" i="10" s="1"/>
  <c r="Q2" i="50"/>
  <c r="Q42" i="50" s="1"/>
  <c r="Q43" i="50" s="1"/>
  <c r="Q2" i="23"/>
  <c r="Q43" i="23" s="1"/>
  <c r="Q44" i="23" s="1"/>
  <c r="R2" i="58"/>
  <c r="R43" i="58" s="1"/>
  <c r="R44" i="58" s="1"/>
  <c r="Q2" i="45"/>
  <c r="Q43" i="45" s="1"/>
  <c r="Q44" i="45" s="1"/>
  <c r="O47" i="23"/>
  <c r="P18" i="17"/>
  <c r="P36" i="17" s="1"/>
  <c r="O46" i="23"/>
  <c r="Z49" i="23"/>
  <c r="Y49" i="23"/>
  <c r="U47" i="23"/>
  <c r="T47" i="23"/>
  <c r="U48" i="23"/>
  <c r="T48" i="23"/>
  <c r="Y45" i="23"/>
  <c r="O49" i="23"/>
  <c r="Y46" i="23"/>
  <c r="Q20" i="17"/>
  <c r="I12" i="60"/>
  <c r="O48" i="23"/>
  <c r="Y48" i="23"/>
  <c r="Y47" i="23"/>
  <c r="U45" i="23"/>
  <c r="T45" i="23"/>
  <c r="N84" i="12" l="1"/>
  <c r="N85" i="12" s="1"/>
  <c r="N83" i="50"/>
  <c r="N84" i="50" s="1"/>
  <c r="P80" i="12"/>
  <c r="P38" i="17"/>
  <c r="Q79" i="58"/>
  <c r="Q80" i="58" s="1"/>
  <c r="Q75" i="58"/>
  <c r="Q76" i="58" s="1"/>
  <c r="N83" i="38"/>
  <c r="N84" i="38" s="1"/>
  <c r="P84" i="58"/>
  <c r="P85" i="58" s="1"/>
  <c r="N83" i="15"/>
  <c r="N84" i="15" s="1"/>
  <c r="N83" i="11"/>
  <c r="N84" i="11" s="1"/>
  <c r="N83" i="10"/>
  <c r="N84" i="10" s="1"/>
  <c r="O77" i="50"/>
  <c r="O79" i="50" s="1"/>
  <c r="O77" i="38"/>
  <c r="O79" i="38" s="1"/>
  <c r="O77" i="15"/>
  <c r="O79" i="15" s="1"/>
  <c r="Q64" i="58"/>
  <c r="Q37" i="17"/>
  <c r="P62" i="58"/>
  <c r="O71" i="10"/>
  <c r="O71" i="11"/>
  <c r="O75" i="50"/>
  <c r="O76" i="45"/>
  <c r="O84" i="45" s="1"/>
  <c r="O85" i="45" s="1"/>
  <c r="O76" i="23"/>
  <c r="O84" i="23" s="1"/>
  <c r="O85" i="23" s="1"/>
  <c r="O76" i="12"/>
  <c r="O75" i="11"/>
  <c r="O67" i="11"/>
  <c r="O76" i="47"/>
  <c r="O84" i="47" s="1"/>
  <c r="O85" i="47" s="1"/>
  <c r="O75" i="43"/>
  <c r="O83" i="43" s="1"/>
  <c r="O84" i="43" s="1"/>
  <c r="O75" i="38"/>
  <c r="O75" i="10"/>
  <c r="P75" i="23"/>
  <c r="O75" i="15"/>
  <c r="O68" i="12"/>
  <c r="P74" i="10"/>
  <c r="P73" i="10"/>
  <c r="P75" i="47"/>
  <c r="P74" i="15"/>
  <c r="Z45" i="23"/>
  <c r="P74" i="50"/>
  <c r="P74" i="11"/>
  <c r="O75" i="13"/>
  <c r="O83" i="13" s="1"/>
  <c r="O84" i="13" s="1"/>
  <c r="P75" i="12"/>
  <c r="N12" i="60"/>
  <c r="P61" i="10"/>
  <c r="P77" i="10" s="1"/>
  <c r="P79" i="10" s="1"/>
  <c r="P61" i="11"/>
  <c r="P77" i="11" s="1"/>
  <c r="P79" i="11" s="1"/>
  <c r="P62" i="45"/>
  <c r="P78" i="45" s="1"/>
  <c r="P80" i="45" s="1"/>
  <c r="P61" i="50"/>
  <c r="P61" i="38"/>
  <c r="P61" i="43"/>
  <c r="P77" i="43" s="1"/>
  <c r="P79" i="43" s="1"/>
  <c r="P61" i="13"/>
  <c r="P77" i="13" s="1"/>
  <c r="P79" i="13" s="1"/>
  <c r="P62" i="23"/>
  <c r="P78" i="23" s="1"/>
  <c r="P80" i="23" s="1"/>
  <c r="P62" i="12"/>
  <c r="P62" i="47"/>
  <c r="P78" i="47" s="1"/>
  <c r="P80" i="47" s="1"/>
  <c r="P61" i="15"/>
  <c r="I28" i="18"/>
  <c r="AN104" i="18" s="1"/>
  <c r="Q62" i="11"/>
  <c r="Q62" i="43"/>
  <c r="Q63" i="45"/>
  <c r="Q63" i="47"/>
  <c r="Q63" i="23"/>
  <c r="Q62" i="15"/>
  <c r="Q62" i="38"/>
  <c r="Q62" i="50"/>
  <c r="Q63" i="12"/>
  <c r="Q79" i="12" s="1"/>
  <c r="Q62" i="13"/>
  <c r="Z47" i="23"/>
  <c r="P75" i="45"/>
  <c r="L12" i="60"/>
  <c r="Z48" i="23"/>
  <c r="Z46" i="23"/>
  <c r="P74" i="13"/>
  <c r="P74" i="43"/>
  <c r="P74" i="38"/>
  <c r="Q63" i="10"/>
  <c r="Q78" i="10" s="1"/>
  <c r="Q63" i="11"/>
  <c r="Q78" i="11" s="1"/>
  <c r="Q64" i="47"/>
  <c r="Q79" i="47" s="1"/>
  <c r="Q63" i="38"/>
  <c r="Q78" i="38" s="1"/>
  <c r="Q63" i="43"/>
  <c r="Q78" i="43" s="1"/>
  <c r="Q64" i="45"/>
  <c r="Q79" i="45" s="1"/>
  <c r="Q63" i="13"/>
  <c r="Q78" i="13" s="1"/>
  <c r="Q64" i="23"/>
  <c r="Q79" i="23" s="1"/>
  <c r="Q63" i="15"/>
  <c r="Q78" i="15" s="1"/>
  <c r="Q64" i="12"/>
  <c r="Q63" i="50"/>
  <c r="Q78" i="50" s="1"/>
  <c r="P73" i="13"/>
  <c r="P73" i="38"/>
  <c r="P74" i="45"/>
  <c r="P73" i="15"/>
  <c r="P74" i="12"/>
  <c r="P74" i="47"/>
  <c r="P73" i="11"/>
  <c r="Q60" i="11"/>
  <c r="Q60" i="50"/>
  <c r="Q61" i="47"/>
  <c r="Q60" i="38"/>
  <c r="Q60" i="43"/>
  <c r="Q61" i="45"/>
  <c r="Q61" i="12"/>
  <c r="Q78" i="12" s="1"/>
  <c r="Q61" i="23"/>
  <c r="Q60" i="15"/>
  <c r="Q60" i="13"/>
  <c r="P74" i="23"/>
  <c r="P73" i="43"/>
  <c r="P73" i="50"/>
  <c r="O67" i="10"/>
  <c r="Q60" i="10"/>
  <c r="Q62" i="10"/>
  <c r="R19" i="17"/>
  <c r="R63" i="58" s="1"/>
  <c r="R2" i="38"/>
  <c r="R42" i="38" s="1"/>
  <c r="R43" i="38" s="1"/>
  <c r="R2" i="50"/>
  <c r="R42" i="50" s="1"/>
  <c r="R43" i="50" s="1"/>
  <c r="R2" i="23"/>
  <c r="R43" i="23" s="1"/>
  <c r="R44" i="23" s="1"/>
  <c r="R2" i="47"/>
  <c r="R43" i="47" s="1"/>
  <c r="R44" i="47" s="1"/>
  <c r="R2" i="13"/>
  <c r="R42" i="13" s="1"/>
  <c r="R43" i="13" s="1"/>
  <c r="R2" i="43"/>
  <c r="R42" i="43" s="1"/>
  <c r="R43" i="43" s="1"/>
  <c r="R2" i="15"/>
  <c r="R42" i="15" s="1"/>
  <c r="R43" i="15" s="1"/>
  <c r="S2" i="58"/>
  <c r="S43" i="58" s="1"/>
  <c r="S44" i="58" s="1"/>
  <c r="R2" i="45"/>
  <c r="R43" i="45" s="1"/>
  <c r="R44" i="45" s="1"/>
  <c r="R2" i="12"/>
  <c r="R43" i="12" s="1"/>
  <c r="R44" i="12" s="1"/>
  <c r="R2" i="11"/>
  <c r="R42" i="11" s="1"/>
  <c r="R43" i="11" s="1"/>
  <c r="R2" i="10"/>
  <c r="R42" i="10" s="1"/>
  <c r="R43" i="10" s="1"/>
  <c r="Q18" i="17"/>
  <c r="Q36" i="17" s="1"/>
  <c r="R20" i="17"/>
  <c r="Q84" i="58" l="1"/>
  <c r="Q85" i="58" s="1"/>
  <c r="O83" i="38"/>
  <c r="O84" i="38" s="1"/>
  <c r="R79" i="58"/>
  <c r="R80" i="58" s="1"/>
  <c r="R75" i="58"/>
  <c r="R76" i="58" s="1"/>
  <c r="Q38" i="17"/>
  <c r="O83" i="10"/>
  <c r="O84" i="10" s="1"/>
  <c r="Q80" i="12"/>
  <c r="O83" i="50"/>
  <c r="O84" i="50" s="1"/>
  <c r="O83" i="15"/>
  <c r="O84" i="15" s="1"/>
  <c r="O84" i="12"/>
  <c r="O85" i="12" s="1"/>
  <c r="O83" i="11"/>
  <c r="O84" i="11" s="1"/>
  <c r="P77" i="50"/>
  <c r="P79" i="50" s="1"/>
  <c r="N28" i="18"/>
  <c r="AN169" i="18" s="1"/>
  <c r="L28" i="18"/>
  <c r="AN143" i="18" s="1"/>
  <c r="P77" i="38"/>
  <c r="P79" i="38" s="1"/>
  <c r="P77" i="15"/>
  <c r="P79" i="15" s="1"/>
  <c r="R64" i="58"/>
  <c r="R37" i="17"/>
  <c r="Q62" i="58"/>
  <c r="P71" i="11"/>
  <c r="P71" i="10"/>
  <c r="C87" i="12"/>
  <c r="P76" i="23"/>
  <c r="P84" i="23" s="1"/>
  <c r="P85" i="23" s="1"/>
  <c r="P75" i="15"/>
  <c r="P75" i="43"/>
  <c r="P83" i="43" s="1"/>
  <c r="P84" i="43" s="1"/>
  <c r="P67" i="11"/>
  <c r="P67" i="10"/>
  <c r="P76" i="45"/>
  <c r="P84" i="45" s="1"/>
  <c r="P85" i="45" s="1"/>
  <c r="P76" i="12"/>
  <c r="Q74" i="10"/>
  <c r="P76" i="47"/>
  <c r="P84" i="47" s="1"/>
  <c r="P85" i="47" s="1"/>
  <c r="Q73" i="10"/>
  <c r="P75" i="38"/>
  <c r="P75" i="13"/>
  <c r="P83" i="13" s="1"/>
  <c r="P84" i="13" s="1"/>
  <c r="P75" i="50"/>
  <c r="P68" i="12"/>
  <c r="Q74" i="43"/>
  <c r="R62" i="11"/>
  <c r="R63" i="45"/>
  <c r="R62" i="50"/>
  <c r="R62" i="38"/>
  <c r="R63" i="47"/>
  <c r="R62" i="43"/>
  <c r="R63" i="23"/>
  <c r="R62" i="13"/>
  <c r="R63" i="12"/>
  <c r="R79" i="12" s="1"/>
  <c r="R62" i="15"/>
  <c r="Q74" i="50"/>
  <c r="R63" i="10"/>
  <c r="R78" i="10" s="1"/>
  <c r="R63" i="11"/>
  <c r="R78" i="11" s="1"/>
  <c r="R63" i="38"/>
  <c r="R78" i="38" s="1"/>
  <c r="R63" i="43"/>
  <c r="R78" i="43" s="1"/>
  <c r="R64" i="45"/>
  <c r="R79" i="45" s="1"/>
  <c r="R63" i="50"/>
  <c r="R78" i="50" s="1"/>
  <c r="R64" i="23"/>
  <c r="R79" i="23" s="1"/>
  <c r="R63" i="15"/>
  <c r="R78" i="15" s="1"/>
  <c r="R64" i="47"/>
  <c r="R79" i="47" s="1"/>
  <c r="R64" i="12"/>
  <c r="R63" i="13"/>
  <c r="R78" i="13" s="1"/>
  <c r="Q74" i="38"/>
  <c r="P75" i="11"/>
  <c r="Q74" i="15"/>
  <c r="Q75" i="23"/>
  <c r="Q74" i="11"/>
  <c r="Q74" i="13"/>
  <c r="Q75" i="47"/>
  <c r="Q61" i="10"/>
  <c r="Q61" i="11"/>
  <c r="Q77" i="11" s="1"/>
  <c r="Q79" i="11" s="1"/>
  <c r="Q61" i="50"/>
  <c r="Q62" i="47"/>
  <c r="Q78" i="47" s="1"/>
  <c r="Q80" i="47" s="1"/>
  <c r="Q61" i="43"/>
  <c r="Q77" i="43" s="1"/>
  <c r="Q79" i="43" s="1"/>
  <c r="Q62" i="45"/>
  <c r="Q78" i="45" s="1"/>
  <c r="Q80" i="45" s="1"/>
  <c r="Q61" i="38"/>
  <c r="Q62" i="23"/>
  <c r="Q78" i="23" s="1"/>
  <c r="Q80" i="23" s="1"/>
  <c r="Q61" i="13"/>
  <c r="Q77" i="13" s="1"/>
  <c r="Q79" i="13" s="1"/>
  <c r="Q62" i="12"/>
  <c r="Q61" i="15"/>
  <c r="Q75" i="12"/>
  <c r="Q75" i="45"/>
  <c r="R60" i="11"/>
  <c r="R61" i="47"/>
  <c r="R60" i="38"/>
  <c r="R60" i="43"/>
  <c r="R61" i="45"/>
  <c r="R61" i="23"/>
  <c r="R60" i="15"/>
  <c r="R60" i="13"/>
  <c r="R60" i="50"/>
  <c r="R61" i="12"/>
  <c r="R78" i="12" s="1"/>
  <c r="Q74" i="23"/>
  <c r="Q74" i="45"/>
  <c r="Q74" i="47"/>
  <c r="Q73" i="43"/>
  <c r="Q73" i="50"/>
  <c r="Q73" i="15"/>
  <c r="Q73" i="13"/>
  <c r="Q74" i="12"/>
  <c r="Q73" i="38"/>
  <c r="Q73" i="11"/>
  <c r="P75" i="10"/>
  <c r="Q71" i="10"/>
  <c r="R60" i="10"/>
  <c r="R62" i="10"/>
  <c r="S19" i="17"/>
  <c r="S63" i="58" s="1"/>
  <c r="S2" i="43"/>
  <c r="S42" i="43" s="1"/>
  <c r="S43" i="43" s="1"/>
  <c r="S2" i="11"/>
  <c r="S42" i="11" s="1"/>
  <c r="S43" i="11" s="1"/>
  <c r="S2" i="13"/>
  <c r="S42" i="13" s="1"/>
  <c r="S43" i="13" s="1"/>
  <c r="S2" i="38"/>
  <c r="S42" i="38" s="1"/>
  <c r="S43" i="38" s="1"/>
  <c r="S2" i="10"/>
  <c r="S42" i="10" s="1"/>
  <c r="S43" i="10" s="1"/>
  <c r="S2" i="23"/>
  <c r="S43" i="23" s="1"/>
  <c r="S44" i="23" s="1"/>
  <c r="S2" i="45"/>
  <c r="S43" i="45" s="1"/>
  <c r="S44" i="45" s="1"/>
  <c r="S2" i="15"/>
  <c r="S42" i="15" s="1"/>
  <c r="S43" i="15" s="1"/>
  <c r="S2" i="50"/>
  <c r="S42" i="50" s="1"/>
  <c r="S43" i="50" s="1"/>
  <c r="S2" i="47"/>
  <c r="S43" i="47" s="1"/>
  <c r="S44" i="47" s="1"/>
  <c r="S2" i="12"/>
  <c r="S43" i="12" s="1"/>
  <c r="S44" i="12" s="1"/>
  <c r="R18" i="17"/>
  <c r="R36" i="17" s="1"/>
  <c r="S20" i="17"/>
  <c r="R80" i="12" l="1"/>
  <c r="R84" i="58"/>
  <c r="R85" i="58" s="1"/>
  <c r="P83" i="15"/>
  <c r="P84" i="15" s="1"/>
  <c r="R38" i="17"/>
  <c r="P83" i="50"/>
  <c r="P84" i="50" s="1"/>
  <c r="P83" i="11"/>
  <c r="P84" i="11" s="1"/>
  <c r="S79" i="58"/>
  <c r="S80" i="58" s="1"/>
  <c r="S75" i="58"/>
  <c r="S76" i="58" s="1"/>
  <c r="P83" i="38"/>
  <c r="P84" i="38" s="1"/>
  <c r="P84" i="12"/>
  <c r="P85" i="12" s="1"/>
  <c r="P83" i="10"/>
  <c r="P84" i="10" s="1"/>
  <c r="Q77" i="50"/>
  <c r="Q79" i="50" s="1"/>
  <c r="Q77" i="38"/>
  <c r="Q79" i="38" s="1"/>
  <c r="Q77" i="15"/>
  <c r="Q79" i="15" s="1"/>
  <c r="Q77" i="10"/>
  <c r="Q79" i="10" s="1"/>
  <c r="U2" i="58"/>
  <c r="U43" i="58" s="1"/>
  <c r="U44" i="58" s="1"/>
  <c r="T2" i="58"/>
  <c r="T43" i="58" s="1"/>
  <c r="T44" i="58" s="1"/>
  <c r="S64" i="58"/>
  <c r="S37" i="17"/>
  <c r="R62" i="58"/>
  <c r="Q71" i="11"/>
  <c r="Q75" i="50"/>
  <c r="Q75" i="43"/>
  <c r="Q83" i="43" s="1"/>
  <c r="Q84" i="43" s="1"/>
  <c r="Q75" i="38"/>
  <c r="Q76" i="12"/>
  <c r="Q76" i="23"/>
  <c r="Q84" i="23" s="1"/>
  <c r="Q85" i="23" s="1"/>
  <c r="Q76" i="45"/>
  <c r="Q84" i="45" s="1"/>
  <c r="Q85" i="45" s="1"/>
  <c r="Q75" i="15"/>
  <c r="Q75" i="13"/>
  <c r="Q83" i="13" s="1"/>
  <c r="Q84" i="13" s="1"/>
  <c r="Q75" i="11"/>
  <c r="Q75" i="10"/>
  <c r="Q67" i="11"/>
  <c r="Q76" i="47"/>
  <c r="Q84" i="47" s="1"/>
  <c r="Q85" i="47" s="1"/>
  <c r="R74" i="10"/>
  <c r="R73" i="10"/>
  <c r="S62" i="11"/>
  <c r="S62" i="50"/>
  <c r="S63" i="47"/>
  <c r="S62" i="43"/>
  <c r="S63" i="45"/>
  <c r="S62" i="38"/>
  <c r="S63" i="23"/>
  <c r="S62" i="15"/>
  <c r="S62" i="13"/>
  <c r="S63" i="12"/>
  <c r="S79" i="12" s="1"/>
  <c r="S63" i="10"/>
  <c r="S78" i="10" s="1"/>
  <c r="S63" i="11"/>
  <c r="S78" i="11" s="1"/>
  <c r="S63" i="43"/>
  <c r="S78" i="43" s="1"/>
  <c r="S64" i="45"/>
  <c r="S79" i="45" s="1"/>
  <c r="S64" i="47"/>
  <c r="S79" i="47" s="1"/>
  <c r="S64" i="23"/>
  <c r="S79" i="23" s="1"/>
  <c r="S63" i="15"/>
  <c r="S78" i="15" s="1"/>
  <c r="S63" i="38"/>
  <c r="S78" i="38" s="1"/>
  <c r="S63" i="50"/>
  <c r="S78" i="50" s="1"/>
  <c r="S63" i="13"/>
  <c r="S78" i="13" s="1"/>
  <c r="S64" i="12"/>
  <c r="Q68" i="12"/>
  <c r="R74" i="43"/>
  <c r="R74" i="11"/>
  <c r="R74" i="15"/>
  <c r="R75" i="47"/>
  <c r="R61" i="10"/>
  <c r="R77" i="10" s="1"/>
  <c r="R79" i="10" s="1"/>
  <c r="R61" i="11"/>
  <c r="R77" i="11" s="1"/>
  <c r="R79" i="11" s="1"/>
  <c r="R61" i="50"/>
  <c r="R62" i="47"/>
  <c r="R78" i="47" s="1"/>
  <c r="R80" i="47" s="1"/>
  <c r="R61" i="38"/>
  <c r="R62" i="45"/>
  <c r="R78" i="45" s="1"/>
  <c r="R80" i="45" s="1"/>
  <c r="R61" i="13"/>
  <c r="R77" i="13" s="1"/>
  <c r="R79" i="13" s="1"/>
  <c r="R61" i="43"/>
  <c r="R77" i="43" s="1"/>
  <c r="R79" i="43" s="1"/>
  <c r="R62" i="23"/>
  <c r="R78" i="23" s="1"/>
  <c r="R80" i="23" s="1"/>
  <c r="R61" i="15"/>
  <c r="R62" i="12"/>
  <c r="R75" i="12"/>
  <c r="R74" i="38"/>
  <c r="R74" i="13"/>
  <c r="R74" i="50"/>
  <c r="R75" i="23"/>
  <c r="R75" i="45"/>
  <c r="R73" i="50"/>
  <c r="R73" i="38"/>
  <c r="R73" i="13"/>
  <c r="R74" i="45"/>
  <c r="R73" i="15"/>
  <c r="R74" i="47"/>
  <c r="R73" i="11"/>
  <c r="S60" i="11"/>
  <c r="S60" i="43"/>
  <c r="S61" i="45"/>
  <c r="S60" i="50"/>
  <c r="S60" i="13"/>
  <c r="S61" i="23"/>
  <c r="S60" i="15"/>
  <c r="S61" i="12"/>
  <c r="S78" i="12" s="1"/>
  <c r="S60" i="38"/>
  <c r="S61" i="47"/>
  <c r="R74" i="12"/>
  <c r="R74" i="23"/>
  <c r="R73" i="43"/>
  <c r="Q67" i="10"/>
  <c r="S60" i="10"/>
  <c r="S62" i="10"/>
  <c r="T19" i="17"/>
  <c r="T63" i="58" s="1"/>
  <c r="T2" i="43"/>
  <c r="T42" i="43" s="1"/>
  <c r="T43" i="43" s="1"/>
  <c r="T2" i="10"/>
  <c r="T42" i="10" s="1"/>
  <c r="T43" i="10" s="1"/>
  <c r="T2" i="50"/>
  <c r="T42" i="50" s="1"/>
  <c r="T43" i="50" s="1"/>
  <c r="T2" i="12"/>
  <c r="T43" i="12" s="1"/>
  <c r="T44" i="12" s="1"/>
  <c r="T2" i="38"/>
  <c r="T42" i="38" s="1"/>
  <c r="T43" i="38" s="1"/>
  <c r="T2" i="11"/>
  <c r="T42" i="11" s="1"/>
  <c r="T43" i="11" s="1"/>
  <c r="T2" i="23"/>
  <c r="T43" i="23" s="1"/>
  <c r="T44" i="23" s="1"/>
  <c r="T2" i="47"/>
  <c r="T43" i="47" s="1"/>
  <c r="T44" i="47" s="1"/>
  <c r="T2" i="13"/>
  <c r="T42" i="13" s="1"/>
  <c r="T43" i="13" s="1"/>
  <c r="T2" i="45"/>
  <c r="T43" i="45" s="1"/>
  <c r="T44" i="45" s="1"/>
  <c r="T2" i="15"/>
  <c r="T42" i="15" s="1"/>
  <c r="T43" i="15" s="1"/>
  <c r="T20" i="17"/>
  <c r="S18" i="17"/>
  <c r="S36" i="17" s="1"/>
  <c r="Q84" i="12" l="1"/>
  <c r="Q85" i="12" s="1"/>
  <c r="S80" i="12"/>
  <c r="Q83" i="38"/>
  <c r="Q84" i="38" s="1"/>
  <c r="S84" i="58"/>
  <c r="S85" i="58" s="1"/>
  <c r="T79" i="58"/>
  <c r="T80" i="58" s="1"/>
  <c r="T75" i="58"/>
  <c r="T76" i="58" s="1"/>
  <c r="S38" i="17"/>
  <c r="Q83" i="50"/>
  <c r="Q84" i="50" s="1"/>
  <c r="Q83" i="15"/>
  <c r="Q84" i="15" s="1"/>
  <c r="Q83" i="11"/>
  <c r="Q84" i="11" s="1"/>
  <c r="Q83" i="10"/>
  <c r="Q84" i="10" s="1"/>
  <c r="R77" i="50"/>
  <c r="R79" i="50" s="1"/>
  <c r="R77" i="38"/>
  <c r="R79" i="38" s="1"/>
  <c r="R77" i="15"/>
  <c r="R79" i="15" s="1"/>
  <c r="T64" i="58"/>
  <c r="T37" i="17"/>
  <c r="S62" i="58"/>
  <c r="R71" i="10"/>
  <c r="R71" i="11"/>
  <c r="R76" i="47"/>
  <c r="R84" i="47" s="1"/>
  <c r="R85" i="47" s="1"/>
  <c r="R75" i="11"/>
  <c r="R76" i="23"/>
  <c r="R84" i="23" s="1"/>
  <c r="R85" i="23" s="1"/>
  <c r="R68" i="12"/>
  <c r="R76" i="45"/>
  <c r="R84" i="45" s="1"/>
  <c r="R85" i="45" s="1"/>
  <c r="R75" i="15"/>
  <c r="S74" i="10"/>
  <c r="R75" i="13"/>
  <c r="R83" i="13" s="1"/>
  <c r="R84" i="13" s="1"/>
  <c r="S73" i="10"/>
  <c r="R67" i="10"/>
  <c r="R67" i="11"/>
  <c r="S74" i="15"/>
  <c r="R75" i="38"/>
  <c r="S75" i="12"/>
  <c r="S75" i="47"/>
  <c r="S74" i="13"/>
  <c r="S74" i="43"/>
  <c r="S75" i="23"/>
  <c r="S74" i="50"/>
  <c r="T62" i="11"/>
  <c r="T62" i="50"/>
  <c r="T63" i="47"/>
  <c r="T62" i="38"/>
  <c r="T63" i="45"/>
  <c r="T62" i="43"/>
  <c r="T62" i="13"/>
  <c r="T63" i="23"/>
  <c r="T63" i="12"/>
  <c r="T79" i="12" s="1"/>
  <c r="T62" i="15"/>
  <c r="R76" i="12"/>
  <c r="R75" i="50"/>
  <c r="S74" i="38"/>
  <c r="S61" i="10"/>
  <c r="S77" i="10" s="1"/>
  <c r="S79" i="10" s="1"/>
  <c r="S61" i="11"/>
  <c r="S77" i="11" s="1"/>
  <c r="S79" i="11" s="1"/>
  <c r="S61" i="50"/>
  <c r="S62" i="47"/>
  <c r="S78" i="47" s="1"/>
  <c r="S80" i="47" s="1"/>
  <c r="S61" i="38"/>
  <c r="S61" i="43"/>
  <c r="S77" i="43" s="1"/>
  <c r="S79" i="43" s="1"/>
  <c r="S61" i="13"/>
  <c r="S77" i="13" s="1"/>
  <c r="S79" i="13" s="1"/>
  <c r="S62" i="45"/>
  <c r="S78" i="45" s="1"/>
  <c r="S80" i="45" s="1"/>
  <c r="S62" i="23"/>
  <c r="S78" i="23" s="1"/>
  <c r="S80" i="23" s="1"/>
  <c r="S62" i="12"/>
  <c r="S61" i="15"/>
  <c r="T63" i="10"/>
  <c r="T78" i="10" s="1"/>
  <c r="T63" i="11"/>
  <c r="T78" i="11" s="1"/>
  <c r="T64" i="45"/>
  <c r="T79" i="45" s="1"/>
  <c r="T63" i="50"/>
  <c r="T78" i="50" s="1"/>
  <c r="T63" i="38"/>
  <c r="T78" i="38" s="1"/>
  <c r="T63" i="43"/>
  <c r="T78" i="43" s="1"/>
  <c r="T64" i="47"/>
  <c r="T79" i="47" s="1"/>
  <c r="T63" i="15"/>
  <c r="T78" i="15" s="1"/>
  <c r="T64" i="12"/>
  <c r="T63" i="13"/>
  <c r="T78" i="13" s="1"/>
  <c r="T64" i="23"/>
  <c r="T79" i="23" s="1"/>
  <c r="R75" i="43"/>
  <c r="R83" i="43" s="1"/>
  <c r="R84" i="43" s="1"/>
  <c r="S75" i="45"/>
  <c r="S74" i="11"/>
  <c r="S73" i="15"/>
  <c r="S73" i="50"/>
  <c r="S73" i="43"/>
  <c r="S74" i="47"/>
  <c r="S74" i="23"/>
  <c r="S73" i="11"/>
  <c r="S73" i="38"/>
  <c r="S73" i="13"/>
  <c r="S74" i="45"/>
  <c r="T60" i="11"/>
  <c r="T61" i="45"/>
  <c r="T60" i="50"/>
  <c r="T61" i="47"/>
  <c r="T60" i="38"/>
  <c r="T61" i="12"/>
  <c r="T78" i="12" s="1"/>
  <c r="T60" i="13"/>
  <c r="T61" i="23"/>
  <c r="T60" i="15"/>
  <c r="T60" i="43"/>
  <c r="S74" i="12"/>
  <c r="R75" i="10"/>
  <c r="T62" i="10"/>
  <c r="U19" i="17"/>
  <c r="U63" i="58" s="1"/>
  <c r="T60" i="10"/>
  <c r="T18" i="17"/>
  <c r="T36" i="17" s="1"/>
  <c r="U20" i="17"/>
  <c r="T84" i="58" l="1"/>
  <c r="T85" i="58" s="1"/>
  <c r="R83" i="15"/>
  <c r="R84" i="15" s="1"/>
  <c r="R83" i="11"/>
  <c r="R84" i="11" s="1"/>
  <c r="T38" i="17"/>
  <c r="U79" i="58"/>
  <c r="U80" i="58" s="1"/>
  <c r="U75" i="58"/>
  <c r="U76" i="58" s="1"/>
  <c r="R83" i="50"/>
  <c r="R84" i="50" s="1"/>
  <c r="R83" i="38"/>
  <c r="R84" i="38" s="1"/>
  <c r="R84" i="12"/>
  <c r="R85" i="12" s="1"/>
  <c r="T80" i="12"/>
  <c r="R83" i="10"/>
  <c r="R84" i="10" s="1"/>
  <c r="S77" i="50"/>
  <c r="S79" i="50" s="1"/>
  <c r="S77" i="38"/>
  <c r="S79" i="38" s="1"/>
  <c r="S77" i="15"/>
  <c r="S79" i="15" s="1"/>
  <c r="U64" i="58"/>
  <c r="U37" i="17"/>
  <c r="T62" i="58"/>
  <c r="S71" i="11"/>
  <c r="S71" i="10"/>
  <c r="S75" i="50"/>
  <c r="S75" i="15"/>
  <c r="S75" i="43"/>
  <c r="S83" i="43" s="1"/>
  <c r="S84" i="43" s="1"/>
  <c r="S75" i="38"/>
  <c r="S76" i="23"/>
  <c r="S84" i="23" s="1"/>
  <c r="S85" i="23" s="1"/>
  <c r="S76" i="47"/>
  <c r="S84" i="47" s="1"/>
  <c r="S85" i="47" s="1"/>
  <c r="S75" i="11"/>
  <c r="S75" i="10"/>
  <c r="S76" i="45"/>
  <c r="S84" i="45" s="1"/>
  <c r="S85" i="45" s="1"/>
  <c r="S67" i="10"/>
  <c r="T74" i="10"/>
  <c r="T73" i="10"/>
  <c r="U62" i="11"/>
  <c r="U62" i="50"/>
  <c r="U63" i="47"/>
  <c r="U62" i="38"/>
  <c r="U62" i="43"/>
  <c r="U63" i="45"/>
  <c r="U62" i="13"/>
  <c r="U63" i="12"/>
  <c r="U79" i="12" s="1"/>
  <c r="U62" i="15"/>
  <c r="U63" i="23"/>
  <c r="S75" i="13"/>
  <c r="S83" i="13" s="1"/>
  <c r="S84" i="13" s="1"/>
  <c r="T74" i="11"/>
  <c r="T61" i="10"/>
  <c r="T77" i="10" s="1"/>
  <c r="T79" i="10" s="1"/>
  <c r="T61" i="11"/>
  <c r="T77" i="11" s="1"/>
  <c r="T79" i="11" s="1"/>
  <c r="T61" i="50"/>
  <c r="T62" i="47"/>
  <c r="T78" i="47" s="1"/>
  <c r="T80" i="47" s="1"/>
  <c r="T61" i="38"/>
  <c r="T61" i="43"/>
  <c r="T77" i="43" s="1"/>
  <c r="T79" i="43" s="1"/>
  <c r="T62" i="45"/>
  <c r="T78" i="45" s="1"/>
  <c r="T80" i="45" s="1"/>
  <c r="T61" i="13"/>
  <c r="T77" i="13" s="1"/>
  <c r="T79" i="13" s="1"/>
  <c r="T62" i="23"/>
  <c r="T78" i="23" s="1"/>
  <c r="T80" i="23" s="1"/>
  <c r="T61" i="15"/>
  <c r="T62" i="12"/>
  <c r="S68" i="12"/>
  <c r="T74" i="15"/>
  <c r="T75" i="45"/>
  <c r="S76" i="12"/>
  <c r="T75" i="12"/>
  <c r="T74" i="38"/>
  <c r="T75" i="23"/>
  <c r="T75" i="47"/>
  <c r="T74" i="43"/>
  <c r="U63" i="10"/>
  <c r="U78" i="10" s="1"/>
  <c r="U63" i="11"/>
  <c r="U78" i="11" s="1"/>
  <c r="U63" i="50"/>
  <c r="U78" i="50" s="1"/>
  <c r="U64" i="47"/>
  <c r="U79" i="47" s="1"/>
  <c r="U63" i="43"/>
  <c r="U78" i="43" s="1"/>
  <c r="U63" i="38"/>
  <c r="U78" i="38" s="1"/>
  <c r="U64" i="45"/>
  <c r="U79" i="45" s="1"/>
  <c r="U63" i="15"/>
  <c r="U78" i="15" s="1"/>
  <c r="U63" i="13"/>
  <c r="U78" i="13" s="1"/>
  <c r="U64" i="12"/>
  <c r="U64" i="23"/>
  <c r="U79" i="23" s="1"/>
  <c r="S67" i="11"/>
  <c r="T74" i="13"/>
  <c r="T74" i="50"/>
  <c r="T73" i="13"/>
  <c r="T74" i="47"/>
  <c r="T73" i="11"/>
  <c r="U60" i="11"/>
  <c r="U60" i="50"/>
  <c r="U61" i="47"/>
  <c r="U60" i="38"/>
  <c r="U60" i="43"/>
  <c r="U61" i="23"/>
  <c r="U60" i="15"/>
  <c r="U60" i="13"/>
  <c r="U61" i="45"/>
  <c r="U61" i="12"/>
  <c r="U78" i="12" s="1"/>
  <c r="U80" i="12" s="1"/>
  <c r="T73" i="43"/>
  <c r="T74" i="12"/>
  <c r="T73" i="50"/>
  <c r="T74" i="23"/>
  <c r="T74" i="45"/>
  <c r="T73" i="15"/>
  <c r="T73" i="38"/>
  <c r="U60" i="10"/>
  <c r="U62" i="10"/>
  <c r="V19" i="17"/>
  <c r="V63" i="58" s="1"/>
  <c r="U18" i="17"/>
  <c r="U36" i="17" s="1"/>
  <c r="V20" i="17"/>
  <c r="U84" i="58" l="1"/>
  <c r="U85" i="58" s="1"/>
  <c r="U38" i="17"/>
  <c r="V79" i="58"/>
  <c r="V80" i="58" s="1"/>
  <c r="V75" i="58"/>
  <c r="V76" i="58" s="1"/>
  <c r="S83" i="38"/>
  <c r="S84" i="38" s="1"/>
  <c r="S83" i="50"/>
  <c r="S84" i="50" s="1"/>
  <c r="S83" i="15"/>
  <c r="S84" i="15" s="1"/>
  <c r="S84" i="12"/>
  <c r="S85" i="12" s="1"/>
  <c r="S83" i="11"/>
  <c r="S84" i="11" s="1"/>
  <c r="S83" i="10"/>
  <c r="S84" i="10" s="1"/>
  <c r="T77" i="50"/>
  <c r="T79" i="50" s="1"/>
  <c r="T77" i="38"/>
  <c r="T79" i="38" s="1"/>
  <c r="T77" i="15"/>
  <c r="T79" i="15" s="1"/>
  <c r="V64" i="58"/>
  <c r="V37" i="17"/>
  <c r="U62" i="58"/>
  <c r="T71" i="11"/>
  <c r="T71" i="10"/>
  <c r="T76" i="23"/>
  <c r="T84" i="23" s="1"/>
  <c r="T85" i="23" s="1"/>
  <c r="T76" i="45"/>
  <c r="T84" i="45" s="1"/>
  <c r="T85" i="45" s="1"/>
  <c r="T75" i="43"/>
  <c r="T83" i="43" s="1"/>
  <c r="T84" i="43" s="1"/>
  <c r="T76" i="12"/>
  <c r="T75" i="10"/>
  <c r="T75" i="38"/>
  <c r="T75" i="13"/>
  <c r="T83" i="13" s="1"/>
  <c r="T84" i="13" s="1"/>
  <c r="T68" i="12"/>
  <c r="T75" i="11"/>
  <c r="U74" i="10"/>
  <c r="U73" i="10"/>
  <c r="T75" i="50"/>
  <c r="U75" i="23"/>
  <c r="U74" i="43"/>
  <c r="T67" i="11"/>
  <c r="U74" i="15"/>
  <c r="U74" i="38"/>
  <c r="V63" i="10"/>
  <c r="V78" i="10" s="1"/>
  <c r="V63" i="11"/>
  <c r="V78" i="11" s="1"/>
  <c r="V63" i="50"/>
  <c r="V78" i="50" s="1"/>
  <c r="V64" i="47"/>
  <c r="V79" i="47" s="1"/>
  <c r="V63" i="38"/>
  <c r="V78" i="38" s="1"/>
  <c r="V64" i="45"/>
  <c r="V79" i="45" s="1"/>
  <c r="V63" i="13"/>
  <c r="V78" i="13" s="1"/>
  <c r="V63" i="15"/>
  <c r="V78" i="15" s="1"/>
  <c r="V64" i="12"/>
  <c r="V63" i="43"/>
  <c r="V78" i="43" s="1"/>
  <c r="V64" i="23"/>
  <c r="V79" i="23" s="1"/>
  <c r="U61" i="10"/>
  <c r="U77" i="10" s="1"/>
  <c r="U79" i="10" s="1"/>
  <c r="U61" i="11"/>
  <c r="U77" i="11" s="1"/>
  <c r="U79" i="11" s="1"/>
  <c r="U62" i="47"/>
  <c r="U78" i="47" s="1"/>
  <c r="U80" i="47" s="1"/>
  <c r="U61" i="38"/>
  <c r="U61" i="43"/>
  <c r="U77" i="43" s="1"/>
  <c r="U79" i="43" s="1"/>
  <c r="U62" i="45"/>
  <c r="U78" i="45" s="1"/>
  <c r="U80" i="45" s="1"/>
  <c r="U61" i="13"/>
  <c r="U77" i="13" s="1"/>
  <c r="U79" i="13" s="1"/>
  <c r="U62" i="23"/>
  <c r="U78" i="23" s="1"/>
  <c r="U80" i="23" s="1"/>
  <c r="U61" i="15"/>
  <c r="U61" i="50"/>
  <c r="U62" i="12"/>
  <c r="U75" i="12"/>
  <c r="U74" i="13"/>
  <c r="U74" i="50"/>
  <c r="V62" i="11"/>
  <c r="V62" i="50"/>
  <c r="V63" i="47"/>
  <c r="V62" i="38"/>
  <c r="V62" i="43"/>
  <c r="V63" i="45"/>
  <c r="V62" i="13"/>
  <c r="V63" i="23"/>
  <c r="V62" i="15"/>
  <c r="V63" i="12"/>
  <c r="V79" i="12" s="1"/>
  <c r="U75" i="47"/>
  <c r="U75" i="45"/>
  <c r="T76" i="47"/>
  <c r="T84" i="47" s="1"/>
  <c r="T85" i="47" s="1"/>
  <c r="T75" i="15"/>
  <c r="U74" i="11"/>
  <c r="U74" i="23"/>
  <c r="V60" i="11"/>
  <c r="V61" i="47"/>
  <c r="V60" i="38"/>
  <c r="V60" i="43"/>
  <c r="V61" i="45"/>
  <c r="V61" i="23"/>
  <c r="V60" i="15"/>
  <c r="V60" i="50"/>
  <c r="V60" i="13"/>
  <c r="V61" i="12"/>
  <c r="V78" i="12" s="1"/>
  <c r="V80" i="12" s="1"/>
  <c r="U74" i="12"/>
  <c r="U73" i="15"/>
  <c r="U73" i="38"/>
  <c r="U73" i="11"/>
  <c r="U74" i="45"/>
  <c r="U73" i="13"/>
  <c r="U74" i="47"/>
  <c r="U73" i="43"/>
  <c r="U73" i="50"/>
  <c r="T67" i="10"/>
  <c r="V62" i="10"/>
  <c r="W19" i="17"/>
  <c r="W63" i="58" s="1"/>
  <c r="V60" i="10"/>
  <c r="W20" i="17"/>
  <c r="V18" i="17"/>
  <c r="V36" i="17" s="1"/>
  <c r="V84" i="58" l="1"/>
  <c r="T83" i="10"/>
  <c r="T84" i="10" s="1"/>
  <c r="V38" i="17"/>
  <c r="W79" i="58"/>
  <c r="W80" i="58" s="1"/>
  <c r="W75" i="58"/>
  <c r="W76" i="58" s="1"/>
  <c r="T83" i="38"/>
  <c r="T84" i="38" s="1"/>
  <c r="T83" i="50"/>
  <c r="T84" i="50" s="1"/>
  <c r="T83" i="15"/>
  <c r="T84" i="15" s="1"/>
  <c r="T84" i="12"/>
  <c r="T85" i="12" s="1"/>
  <c r="T83" i="11"/>
  <c r="T84" i="11" s="1"/>
  <c r="U77" i="50"/>
  <c r="U79" i="50" s="1"/>
  <c r="U77" i="38"/>
  <c r="U79" i="38" s="1"/>
  <c r="U77" i="15"/>
  <c r="U79" i="15" s="1"/>
  <c r="W64" i="58"/>
  <c r="W37" i="17"/>
  <c r="V62" i="58"/>
  <c r="U71" i="11"/>
  <c r="U71" i="10"/>
  <c r="U75" i="38"/>
  <c r="U76" i="23"/>
  <c r="U84" i="23" s="1"/>
  <c r="U75" i="13"/>
  <c r="U83" i="13" s="1"/>
  <c r="U67" i="11"/>
  <c r="U76" i="47"/>
  <c r="U84" i="47" s="1"/>
  <c r="U75" i="43"/>
  <c r="U83" i="43" s="1"/>
  <c r="U75" i="15"/>
  <c r="V74" i="10"/>
  <c r="U76" i="12"/>
  <c r="V73" i="10"/>
  <c r="V74" i="43"/>
  <c r="U75" i="50"/>
  <c r="U68" i="12"/>
  <c r="U75" i="11"/>
  <c r="V61" i="10"/>
  <c r="V77" i="10" s="1"/>
  <c r="V79" i="10" s="1"/>
  <c r="V61" i="11"/>
  <c r="V61" i="38"/>
  <c r="V61" i="43"/>
  <c r="V77" i="43" s="1"/>
  <c r="V79" i="43" s="1"/>
  <c r="V62" i="45"/>
  <c r="V78" i="45" s="1"/>
  <c r="V80" i="45" s="1"/>
  <c r="V61" i="50"/>
  <c r="V62" i="23"/>
  <c r="V78" i="23" s="1"/>
  <c r="V80" i="23" s="1"/>
  <c r="V61" i="15"/>
  <c r="V62" i="47"/>
  <c r="V78" i="47" s="1"/>
  <c r="V80" i="47" s="1"/>
  <c r="V61" i="13"/>
  <c r="V77" i="13" s="1"/>
  <c r="V79" i="13" s="1"/>
  <c r="V62" i="12"/>
  <c r="V74" i="13"/>
  <c r="V75" i="45"/>
  <c r="U76" i="45"/>
  <c r="U84" i="45" s="1"/>
  <c r="V75" i="12"/>
  <c r="V74" i="38"/>
  <c r="V74" i="15"/>
  <c r="V75" i="47"/>
  <c r="V74" i="11"/>
  <c r="W63" i="10"/>
  <c r="W78" i="10" s="1"/>
  <c r="W63" i="11"/>
  <c r="W78" i="11" s="1"/>
  <c r="W63" i="50"/>
  <c r="W78" i="50" s="1"/>
  <c r="W64" i="47"/>
  <c r="W79" i="47" s="1"/>
  <c r="W63" i="38"/>
  <c r="W78" i="38" s="1"/>
  <c r="W63" i="43"/>
  <c r="W78" i="43" s="1"/>
  <c r="W63" i="13"/>
  <c r="W78" i="13" s="1"/>
  <c r="W64" i="45"/>
  <c r="W79" i="45" s="1"/>
  <c r="W64" i="12"/>
  <c r="W64" i="23"/>
  <c r="W79" i="23" s="1"/>
  <c r="W63" i="15"/>
  <c r="W78" i="15" s="1"/>
  <c r="W62" i="11"/>
  <c r="W63" i="47"/>
  <c r="W62" i="38"/>
  <c r="W62" i="43"/>
  <c r="W63" i="45"/>
  <c r="W62" i="13"/>
  <c r="W63" i="23"/>
  <c r="W62" i="15"/>
  <c r="W62" i="50"/>
  <c r="W63" i="12"/>
  <c r="W79" i="12" s="1"/>
  <c r="V75" i="23"/>
  <c r="V74" i="50"/>
  <c r="V74" i="12"/>
  <c r="V74" i="23"/>
  <c r="V73" i="43"/>
  <c r="V73" i="13"/>
  <c r="V73" i="38"/>
  <c r="V73" i="50"/>
  <c r="V74" i="45"/>
  <c r="W60" i="11"/>
  <c r="W60" i="43"/>
  <c r="W61" i="45"/>
  <c r="W60" i="50"/>
  <c r="W60" i="13"/>
  <c r="W60" i="38"/>
  <c r="W61" i="12"/>
  <c r="W78" i="12" s="1"/>
  <c r="W80" i="12" s="1"/>
  <c r="W61" i="23"/>
  <c r="W60" i="15"/>
  <c r="W61" i="47"/>
  <c r="V73" i="15"/>
  <c r="V74" i="47"/>
  <c r="V73" i="11"/>
  <c r="U67" i="10"/>
  <c r="U75" i="10"/>
  <c r="W62" i="10"/>
  <c r="X19" i="17"/>
  <c r="X63" i="58" s="1"/>
  <c r="W60" i="10"/>
  <c r="X20" i="17"/>
  <c r="W18" i="17"/>
  <c r="W36" i="17" s="1"/>
  <c r="B49" i="15" l="1"/>
  <c r="AO65" i="18"/>
  <c r="W84" i="58"/>
  <c r="U83" i="15"/>
  <c r="W38" i="17"/>
  <c r="U83" i="38"/>
  <c r="X79" i="58"/>
  <c r="X80" i="58" s="1"/>
  <c r="X75" i="58"/>
  <c r="X76" i="58" s="1"/>
  <c r="U83" i="50"/>
  <c r="U84" i="12"/>
  <c r="U83" i="11"/>
  <c r="U83" i="10"/>
  <c r="V77" i="50"/>
  <c r="V79" i="50" s="1"/>
  <c r="V77" i="38"/>
  <c r="V79" i="38" s="1"/>
  <c r="V77" i="15"/>
  <c r="V79" i="15" s="1"/>
  <c r="V77" i="11"/>
  <c r="V79" i="11" s="1"/>
  <c r="X64" i="58"/>
  <c r="X37" i="17"/>
  <c r="W62" i="58"/>
  <c r="V71" i="10"/>
  <c r="V76" i="45"/>
  <c r="V84" i="45" s="1"/>
  <c r="V76" i="23"/>
  <c r="V84" i="23" s="1"/>
  <c r="V75" i="10"/>
  <c r="V67" i="10"/>
  <c r="V75" i="11"/>
  <c r="V67" i="11"/>
  <c r="V76" i="47"/>
  <c r="V84" i="47" s="1"/>
  <c r="V75" i="43"/>
  <c r="V83" i="43" s="1"/>
  <c r="V75" i="13"/>
  <c r="V83" i="13" s="1"/>
  <c r="V75" i="50"/>
  <c r="V75" i="15"/>
  <c r="V68" i="12"/>
  <c r="W74" i="10"/>
  <c r="W73" i="10"/>
  <c r="V76" i="12"/>
  <c r="W75" i="12"/>
  <c r="W74" i="43"/>
  <c r="X63" i="10"/>
  <c r="X78" i="10" s="1"/>
  <c r="X63" i="11"/>
  <c r="X78" i="11" s="1"/>
  <c r="X63" i="50"/>
  <c r="X78" i="50" s="1"/>
  <c r="X64" i="47"/>
  <c r="X79" i="47" s="1"/>
  <c r="X63" i="38"/>
  <c r="X78" i="38" s="1"/>
  <c r="X63" i="43"/>
  <c r="X78" i="43" s="1"/>
  <c r="X64" i="45"/>
  <c r="X79" i="45" s="1"/>
  <c r="X63" i="13"/>
  <c r="X78" i="13" s="1"/>
  <c r="X64" i="23"/>
  <c r="X79" i="23" s="1"/>
  <c r="X63" i="15"/>
  <c r="X78" i="15" s="1"/>
  <c r="X64" i="12"/>
  <c r="W74" i="38"/>
  <c r="W74" i="50"/>
  <c r="V75" i="38"/>
  <c r="W74" i="15"/>
  <c r="W75" i="47"/>
  <c r="W61" i="10"/>
  <c r="W77" i="10" s="1"/>
  <c r="W79" i="10" s="1"/>
  <c r="W61" i="11"/>
  <c r="W61" i="43"/>
  <c r="W77" i="43" s="1"/>
  <c r="W79" i="43" s="1"/>
  <c r="W62" i="45"/>
  <c r="W78" i="45" s="1"/>
  <c r="W80" i="45" s="1"/>
  <c r="W62" i="47"/>
  <c r="W78" i="47" s="1"/>
  <c r="W80" i="47" s="1"/>
  <c r="W62" i="23"/>
  <c r="W78" i="23" s="1"/>
  <c r="W80" i="23" s="1"/>
  <c r="W61" i="15"/>
  <c r="W61" i="38"/>
  <c r="W61" i="50"/>
  <c r="W61" i="13"/>
  <c r="W77" i="13" s="1"/>
  <c r="W79" i="13" s="1"/>
  <c r="W62" i="12"/>
  <c r="W75" i="23"/>
  <c r="X62" i="11"/>
  <c r="X62" i="38"/>
  <c r="X62" i="43"/>
  <c r="X63" i="45"/>
  <c r="X62" i="50"/>
  <c r="X63" i="23"/>
  <c r="X62" i="15"/>
  <c r="X63" i="47"/>
  <c r="X62" i="13"/>
  <c r="X63" i="12"/>
  <c r="X79" i="12" s="1"/>
  <c r="W74" i="13"/>
  <c r="W75" i="45"/>
  <c r="W74" i="11"/>
  <c r="W74" i="23"/>
  <c r="W73" i="50"/>
  <c r="W73" i="43"/>
  <c r="W73" i="15"/>
  <c r="W73" i="13"/>
  <c r="X60" i="11"/>
  <c r="X61" i="45"/>
  <c r="X60" i="50"/>
  <c r="X61" i="47"/>
  <c r="X60" i="38"/>
  <c r="X61" i="12"/>
  <c r="X78" i="12" s="1"/>
  <c r="X60" i="13"/>
  <c r="X60" i="43"/>
  <c r="X61" i="23"/>
  <c r="X60" i="15"/>
  <c r="W74" i="12"/>
  <c r="W73" i="11"/>
  <c r="W74" i="47"/>
  <c r="W73" i="38"/>
  <c r="W74" i="45"/>
  <c r="X62" i="10"/>
  <c r="Y19" i="17"/>
  <c r="Y63" i="58" s="1"/>
  <c r="X60" i="10"/>
  <c r="X18" i="17"/>
  <c r="X36" i="17" s="1"/>
  <c r="Y20" i="17"/>
  <c r="G12" i="60" l="1"/>
  <c r="G28" i="18"/>
  <c r="AN65" i="18" s="1"/>
  <c r="X84" i="58"/>
  <c r="V84" i="12"/>
  <c r="X80" i="12"/>
  <c r="X38" i="17"/>
  <c r="V83" i="38"/>
  <c r="Y79" i="58"/>
  <c r="Y80" i="58" s="1"/>
  <c r="Y75" i="58"/>
  <c r="Y76" i="58" s="1"/>
  <c r="V83" i="50"/>
  <c r="V83" i="15"/>
  <c r="V83" i="10"/>
  <c r="W77" i="50"/>
  <c r="W79" i="50" s="1"/>
  <c r="W77" i="38"/>
  <c r="W79" i="38" s="1"/>
  <c r="W77" i="15"/>
  <c r="W79" i="15" s="1"/>
  <c r="W77" i="11"/>
  <c r="W79" i="11" s="1"/>
  <c r="Y64" i="58"/>
  <c r="Y37" i="17"/>
  <c r="X62" i="58"/>
  <c r="W71" i="10"/>
  <c r="W75" i="50"/>
  <c r="W75" i="15"/>
  <c r="W76" i="45"/>
  <c r="W84" i="45" s="1"/>
  <c r="W75" i="43"/>
  <c r="W83" i="43" s="1"/>
  <c r="W75" i="38"/>
  <c r="W75" i="11"/>
  <c r="W75" i="13"/>
  <c r="W83" i="13" s="1"/>
  <c r="W76" i="12"/>
  <c r="X74" i="10"/>
  <c r="W76" i="23"/>
  <c r="W84" i="23" s="1"/>
  <c r="X73" i="10"/>
  <c r="W68" i="12"/>
  <c r="W67" i="11"/>
  <c r="X74" i="11"/>
  <c r="X75" i="12"/>
  <c r="X75" i="45"/>
  <c r="X74" i="13"/>
  <c r="X74" i="43"/>
  <c r="X61" i="10"/>
  <c r="X77" i="10" s="1"/>
  <c r="X79" i="10" s="1"/>
  <c r="X61" i="11"/>
  <c r="X62" i="45"/>
  <c r="X78" i="45" s="1"/>
  <c r="X80" i="45" s="1"/>
  <c r="X61" i="50"/>
  <c r="X61" i="38"/>
  <c r="X62" i="47"/>
  <c r="X78" i="47" s="1"/>
  <c r="X80" i="47" s="1"/>
  <c r="X61" i="43"/>
  <c r="X77" i="43" s="1"/>
  <c r="X79" i="43" s="1"/>
  <c r="X61" i="13"/>
  <c r="X77" i="13" s="1"/>
  <c r="X79" i="13" s="1"/>
  <c r="X62" i="12"/>
  <c r="X61" i="15"/>
  <c r="X62" i="23"/>
  <c r="X78" i="23" s="1"/>
  <c r="X80" i="23" s="1"/>
  <c r="Y63" i="10"/>
  <c r="Y78" i="10" s="1"/>
  <c r="Y63" i="11"/>
  <c r="Y78" i="11" s="1"/>
  <c r="Y64" i="47"/>
  <c r="Y79" i="47" s="1"/>
  <c r="Y63" i="38"/>
  <c r="Y78" i="38" s="1"/>
  <c r="Y63" i="43"/>
  <c r="Y78" i="43" s="1"/>
  <c r="Y64" i="45"/>
  <c r="Y79" i="45" s="1"/>
  <c r="Y63" i="13"/>
  <c r="Y78" i="13" s="1"/>
  <c r="Y64" i="23"/>
  <c r="Y79" i="23" s="1"/>
  <c r="Y63" i="15"/>
  <c r="Y78" i="15" s="1"/>
  <c r="Y63" i="50"/>
  <c r="Y78" i="50" s="1"/>
  <c r="Y64" i="12"/>
  <c r="W76" i="47"/>
  <c r="W84" i="47" s="1"/>
  <c r="X74" i="38"/>
  <c r="X74" i="50"/>
  <c r="Y62" i="11"/>
  <c r="Y62" i="43"/>
  <c r="Y63" i="45"/>
  <c r="Y63" i="47"/>
  <c r="Y63" i="23"/>
  <c r="Y62" i="15"/>
  <c r="Y62" i="38"/>
  <c r="Y62" i="50"/>
  <c r="Y62" i="13"/>
  <c r="Y63" i="12"/>
  <c r="Y79" i="12" s="1"/>
  <c r="X75" i="47"/>
  <c r="X74" i="15"/>
  <c r="W67" i="10"/>
  <c r="X75" i="23"/>
  <c r="X74" i="23"/>
  <c r="X73" i="50"/>
  <c r="Y60" i="11"/>
  <c r="Y60" i="50"/>
  <c r="Y61" i="47"/>
  <c r="Y60" i="38"/>
  <c r="Y60" i="43"/>
  <c r="Y61" i="12"/>
  <c r="Y78" i="12" s="1"/>
  <c r="Y61" i="23"/>
  <c r="Y60" i="15"/>
  <c r="Y61" i="45"/>
  <c r="Y60" i="13"/>
  <c r="X73" i="43"/>
  <c r="X73" i="38"/>
  <c r="X73" i="13"/>
  <c r="X74" i="45"/>
  <c r="X74" i="12"/>
  <c r="X73" i="15"/>
  <c r="X74" i="47"/>
  <c r="X73" i="11"/>
  <c r="W75" i="10"/>
  <c r="Y60" i="10"/>
  <c r="Y62" i="10"/>
  <c r="Z19" i="17"/>
  <c r="Z63" i="58" s="1"/>
  <c r="Z20" i="17"/>
  <c r="Y18" i="17"/>
  <c r="Y36" i="17" s="1"/>
  <c r="Y84" i="58" l="1"/>
  <c r="Y38" i="17"/>
  <c r="Z79" i="58"/>
  <c r="Z80" i="58" s="1"/>
  <c r="Z75" i="58"/>
  <c r="Z76" i="58" s="1"/>
  <c r="W83" i="50"/>
  <c r="W83" i="38"/>
  <c r="W83" i="15"/>
  <c r="Y80" i="12"/>
  <c r="W84" i="12"/>
  <c r="W83" i="10"/>
  <c r="X77" i="50"/>
  <c r="X79" i="50" s="1"/>
  <c r="X77" i="38"/>
  <c r="X79" i="38" s="1"/>
  <c r="X77" i="15"/>
  <c r="X79" i="15" s="1"/>
  <c r="X77" i="11"/>
  <c r="X79" i="11" s="1"/>
  <c r="Z64" i="58"/>
  <c r="Z37" i="17"/>
  <c r="Y62" i="58"/>
  <c r="X71" i="10"/>
  <c r="X75" i="15"/>
  <c r="X68" i="12"/>
  <c r="X76" i="12"/>
  <c r="X76" i="45"/>
  <c r="X84" i="45" s="1"/>
  <c r="X75" i="50"/>
  <c r="X76" i="23"/>
  <c r="X84" i="23" s="1"/>
  <c r="X67" i="11"/>
  <c r="X75" i="11"/>
  <c r="X75" i="38"/>
  <c r="X67" i="10"/>
  <c r="Y74" i="10"/>
  <c r="Y73" i="10"/>
  <c r="X76" i="47"/>
  <c r="X84" i="47" s="1"/>
  <c r="Y74" i="38"/>
  <c r="X75" i="43"/>
  <c r="X83" i="43" s="1"/>
  <c r="Y74" i="15"/>
  <c r="Z63" i="10"/>
  <c r="Z78" i="10" s="1"/>
  <c r="Z63" i="11"/>
  <c r="Z78" i="11" s="1"/>
  <c r="Z63" i="38"/>
  <c r="Z78" i="38" s="1"/>
  <c r="Z63" i="43"/>
  <c r="Z78" i="43" s="1"/>
  <c r="Z64" i="45"/>
  <c r="Z79" i="45" s="1"/>
  <c r="Z63" i="50"/>
  <c r="Z78" i="50" s="1"/>
  <c r="Z64" i="47"/>
  <c r="Z79" i="47" s="1"/>
  <c r="Z64" i="23"/>
  <c r="Z79" i="23" s="1"/>
  <c r="Z63" i="15"/>
  <c r="Z78" i="15" s="1"/>
  <c r="Z63" i="13"/>
  <c r="Z78" i="13" s="1"/>
  <c r="Z64" i="12"/>
  <c r="Z62" i="11"/>
  <c r="Z63" i="45"/>
  <c r="Z62" i="50"/>
  <c r="Z62" i="38"/>
  <c r="Z63" i="47"/>
  <c r="Z62" i="43"/>
  <c r="Z62" i="13"/>
  <c r="Z62" i="15"/>
  <c r="Z63" i="12"/>
  <c r="Z79" i="12" s="1"/>
  <c r="Z63" i="23"/>
  <c r="Y75" i="23"/>
  <c r="Y75" i="12"/>
  <c r="Y75" i="47"/>
  <c r="Y75" i="45"/>
  <c r="Y74" i="11"/>
  <c r="Y61" i="10"/>
  <c r="Y77" i="10" s="1"/>
  <c r="Y79" i="10" s="1"/>
  <c r="Y61" i="11"/>
  <c r="Y77" i="11" s="1"/>
  <c r="Y79" i="11" s="1"/>
  <c r="Y61" i="50"/>
  <c r="Y62" i="47"/>
  <c r="Y78" i="47" s="1"/>
  <c r="Y80" i="47" s="1"/>
  <c r="Y61" i="43"/>
  <c r="Y77" i="43" s="1"/>
  <c r="Y79" i="43" s="1"/>
  <c r="Y62" i="45"/>
  <c r="Y78" i="45" s="1"/>
  <c r="Y80" i="45" s="1"/>
  <c r="Y61" i="38"/>
  <c r="Y61" i="15"/>
  <c r="Y62" i="12"/>
  <c r="Y62" i="23"/>
  <c r="Y78" i="23" s="1"/>
  <c r="Y80" i="23" s="1"/>
  <c r="Y61" i="13"/>
  <c r="Y77" i="13" s="1"/>
  <c r="Y79" i="13" s="1"/>
  <c r="X75" i="13"/>
  <c r="X83" i="13" s="1"/>
  <c r="Y74" i="13"/>
  <c r="Y74" i="43"/>
  <c r="Y74" i="50"/>
  <c r="Y74" i="23"/>
  <c r="Y73" i="38"/>
  <c r="Y73" i="11"/>
  <c r="Y73" i="13"/>
  <c r="Y74" i="12"/>
  <c r="Z60" i="11"/>
  <c r="Z61" i="47"/>
  <c r="Z60" i="38"/>
  <c r="Z60" i="43"/>
  <c r="Z61" i="45"/>
  <c r="Z60" i="50"/>
  <c r="Z61" i="23"/>
  <c r="Z60" i="15"/>
  <c r="Z60" i="13"/>
  <c r="Z61" i="12"/>
  <c r="Z78" i="12" s="1"/>
  <c r="Y74" i="45"/>
  <c r="Y74" i="47"/>
  <c r="Y73" i="15"/>
  <c r="Y73" i="43"/>
  <c r="Y73" i="50"/>
  <c r="X75" i="10"/>
  <c r="Z60" i="10"/>
  <c r="Z62" i="10"/>
  <c r="AA19" i="17"/>
  <c r="AA63" i="58" s="1"/>
  <c r="AA20" i="17"/>
  <c r="Z18" i="17"/>
  <c r="Z36" i="17" s="1"/>
  <c r="X83" i="15" l="1"/>
  <c r="Z84" i="58"/>
  <c r="X83" i="38"/>
  <c r="X83" i="50"/>
  <c r="AA79" i="58"/>
  <c r="AA80" i="58" s="1"/>
  <c r="AA75" i="58"/>
  <c r="AA76" i="58" s="1"/>
  <c r="Z38" i="17"/>
  <c r="Z80" i="12"/>
  <c r="X84" i="12"/>
  <c r="X83" i="10"/>
  <c r="Y77" i="50"/>
  <c r="Y79" i="50" s="1"/>
  <c r="Y77" i="38"/>
  <c r="Y79" i="38" s="1"/>
  <c r="Y77" i="15"/>
  <c r="Y79" i="15" s="1"/>
  <c r="AA64" i="58"/>
  <c r="AA37" i="17"/>
  <c r="Z62" i="58"/>
  <c r="Y71" i="11"/>
  <c r="Y71" i="10"/>
  <c r="Y75" i="11"/>
  <c r="Y75" i="38"/>
  <c r="Y76" i="45"/>
  <c r="Y84" i="45" s="1"/>
  <c r="Y75" i="50"/>
  <c r="Y76" i="47"/>
  <c r="Y84" i="47" s="1"/>
  <c r="Y75" i="13"/>
  <c r="Y83" i="13" s="1"/>
  <c r="Y75" i="10"/>
  <c r="Y76" i="23"/>
  <c r="Y84" i="23" s="1"/>
  <c r="Y68" i="12"/>
  <c r="Y76" i="12"/>
  <c r="Y67" i="11"/>
  <c r="Z74" i="10"/>
  <c r="Y75" i="15"/>
  <c r="Z73" i="10"/>
  <c r="Y75" i="43"/>
  <c r="Y83" i="43" s="1"/>
  <c r="Z74" i="13"/>
  <c r="AA62" i="11"/>
  <c r="AA62" i="50"/>
  <c r="AA63" i="47"/>
  <c r="AA62" i="43"/>
  <c r="AA63" i="45"/>
  <c r="AA62" i="38"/>
  <c r="AA62" i="15"/>
  <c r="AA63" i="12"/>
  <c r="AA79" i="12" s="1"/>
  <c r="AA62" i="13"/>
  <c r="AA63" i="23"/>
  <c r="Z74" i="43"/>
  <c r="Z74" i="11"/>
  <c r="Z75" i="23"/>
  <c r="Z75" i="47"/>
  <c r="Z61" i="10"/>
  <c r="Z77" i="10" s="1"/>
  <c r="Z79" i="10" s="1"/>
  <c r="Z61" i="11"/>
  <c r="Z77" i="11" s="1"/>
  <c r="Z79" i="11" s="1"/>
  <c r="Z61" i="50"/>
  <c r="Z62" i="47"/>
  <c r="Z78" i="47" s="1"/>
  <c r="Z80" i="47" s="1"/>
  <c r="Z61" i="38"/>
  <c r="Z62" i="45"/>
  <c r="Z78" i="45" s="1"/>
  <c r="Z80" i="45" s="1"/>
  <c r="Z61" i="43"/>
  <c r="Z77" i="43" s="1"/>
  <c r="Z79" i="43" s="1"/>
  <c r="Z61" i="13"/>
  <c r="Z77" i="13" s="1"/>
  <c r="Z79" i="13" s="1"/>
  <c r="Z61" i="15"/>
  <c r="Z62" i="12"/>
  <c r="Z62" i="23"/>
  <c r="Z78" i="23" s="1"/>
  <c r="Z80" i="23" s="1"/>
  <c r="Z75" i="12"/>
  <c r="Z74" i="38"/>
  <c r="Z75" i="45"/>
  <c r="AA63" i="10"/>
  <c r="AA78" i="10" s="1"/>
  <c r="AA63" i="11"/>
  <c r="AA78" i="11" s="1"/>
  <c r="AA63" i="43"/>
  <c r="AA78" i="43" s="1"/>
  <c r="AA64" i="45"/>
  <c r="AA79" i="45" s="1"/>
  <c r="AA64" i="47"/>
  <c r="AA79" i="47" s="1"/>
  <c r="AA63" i="38"/>
  <c r="AA78" i="38" s="1"/>
  <c r="AA64" i="23"/>
  <c r="AA79" i="23" s="1"/>
  <c r="AA63" i="15"/>
  <c r="AA78" i="15" s="1"/>
  <c r="AA63" i="50"/>
  <c r="AA78" i="50" s="1"/>
  <c r="AA63" i="13"/>
  <c r="AA78" i="13" s="1"/>
  <c r="AA64" i="12"/>
  <c r="Z74" i="15"/>
  <c r="Z74" i="50"/>
  <c r="Z73" i="15"/>
  <c r="Z74" i="45"/>
  <c r="Z74" i="23"/>
  <c r="Z74" i="47"/>
  <c r="Z73" i="11"/>
  <c r="Z73" i="13"/>
  <c r="Z73" i="38"/>
  <c r="AA60" i="11"/>
  <c r="AA60" i="43"/>
  <c r="AA61" i="45"/>
  <c r="AA60" i="50"/>
  <c r="AA60" i="38"/>
  <c r="AA60" i="13"/>
  <c r="AA61" i="47"/>
  <c r="AA61" i="12"/>
  <c r="AA78" i="12" s="1"/>
  <c r="AA61" i="23"/>
  <c r="AA60" i="15"/>
  <c r="Z74" i="12"/>
  <c r="Z73" i="50"/>
  <c r="Z73" i="43"/>
  <c r="Y67" i="10"/>
  <c r="AA60" i="10"/>
  <c r="AA62" i="10"/>
  <c r="AB19" i="17"/>
  <c r="AB63" i="58" s="1"/>
  <c r="AA18" i="17"/>
  <c r="AA36" i="17" s="1"/>
  <c r="AB20" i="17"/>
  <c r="F12" i="60" l="1"/>
  <c r="AO52" i="18"/>
  <c r="Y83" i="15"/>
  <c r="AA84" i="58"/>
  <c r="Y83" i="38"/>
  <c r="Y83" i="10"/>
  <c r="Y84" i="12"/>
  <c r="AA38" i="17"/>
  <c r="AB79" i="58"/>
  <c r="AB80" i="58" s="1"/>
  <c r="AB75" i="58"/>
  <c r="AB76" i="58" s="1"/>
  <c r="Y83" i="11"/>
  <c r="Y83" i="50"/>
  <c r="AA80" i="12"/>
  <c r="Z77" i="50"/>
  <c r="Z79" i="50" s="1"/>
  <c r="Z77" i="38"/>
  <c r="Z79" i="38" s="1"/>
  <c r="Z77" i="15"/>
  <c r="Z79" i="15" s="1"/>
  <c r="AB64" i="58"/>
  <c r="AB37" i="17"/>
  <c r="AA62" i="58"/>
  <c r="Z71" i="11"/>
  <c r="Z71" i="10"/>
  <c r="Z75" i="38"/>
  <c r="Z76" i="47"/>
  <c r="Z84" i="47" s="1"/>
  <c r="Z75" i="50"/>
  <c r="Z76" i="45"/>
  <c r="Z84" i="45" s="1"/>
  <c r="Z75" i="43"/>
  <c r="Z83" i="43" s="1"/>
  <c r="Z75" i="13"/>
  <c r="Z83" i="13" s="1"/>
  <c r="Z67" i="11"/>
  <c r="Z75" i="15"/>
  <c r="Z68" i="12"/>
  <c r="Z76" i="12"/>
  <c r="AA74" i="10"/>
  <c r="AA73" i="10"/>
  <c r="Z76" i="23"/>
  <c r="Z84" i="23" s="1"/>
  <c r="AB63" i="10"/>
  <c r="AB78" i="10" s="1"/>
  <c r="AB63" i="11"/>
  <c r="AB78" i="11" s="1"/>
  <c r="AB64" i="45"/>
  <c r="AB79" i="45" s="1"/>
  <c r="AB63" i="50"/>
  <c r="AB78" i="50" s="1"/>
  <c r="AB63" i="38"/>
  <c r="AB78" i="38" s="1"/>
  <c r="AB64" i="47"/>
  <c r="AB79" i="47" s="1"/>
  <c r="AB64" i="12"/>
  <c r="AB64" i="23"/>
  <c r="AB79" i="23" s="1"/>
  <c r="AB63" i="43"/>
  <c r="AB78" i="43" s="1"/>
  <c r="AB63" i="15"/>
  <c r="AB78" i="15" s="1"/>
  <c r="AB63" i="13"/>
  <c r="AB78" i="13" s="1"/>
  <c r="AA75" i="12"/>
  <c r="AA74" i="50"/>
  <c r="AA74" i="15"/>
  <c r="AB62" i="11"/>
  <c r="AB62" i="50"/>
  <c r="AB63" i="47"/>
  <c r="AB62" i="38"/>
  <c r="AB63" i="45"/>
  <c r="AB62" i="43"/>
  <c r="AB62" i="13"/>
  <c r="AB63" i="12"/>
  <c r="AB79" i="12" s="1"/>
  <c r="AB63" i="23"/>
  <c r="AB62" i="15"/>
  <c r="Z67" i="10"/>
  <c r="AA74" i="38"/>
  <c r="Z75" i="11"/>
  <c r="AA75" i="45"/>
  <c r="AA74" i="11"/>
  <c r="AA75" i="47"/>
  <c r="AA75" i="23"/>
  <c r="AA61" i="10"/>
  <c r="AA77" i="10" s="1"/>
  <c r="AA79" i="10" s="1"/>
  <c r="AA61" i="11"/>
  <c r="AA77" i="11" s="1"/>
  <c r="AA79" i="11" s="1"/>
  <c r="AA61" i="50"/>
  <c r="AA62" i="47"/>
  <c r="AA78" i="47" s="1"/>
  <c r="AA80" i="47" s="1"/>
  <c r="AA61" i="38"/>
  <c r="AA61" i="43"/>
  <c r="AA77" i="43" s="1"/>
  <c r="AA79" i="43" s="1"/>
  <c r="AA62" i="45"/>
  <c r="AA78" i="45" s="1"/>
  <c r="AA80" i="45" s="1"/>
  <c r="AA61" i="13"/>
  <c r="AA77" i="13" s="1"/>
  <c r="AA79" i="13" s="1"/>
  <c r="AA62" i="12"/>
  <c r="AA62" i="23"/>
  <c r="AA78" i="23" s="1"/>
  <c r="AA80" i="23" s="1"/>
  <c r="AA61" i="15"/>
  <c r="AA74" i="13"/>
  <c r="AA74" i="43"/>
  <c r="AB60" i="11"/>
  <c r="AB61" i="45"/>
  <c r="AB60" i="50"/>
  <c r="AB61" i="47"/>
  <c r="AB60" i="38"/>
  <c r="AB61" i="12"/>
  <c r="AB78" i="12" s="1"/>
  <c r="AB60" i="43"/>
  <c r="AB61" i="23"/>
  <c r="AB60" i="15"/>
  <c r="AB60" i="13"/>
  <c r="AA73" i="38"/>
  <c r="AA74" i="12"/>
  <c r="AA73" i="50"/>
  <c r="AA73" i="43"/>
  <c r="AA73" i="15"/>
  <c r="AA74" i="47"/>
  <c r="AA73" i="11"/>
  <c r="AA74" i="23"/>
  <c r="AA73" i="13"/>
  <c r="AA74" i="45"/>
  <c r="Z75" i="10"/>
  <c r="AB60" i="10"/>
  <c r="AB62" i="10"/>
  <c r="AC19" i="17"/>
  <c r="AC63" i="58" s="1"/>
  <c r="AC20" i="17"/>
  <c r="AB18" i="17"/>
  <c r="F28" i="18" l="1"/>
  <c r="AN52" i="18" s="1"/>
  <c r="B50" i="12"/>
  <c r="AO39" i="18"/>
  <c r="B49" i="11"/>
  <c r="AO23" i="18"/>
  <c r="Q53" i="18" s="1"/>
  <c r="B49" i="10"/>
  <c r="AO10" i="18"/>
  <c r="B49" i="43"/>
  <c r="AO130" i="18"/>
  <c r="AA53" i="18" s="1"/>
  <c r="Z83" i="10"/>
  <c r="Z83" i="50"/>
  <c r="Z83" i="11"/>
  <c r="AB80" i="12"/>
  <c r="AB62" i="58"/>
  <c r="AB36" i="17"/>
  <c r="AB38" i="17" s="1"/>
  <c r="AC79" i="58"/>
  <c r="AC80" i="58" s="1"/>
  <c r="AC75" i="58"/>
  <c r="AC76" i="58" s="1"/>
  <c r="AB84" i="58"/>
  <c r="Z83" i="38"/>
  <c r="Z83" i="15"/>
  <c r="Z84" i="12"/>
  <c r="AA77" i="50"/>
  <c r="AA79" i="50" s="1"/>
  <c r="AA77" i="38"/>
  <c r="AA79" i="38" s="1"/>
  <c r="AA77" i="15"/>
  <c r="AA79" i="15" s="1"/>
  <c r="AC64" i="58"/>
  <c r="AC37" i="17"/>
  <c r="AA71" i="11"/>
  <c r="AA71" i="10"/>
  <c r="AA76" i="45"/>
  <c r="AA84" i="45" s="1"/>
  <c r="AA76" i="47"/>
  <c r="AA84" i="47" s="1"/>
  <c r="AA75" i="38"/>
  <c r="AA75" i="11"/>
  <c r="AA75" i="10"/>
  <c r="AA75" i="50"/>
  <c r="AA76" i="23"/>
  <c r="AA84" i="23" s="1"/>
  <c r="AA75" i="43"/>
  <c r="AA83" i="43" s="1"/>
  <c r="AA68" i="12"/>
  <c r="AA76" i="12"/>
  <c r="AA67" i="11"/>
  <c r="AB74" i="10"/>
  <c r="AB73" i="10"/>
  <c r="AB74" i="15"/>
  <c r="AB75" i="45"/>
  <c r="AB75" i="23"/>
  <c r="AB74" i="38"/>
  <c r="AC63" i="10"/>
  <c r="AC78" i="10" s="1"/>
  <c r="AC63" i="11"/>
  <c r="AC78" i="11" s="1"/>
  <c r="AC63" i="50"/>
  <c r="AC78" i="50" s="1"/>
  <c r="AC64" i="47"/>
  <c r="AC79" i="47" s="1"/>
  <c r="AC63" i="43"/>
  <c r="AC78" i="43" s="1"/>
  <c r="AC63" i="38"/>
  <c r="AC78" i="38" s="1"/>
  <c r="AC64" i="23"/>
  <c r="AC79" i="23" s="1"/>
  <c r="AC64" i="12"/>
  <c r="AC63" i="13"/>
  <c r="AC78" i="13" s="1"/>
  <c r="AC64" i="45"/>
  <c r="AC79" i="45" s="1"/>
  <c r="AC63" i="15"/>
  <c r="AC78" i="15" s="1"/>
  <c r="AA75" i="15"/>
  <c r="AB75" i="12"/>
  <c r="AB75" i="47"/>
  <c r="AB74" i="13"/>
  <c r="AB74" i="50"/>
  <c r="AA75" i="13"/>
  <c r="AA83" i="13" s="1"/>
  <c r="AB74" i="11"/>
  <c r="AB61" i="10"/>
  <c r="AB77" i="10" s="1"/>
  <c r="AB79" i="10" s="1"/>
  <c r="AB61" i="11"/>
  <c r="AB77" i="11" s="1"/>
  <c r="AB79" i="11" s="1"/>
  <c r="AB61" i="50"/>
  <c r="AB62" i="47"/>
  <c r="AB78" i="47" s="1"/>
  <c r="AB80" i="47" s="1"/>
  <c r="AB61" i="38"/>
  <c r="AB61" i="43"/>
  <c r="AB77" i="43" s="1"/>
  <c r="AB79" i="43" s="1"/>
  <c r="AB62" i="45"/>
  <c r="AB78" i="45" s="1"/>
  <c r="AB80" i="45" s="1"/>
  <c r="AB61" i="13"/>
  <c r="AB77" i="13" s="1"/>
  <c r="AB79" i="13" s="1"/>
  <c r="AB62" i="23"/>
  <c r="AB78" i="23" s="1"/>
  <c r="AB80" i="23" s="1"/>
  <c r="AB61" i="15"/>
  <c r="AB62" i="12"/>
  <c r="AC62" i="11"/>
  <c r="AC62" i="50"/>
  <c r="AC63" i="47"/>
  <c r="AC62" i="38"/>
  <c r="AC62" i="43"/>
  <c r="AC62" i="13"/>
  <c r="AC63" i="12"/>
  <c r="AC79" i="12" s="1"/>
  <c r="AC63" i="23"/>
  <c r="AC62" i="15"/>
  <c r="AC63" i="45"/>
  <c r="AB74" i="43"/>
  <c r="AB74" i="23"/>
  <c r="AB73" i="38"/>
  <c r="AC60" i="11"/>
  <c r="AC60" i="50"/>
  <c r="AC61" i="47"/>
  <c r="AC60" i="38"/>
  <c r="AC60" i="43"/>
  <c r="AC61" i="45"/>
  <c r="AC61" i="23"/>
  <c r="AC60" i="15"/>
  <c r="AC61" i="12"/>
  <c r="AC78" i="12" s="1"/>
  <c r="AC60" i="13"/>
  <c r="AB73" i="43"/>
  <c r="AB74" i="45"/>
  <c r="AB73" i="13"/>
  <c r="AB74" i="12"/>
  <c r="AB74" i="47"/>
  <c r="AB73" i="11"/>
  <c r="AB73" i="15"/>
  <c r="AB73" i="50"/>
  <c r="AA67" i="10"/>
  <c r="AC60" i="10"/>
  <c r="AD32" i="17"/>
  <c r="AC62" i="10"/>
  <c r="AD19" i="17"/>
  <c r="AC18" i="17"/>
  <c r="AC36" i="17" s="1"/>
  <c r="AD20" i="17"/>
  <c r="U53" i="18" l="1"/>
  <c r="W53" i="18"/>
  <c r="Y53" i="18"/>
  <c r="S53" i="18"/>
  <c r="C72" i="18"/>
  <c r="K12" i="60"/>
  <c r="K28" i="18"/>
  <c r="AN130" i="18" s="1"/>
  <c r="G53" i="18"/>
  <c r="I53" i="18"/>
  <c r="E12" i="60"/>
  <c r="E28" i="18"/>
  <c r="AN39" i="18" s="1"/>
  <c r="D12" i="60"/>
  <c r="D28" i="18"/>
  <c r="AN23" i="18" s="1"/>
  <c r="C12" i="60"/>
  <c r="C28" i="18"/>
  <c r="AN10" i="18" s="1"/>
  <c r="AA83" i="15"/>
  <c r="AA83" i="38"/>
  <c r="AA83" i="11"/>
  <c r="AA83" i="50"/>
  <c r="AD33" i="17"/>
  <c r="AD63" i="58"/>
  <c r="AA84" i="12"/>
  <c r="AC38" i="17"/>
  <c r="AA83" i="10"/>
  <c r="AC84" i="58"/>
  <c r="AC80" i="12"/>
  <c r="AB77" i="50"/>
  <c r="AB79" i="50" s="1"/>
  <c r="AB77" i="38"/>
  <c r="AB79" i="38" s="1"/>
  <c r="AB77" i="15"/>
  <c r="AB79" i="15" s="1"/>
  <c r="AD64" i="58"/>
  <c r="AD37" i="17"/>
  <c r="AC62" i="58"/>
  <c r="AB71" i="11"/>
  <c r="AB71" i="10"/>
  <c r="AB76" i="45"/>
  <c r="AB84" i="45" s="1"/>
  <c r="AB75" i="10"/>
  <c r="AB75" i="50"/>
  <c r="AB75" i="11"/>
  <c r="AB76" i="23"/>
  <c r="AB84" i="23" s="1"/>
  <c r="AB76" i="47"/>
  <c r="AB84" i="47" s="1"/>
  <c r="AB67" i="11"/>
  <c r="AB75" i="43"/>
  <c r="AB83" i="43" s="1"/>
  <c r="AB75" i="13"/>
  <c r="AB83" i="13" s="1"/>
  <c r="AB75" i="15"/>
  <c r="AB76" i="12"/>
  <c r="AC74" i="10"/>
  <c r="AC73" i="10"/>
  <c r="AD62" i="11"/>
  <c r="AD62" i="50"/>
  <c r="AD63" i="47"/>
  <c r="AD62" i="38"/>
  <c r="AD62" i="43"/>
  <c r="AD63" i="45"/>
  <c r="AD62" i="13"/>
  <c r="AD63" i="23"/>
  <c r="AD62" i="15"/>
  <c r="AD63" i="12"/>
  <c r="AD79" i="12" s="1"/>
  <c r="C79" i="12" s="1"/>
  <c r="AB68" i="12"/>
  <c r="AC74" i="11"/>
  <c r="AB75" i="38"/>
  <c r="AC75" i="45"/>
  <c r="AC74" i="43"/>
  <c r="AC74" i="15"/>
  <c r="AC74" i="38"/>
  <c r="AC61" i="10"/>
  <c r="AC77" i="10" s="1"/>
  <c r="AC79" i="10" s="1"/>
  <c r="AC61" i="11"/>
  <c r="AC77" i="11" s="1"/>
  <c r="AC79" i="11" s="1"/>
  <c r="AC62" i="47"/>
  <c r="AC78" i="47" s="1"/>
  <c r="AC80" i="47" s="1"/>
  <c r="AC61" i="38"/>
  <c r="AC61" i="43"/>
  <c r="AC77" i="43" s="1"/>
  <c r="AC79" i="43" s="1"/>
  <c r="AC62" i="45"/>
  <c r="AC78" i="45" s="1"/>
  <c r="AC80" i="45" s="1"/>
  <c r="AC61" i="13"/>
  <c r="AC77" i="13" s="1"/>
  <c r="AC79" i="13" s="1"/>
  <c r="AC62" i="23"/>
  <c r="AC78" i="23" s="1"/>
  <c r="AC80" i="23" s="1"/>
  <c r="AC61" i="15"/>
  <c r="AC61" i="50"/>
  <c r="AC62" i="12"/>
  <c r="AC75" i="23"/>
  <c r="AC75" i="47"/>
  <c r="AC75" i="12"/>
  <c r="AC74" i="50"/>
  <c r="AD63" i="10"/>
  <c r="AD78" i="10" s="1"/>
  <c r="AD63" i="11"/>
  <c r="AD78" i="11" s="1"/>
  <c r="AD63" i="50"/>
  <c r="AD78" i="50" s="1"/>
  <c r="AD64" i="47"/>
  <c r="AD63" i="38"/>
  <c r="AD78" i="38" s="1"/>
  <c r="AD64" i="45"/>
  <c r="AD63" i="13"/>
  <c r="AD64" i="23"/>
  <c r="AD64" i="12"/>
  <c r="C71" i="12" s="1"/>
  <c r="AD63" i="15"/>
  <c r="AD78" i="15" s="1"/>
  <c r="AD63" i="43"/>
  <c r="AD78" i="43" s="1"/>
  <c r="AC74" i="13"/>
  <c r="AC73" i="15"/>
  <c r="AC73" i="50"/>
  <c r="AC73" i="13"/>
  <c r="AC74" i="23"/>
  <c r="AC73" i="38"/>
  <c r="AC73" i="11"/>
  <c r="AC74" i="45"/>
  <c r="AC73" i="43"/>
  <c r="AD60" i="11"/>
  <c r="AD61" i="47"/>
  <c r="AD60" i="38"/>
  <c r="AD60" i="43"/>
  <c r="AD61" i="45"/>
  <c r="AD61" i="23"/>
  <c r="AD60" i="15"/>
  <c r="AD60" i="13"/>
  <c r="AD61" i="12"/>
  <c r="AD78" i="12" s="1"/>
  <c r="AD60" i="50"/>
  <c r="AC74" i="12"/>
  <c r="AC74" i="47"/>
  <c r="AB67" i="10"/>
  <c r="AD60" i="10"/>
  <c r="C25" i="17"/>
  <c r="C51" i="17" s="1"/>
  <c r="AD62" i="10"/>
  <c r="C29" i="17"/>
  <c r="C55" i="17" s="1"/>
  <c r="AD18" i="17"/>
  <c r="AD36" i="17" s="1"/>
  <c r="P12" i="60" l="1"/>
  <c r="Q12" i="60"/>
  <c r="R12" i="60"/>
  <c r="AD80" i="12"/>
  <c r="AB83" i="15"/>
  <c r="AB84" i="12"/>
  <c r="AD38" i="17"/>
  <c r="AB83" i="38"/>
  <c r="AD79" i="58"/>
  <c r="AD75" i="58"/>
  <c r="AB83" i="50"/>
  <c r="AB83" i="11"/>
  <c r="AB83" i="10"/>
  <c r="AC77" i="50"/>
  <c r="AC79" i="50" s="1"/>
  <c r="AC77" i="38"/>
  <c r="AC79" i="38" s="1"/>
  <c r="AC77" i="15"/>
  <c r="AC79" i="15" s="1"/>
  <c r="AD62" i="58"/>
  <c r="AL63" i="59"/>
  <c r="C71" i="23"/>
  <c r="AD79" i="23"/>
  <c r="C79" i="23" s="1"/>
  <c r="AC71" i="10"/>
  <c r="C70" i="13"/>
  <c r="AD78" i="13"/>
  <c r="C78" i="13" s="1"/>
  <c r="C70" i="43"/>
  <c r="C78" i="43"/>
  <c r="C71" i="45"/>
  <c r="AD79" i="45"/>
  <c r="C79" i="45" s="1"/>
  <c r="C70" i="10"/>
  <c r="C70" i="50"/>
  <c r="C78" i="50"/>
  <c r="C70" i="15"/>
  <c r="C78" i="15"/>
  <c r="C70" i="38"/>
  <c r="C78" i="38"/>
  <c r="C78" i="11"/>
  <c r="C80" i="12"/>
  <c r="C71" i="47"/>
  <c r="AD79" i="47"/>
  <c r="C79" i="47" s="1"/>
  <c r="AC71" i="11"/>
  <c r="AC75" i="43"/>
  <c r="AC83" i="43" s="1"/>
  <c r="AC76" i="12"/>
  <c r="C37" i="17"/>
  <c r="C63" i="17" s="1"/>
  <c r="AC76" i="47"/>
  <c r="AC84" i="47" s="1"/>
  <c r="AC75" i="11"/>
  <c r="AC75" i="10"/>
  <c r="AC75" i="50"/>
  <c r="AC76" i="45"/>
  <c r="AC84" i="45" s="1"/>
  <c r="AC75" i="15"/>
  <c r="AC75" i="13"/>
  <c r="AC83" i="13" s="1"/>
  <c r="AD34" i="17"/>
  <c r="AC67" i="11"/>
  <c r="C78" i="12"/>
  <c r="AC68" i="12"/>
  <c r="AD74" i="10"/>
  <c r="C74" i="10" s="1"/>
  <c r="C78" i="10"/>
  <c r="AD73" i="10"/>
  <c r="C73" i="10" s="1"/>
  <c r="AD61" i="10"/>
  <c r="AD61" i="11"/>
  <c r="AD77" i="11" s="1"/>
  <c r="AD79" i="11" s="1"/>
  <c r="AD61" i="38"/>
  <c r="AD61" i="43"/>
  <c r="AD77" i="43" s="1"/>
  <c r="AD62" i="45"/>
  <c r="AD78" i="45" s="1"/>
  <c r="AD61" i="50"/>
  <c r="AD62" i="23"/>
  <c r="AD78" i="23" s="1"/>
  <c r="AD61" i="15"/>
  <c r="AD77" i="15" s="1"/>
  <c r="AD79" i="15" s="1"/>
  <c r="C79" i="15" s="1"/>
  <c r="G30" i="59" s="1"/>
  <c r="AL39" i="59" s="1"/>
  <c r="AD62" i="47"/>
  <c r="AD78" i="47" s="1"/>
  <c r="AD61" i="13"/>
  <c r="AD77" i="13" s="1"/>
  <c r="AD62" i="12"/>
  <c r="AC75" i="38"/>
  <c r="AD74" i="15"/>
  <c r="C74" i="15" s="1"/>
  <c r="C66" i="15"/>
  <c r="C67" i="47"/>
  <c r="AD75" i="47"/>
  <c r="C75" i="47" s="1"/>
  <c r="AD75" i="23"/>
  <c r="C75" i="23" s="1"/>
  <c r="C67" i="23"/>
  <c r="AD74" i="50"/>
  <c r="C74" i="50" s="1"/>
  <c r="C66" i="50"/>
  <c r="C67" i="12"/>
  <c r="AD75" i="12"/>
  <c r="C75" i="12" s="1"/>
  <c r="AC67" i="10"/>
  <c r="AC76" i="23"/>
  <c r="AC84" i="23" s="1"/>
  <c r="AD74" i="13"/>
  <c r="C74" i="13" s="1"/>
  <c r="C66" i="13"/>
  <c r="C66" i="38"/>
  <c r="AD74" i="38"/>
  <c r="C74" i="38" s="1"/>
  <c r="AD75" i="45"/>
  <c r="C75" i="45" s="1"/>
  <c r="AD74" i="43"/>
  <c r="C74" i="43" s="1"/>
  <c r="C66" i="43"/>
  <c r="AD74" i="11"/>
  <c r="C74" i="11" s="1"/>
  <c r="C66" i="11"/>
  <c r="AD74" i="45"/>
  <c r="C74" i="45" s="1"/>
  <c r="AD73" i="15"/>
  <c r="C73" i="15" s="1"/>
  <c r="AD73" i="50"/>
  <c r="C73" i="50" s="1"/>
  <c r="AD74" i="23"/>
  <c r="AD73" i="43"/>
  <c r="AD73" i="11"/>
  <c r="AD73" i="13"/>
  <c r="AD74" i="47"/>
  <c r="C74" i="47" s="1"/>
  <c r="AD74" i="12"/>
  <c r="C74" i="12" s="1"/>
  <c r="AD73" i="38"/>
  <c r="C66" i="10"/>
  <c r="C26" i="17"/>
  <c r="C52" i="17" s="1"/>
  <c r="E30" i="59" l="1"/>
  <c r="AL25" i="59" s="1"/>
  <c r="AC83" i="15"/>
  <c r="AC83" i="11"/>
  <c r="AD80" i="45"/>
  <c r="C80" i="45" s="1"/>
  <c r="L30" i="59" s="1"/>
  <c r="AL81" i="59" s="1"/>
  <c r="AD76" i="58"/>
  <c r="C75" i="58"/>
  <c r="AC83" i="10"/>
  <c r="AD80" i="58"/>
  <c r="C80" i="58" s="1"/>
  <c r="O30" i="59" s="1"/>
  <c r="AL102" i="59" s="1"/>
  <c r="C79" i="58"/>
  <c r="AC83" i="38"/>
  <c r="AC84" i="12"/>
  <c r="AC83" i="50"/>
  <c r="C78" i="47"/>
  <c r="AD80" i="47"/>
  <c r="C77" i="43"/>
  <c r="AD79" i="43"/>
  <c r="C78" i="23"/>
  <c r="AD80" i="23"/>
  <c r="C80" i="23" s="1"/>
  <c r="H30" i="59" s="1"/>
  <c r="AL53" i="59" s="1"/>
  <c r="C77" i="13"/>
  <c r="AD79" i="13"/>
  <c r="C79" i="13" s="1"/>
  <c r="AD77" i="50"/>
  <c r="AD77" i="38"/>
  <c r="AD77" i="10"/>
  <c r="C77" i="11"/>
  <c r="C78" i="45"/>
  <c r="C79" i="11"/>
  <c r="C77" i="15"/>
  <c r="C38" i="17"/>
  <c r="C64" i="17" s="1"/>
  <c r="C36" i="17"/>
  <c r="C62" i="17" s="1"/>
  <c r="AD44" i="17"/>
  <c r="AD71" i="10"/>
  <c r="C71" i="10" s="1"/>
  <c r="AD75" i="10"/>
  <c r="C75" i="10" s="1"/>
  <c r="C29" i="59" s="1"/>
  <c r="AD76" i="12"/>
  <c r="C76" i="12" s="1"/>
  <c r="C71" i="13"/>
  <c r="F26" i="59" s="1"/>
  <c r="AL28" i="59" s="1"/>
  <c r="C69" i="13"/>
  <c r="C69" i="43"/>
  <c r="C71" i="38"/>
  <c r="I26" i="59" s="1"/>
  <c r="AL56" i="59" s="1"/>
  <c r="C69" i="38"/>
  <c r="AD76" i="45"/>
  <c r="C76" i="45" s="1"/>
  <c r="L29" i="59" s="1"/>
  <c r="AL80" i="59" s="1"/>
  <c r="C72" i="47"/>
  <c r="M26" i="59" s="1"/>
  <c r="AL84" i="59" s="1"/>
  <c r="C70" i="47"/>
  <c r="AD76" i="47"/>
  <c r="C76" i="47" s="1"/>
  <c r="M29" i="59" s="1"/>
  <c r="AL87" i="59" s="1"/>
  <c r="C71" i="15"/>
  <c r="G26" i="59" s="1"/>
  <c r="AL35" i="59" s="1"/>
  <c r="C69" i="15"/>
  <c r="C72" i="12"/>
  <c r="E26" i="59" s="1"/>
  <c r="AL21" i="59" s="1"/>
  <c r="C70" i="12"/>
  <c r="C72" i="23"/>
  <c r="H26" i="59" s="1"/>
  <c r="AL49" i="59" s="1"/>
  <c r="E42" i="59" s="1"/>
  <c r="C70" i="23"/>
  <c r="C71" i="50"/>
  <c r="N26" i="59" s="1"/>
  <c r="AL91" i="59" s="1"/>
  <c r="C69" i="50"/>
  <c r="AD71" i="11"/>
  <c r="C72" i="45"/>
  <c r="L26" i="59" s="1"/>
  <c r="AL77" i="59" s="1"/>
  <c r="C70" i="45"/>
  <c r="AD67" i="10"/>
  <c r="C65" i="10"/>
  <c r="C65" i="13"/>
  <c r="AD75" i="43"/>
  <c r="C75" i="43" s="1"/>
  <c r="K29" i="59" s="1"/>
  <c r="AL73" i="59" s="1"/>
  <c r="C73" i="43"/>
  <c r="C65" i="38"/>
  <c r="AD75" i="13"/>
  <c r="C73" i="13"/>
  <c r="C66" i="23"/>
  <c r="AD75" i="50"/>
  <c r="C75" i="50" s="1"/>
  <c r="N29" i="59" s="1"/>
  <c r="AL94" i="59" s="1"/>
  <c r="AD75" i="15"/>
  <c r="AD75" i="38"/>
  <c r="C75" i="38" s="1"/>
  <c r="I29" i="59" s="1"/>
  <c r="AL59" i="59" s="1"/>
  <c r="C73" i="38"/>
  <c r="AD68" i="12"/>
  <c r="C66" i="12"/>
  <c r="C66" i="47"/>
  <c r="AD67" i="11"/>
  <c r="C65" i="11"/>
  <c r="AD76" i="23"/>
  <c r="C74" i="23"/>
  <c r="AD75" i="11"/>
  <c r="C75" i="11" s="1"/>
  <c r="C73" i="11"/>
  <c r="C65" i="43"/>
  <c r="C65" i="50"/>
  <c r="C65" i="15"/>
  <c r="C30" i="17"/>
  <c r="C56" i="17" s="1"/>
  <c r="C26" i="59" l="1"/>
  <c r="AL6" i="59" s="1"/>
  <c r="F30" i="59"/>
  <c r="AL32" i="59" s="1"/>
  <c r="D30" i="59"/>
  <c r="AL17" i="59" s="1"/>
  <c r="D29" i="59"/>
  <c r="AL16" i="59" s="1"/>
  <c r="E29" i="59"/>
  <c r="AL24" i="59" s="1"/>
  <c r="AD84" i="58"/>
  <c r="AD85" i="58" s="1"/>
  <c r="C76" i="58"/>
  <c r="O29" i="59" s="1"/>
  <c r="AL101" i="59" s="1"/>
  <c r="C77" i="50"/>
  <c r="AD79" i="50"/>
  <c r="AD84" i="47"/>
  <c r="AD85" i="47" s="1"/>
  <c r="C80" i="47"/>
  <c r="M30" i="59" s="1"/>
  <c r="AL88" i="59" s="1"/>
  <c r="AD84" i="45"/>
  <c r="AD85" i="45" s="1"/>
  <c r="AD83" i="43"/>
  <c r="AD84" i="43" s="1"/>
  <c r="C79" i="43"/>
  <c r="K30" i="59" s="1"/>
  <c r="AL74" i="59" s="1"/>
  <c r="AL67" i="59"/>
  <c r="C77" i="38"/>
  <c r="AD79" i="38"/>
  <c r="C76" i="23"/>
  <c r="H29" i="59" s="1"/>
  <c r="AL52" i="59" s="1"/>
  <c r="C45" i="59" s="1"/>
  <c r="AD84" i="23"/>
  <c r="AD85" i="23" s="1"/>
  <c r="C75" i="15"/>
  <c r="G29" i="59" s="1"/>
  <c r="AL38" i="59" s="1"/>
  <c r="AD83" i="15"/>
  <c r="AD84" i="15" s="1"/>
  <c r="C75" i="13"/>
  <c r="AD83" i="13"/>
  <c r="AD84" i="13" s="1"/>
  <c r="AD84" i="12"/>
  <c r="AD85" i="12" s="1"/>
  <c r="AD83" i="11"/>
  <c r="AD84" i="11" s="1"/>
  <c r="AD79" i="10"/>
  <c r="C79" i="10" s="1"/>
  <c r="C30" i="59" s="1"/>
  <c r="AL9" i="59"/>
  <c r="C77" i="10"/>
  <c r="C86" i="11"/>
  <c r="AL66" i="59"/>
  <c r="C71" i="43"/>
  <c r="K26" i="59" s="1"/>
  <c r="AL70" i="59" s="1"/>
  <c r="AA42" i="59" s="1"/>
  <c r="C67" i="50"/>
  <c r="N28" i="59" s="1"/>
  <c r="AL93" i="59" s="1"/>
  <c r="C68" i="12"/>
  <c r="C67" i="38"/>
  <c r="I28" i="59" s="1"/>
  <c r="AL58" i="59" s="1"/>
  <c r="C67" i="11"/>
  <c r="C67" i="15"/>
  <c r="G28" i="59" s="1"/>
  <c r="AL37" i="59" s="1"/>
  <c r="C67" i="43"/>
  <c r="K28" i="59" s="1"/>
  <c r="AL72" i="59" s="1"/>
  <c r="C68" i="47"/>
  <c r="M28" i="59" s="1"/>
  <c r="AL86" i="59" s="1"/>
  <c r="C68" i="23"/>
  <c r="H28" i="59" s="1"/>
  <c r="AL51" i="59" s="1"/>
  <c r="C44" i="59" s="1"/>
  <c r="AL65" i="59"/>
  <c r="C67" i="13"/>
  <c r="C67" i="10"/>
  <c r="C28" i="59" s="1"/>
  <c r="C86" i="10"/>
  <c r="AA45" i="59" l="1"/>
  <c r="U45" i="59"/>
  <c r="W45" i="59"/>
  <c r="G45" i="59"/>
  <c r="W42" i="59"/>
  <c r="Y42" i="59"/>
  <c r="S42" i="59"/>
  <c r="U42" i="59"/>
  <c r="F28" i="59"/>
  <c r="AL30" i="59" s="1"/>
  <c r="D28" i="59"/>
  <c r="AL15" i="59" s="1"/>
  <c r="E28" i="59"/>
  <c r="AL23" i="59" s="1"/>
  <c r="G44" i="59" s="1"/>
  <c r="I46" i="59"/>
  <c r="I45" i="59"/>
  <c r="F29" i="59"/>
  <c r="AL31" i="59" s="1"/>
  <c r="Y45" i="59" s="1"/>
  <c r="O45" i="59"/>
  <c r="Q45" i="59"/>
  <c r="I44" i="59"/>
  <c r="S45" i="59"/>
  <c r="C84" i="12"/>
  <c r="C83" i="13"/>
  <c r="F32" i="59" s="1"/>
  <c r="AL34" i="59" s="1"/>
  <c r="AD83" i="10"/>
  <c r="AD84" i="10" s="1"/>
  <c r="C84" i="58"/>
  <c r="O32" i="59" s="1"/>
  <c r="AL104" i="59" s="1"/>
  <c r="M45" i="59"/>
  <c r="AD83" i="50"/>
  <c r="AD84" i="50" s="1"/>
  <c r="C79" i="50"/>
  <c r="N30" i="59" s="1"/>
  <c r="AL95" i="59" s="1"/>
  <c r="C84" i="47"/>
  <c r="M32" i="59" s="1"/>
  <c r="AL90" i="59" s="1"/>
  <c r="C84" i="45"/>
  <c r="L32" i="59" s="1"/>
  <c r="AL83" i="59" s="1"/>
  <c r="E45" i="59"/>
  <c r="C83" i="43"/>
  <c r="K32" i="59" s="1"/>
  <c r="AL76" i="59" s="1"/>
  <c r="K45" i="59"/>
  <c r="AL69" i="59"/>
  <c r="AD83" i="38"/>
  <c r="AD84" i="38" s="1"/>
  <c r="C79" i="38"/>
  <c r="I30" i="59" s="1"/>
  <c r="AL60" i="59" s="1"/>
  <c r="C84" i="23"/>
  <c r="H32" i="59" s="1"/>
  <c r="AL55" i="59" s="1"/>
  <c r="C83" i="15"/>
  <c r="G32" i="59" s="1"/>
  <c r="AL41" i="59" s="1"/>
  <c r="E44" i="59"/>
  <c r="AL10" i="59"/>
  <c r="AL8" i="59"/>
  <c r="W44" i="59" s="1"/>
  <c r="C86" i="15"/>
  <c r="C87" i="47"/>
  <c r="Y46" i="59" l="1"/>
  <c r="Y44" i="59"/>
  <c r="AA46" i="59"/>
  <c r="AA44" i="59"/>
  <c r="Q46" i="59"/>
  <c r="W46" i="59"/>
  <c r="U46" i="59"/>
  <c r="Q44" i="59"/>
  <c r="O46" i="59"/>
  <c r="C46" i="59"/>
  <c r="E46" i="59"/>
  <c r="G46" i="59"/>
  <c r="E32" i="59"/>
  <c r="AL27" i="59" s="1"/>
  <c r="E48" i="59" s="1"/>
  <c r="S44" i="59"/>
  <c r="C83" i="10"/>
  <c r="C32" i="59" s="1"/>
  <c r="AL12" i="59" s="1"/>
  <c r="W48" i="59" s="1"/>
  <c r="S46" i="59"/>
  <c r="C83" i="50"/>
  <c r="N32" i="59" s="1"/>
  <c r="AL97" i="59" s="1"/>
  <c r="K46" i="59"/>
  <c r="M46" i="59"/>
  <c r="C83" i="38"/>
  <c r="I32" i="59" s="1"/>
  <c r="AL62" i="59" s="1"/>
  <c r="C48" i="59" s="1"/>
  <c r="C86" i="43"/>
  <c r="C86" i="38"/>
  <c r="C87" i="45"/>
  <c r="C87" i="23"/>
  <c r="S48" i="59" l="1"/>
  <c r="U48" i="59"/>
  <c r="C86" i="50"/>
  <c r="C86" i="13" l="1"/>
  <c r="U2" i="10" l="1"/>
  <c r="U42" i="10" s="1"/>
  <c r="U43" i="10" s="1"/>
  <c r="U84" i="10" s="1"/>
  <c r="U2" i="43"/>
  <c r="U42" i="43" s="1"/>
  <c r="U43" i="43" s="1"/>
  <c r="U84" i="43" s="1"/>
  <c r="U2" i="45"/>
  <c r="U43" i="45" s="1"/>
  <c r="U44" i="45" s="1"/>
  <c r="U85" i="45" s="1"/>
  <c r="U2" i="47"/>
  <c r="U43" i="47" s="1"/>
  <c r="U44" i="47" s="1"/>
  <c r="U85" i="47" s="1"/>
  <c r="U2" i="50"/>
  <c r="U42" i="50" s="1"/>
  <c r="U2" i="11"/>
  <c r="U42" i="11" s="1"/>
  <c r="U43" i="11" s="1"/>
  <c r="U84" i="11" s="1"/>
  <c r="U2" i="12"/>
  <c r="U43" i="12" s="1"/>
  <c r="U44" i="12" s="1"/>
  <c r="U85" i="12" s="1"/>
  <c r="U2" i="13"/>
  <c r="U42" i="13" s="1"/>
  <c r="U43" i="13" s="1"/>
  <c r="U84" i="13" s="1"/>
  <c r="U2" i="15"/>
  <c r="U42" i="15" s="1"/>
  <c r="U43" i="15" s="1"/>
  <c r="U84" i="15" s="1"/>
  <c r="U2" i="23"/>
  <c r="U43" i="23" s="1"/>
  <c r="U44" i="23" s="1"/>
  <c r="U85" i="23" s="1"/>
  <c r="U2" i="38"/>
  <c r="U42" i="38" s="1"/>
  <c r="U43" i="38" s="1"/>
  <c r="U84" i="38" s="1"/>
  <c r="V2" i="50" l="1"/>
  <c r="V42" i="50" s="1"/>
  <c r="V43" i="50" s="1"/>
  <c r="V84" i="50" s="1"/>
  <c r="V2" i="58"/>
  <c r="V43" i="58" s="1"/>
  <c r="V44" i="58" s="1"/>
  <c r="V85" i="58" s="1"/>
  <c r="V2" i="38"/>
  <c r="V42" i="38" s="1"/>
  <c r="V2" i="10"/>
  <c r="V42" i="10" s="1"/>
  <c r="V43" i="10" s="1"/>
  <c r="V84" i="10" s="1"/>
  <c r="V2" i="13"/>
  <c r="V42" i="13" s="1"/>
  <c r="V2" i="45"/>
  <c r="V43" i="45" s="1"/>
  <c r="V44" i="45" s="1"/>
  <c r="V85" i="45" s="1"/>
  <c r="W2" i="58"/>
  <c r="W43" i="58" s="1"/>
  <c r="W44" i="58" s="1"/>
  <c r="W85" i="58" s="1"/>
  <c r="V2" i="11"/>
  <c r="V42" i="11" s="1"/>
  <c r="V2" i="15"/>
  <c r="V42" i="15" s="1"/>
  <c r="U43" i="50"/>
  <c r="U84" i="50" s="1"/>
  <c r="V2" i="47"/>
  <c r="V43" i="47" s="1"/>
  <c r="V44" i="47" s="1"/>
  <c r="V85" i="47" s="1"/>
  <c r="V2" i="12"/>
  <c r="V43" i="12" s="1"/>
  <c r="V2" i="43"/>
  <c r="V42" i="43" s="1"/>
  <c r="V2" i="23"/>
  <c r="V43" i="23" s="1"/>
  <c r="V44" i="23" l="1"/>
  <c r="V85" i="23" s="1"/>
  <c r="V44" i="12"/>
  <c r="V85" i="12" s="1"/>
  <c r="V43" i="13"/>
  <c r="V84" i="13" s="1"/>
  <c r="V43" i="43"/>
  <c r="V84" i="43" s="1"/>
  <c r="V43" i="38"/>
  <c r="V84" i="38" s="1"/>
  <c r="V43" i="11"/>
  <c r="V43" i="15"/>
  <c r="V84" i="15" s="1"/>
  <c r="W2" i="10"/>
  <c r="W42" i="10" s="1"/>
  <c r="W43" i="10" s="1"/>
  <c r="W84" i="10" s="1"/>
  <c r="W2" i="38"/>
  <c r="W42" i="38" s="1"/>
  <c r="W43" i="38" s="1"/>
  <c r="W84" i="38" s="1"/>
  <c r="W2" i="50"/>
  <c r="W42" i="50" s="1"/>
  <c r="W2" i="23"/>
  <c r="W43" i="23" s="1"/>
  <c r="W44" i="23" s="1"/>
  <c r="W85" i="23" s="1"/>
  <c r="W2" i="43"/>
  <c r="W42" i="43" s="1"/>
  <c r="W43" i="43" s="1"/>
  <c r="W84" i="43" s="1"/>
  <c r="W2" i="12"/>
  <c r="W43" i="12" s="1"/>
  <c r="W44" i="12" s="1"/>
  <c r="W85" i="12" s="1"/>
  <c r="W2" i="47"/>
  <c r="W43" i="47" s="1"/>
  <c r="W44" i="47" s="1"/>
  <c r="W85" i="47" s="1"/>
  <c r="W2" i="15"/>
  <c r="W42" i="15" s="1"/>
  <c r="W43" i="15" s="1"/>
  <c r="W84" i="15" s="1"/>
  <c r="W2" i="11"/>
  <c r="W42" i="11" s="1"/>
  <c r="W43" i="11" s="1"/>
  <c r="X2" i="58"/>
  <c r="X43" i="58" s="1"/>
  <c r="X44" i="58" s="1"/>
  <c r="X85" i="58" s="1"/>
  <c r="W2" i="45"/>
  <c r="W43" i="45" s="1"/>
  <c r="W44" i="45" s="1"/>
  <c r="W85" i="45" s="1"/>
  <c r="W2" i="13"/>
  <c r="W42" i="13" s="1"/>
  <c r="W43" i="13" s="1"/>
  <c r="W84" i="13" s="1"/>
  <c r="X2" i="45" l="1"/>
  <c r="X43" i="45" s="1"/>
  <c r="X2" i="13"/>
  <c r="X42" i="13" s="1"/>
  <c r="X43" i="13" s="1"/>
  <c r="X84" i="13" s="1"/>
  <c r="X2" i="10"/>
  <c r="X42" i="10" s="1"/>
  <c r="X43" i="10" s="1"/>
  <c r="X84" i="10" s="1"/>
  <c r="X2" i="38"/>
  <c r="X42" i="38" s="1"/>
  <c r="X43" i="38" s="1"/>
  <c r="X84" i="38" s="1"/>
  <c r="X2" i="50"/>
  <c r="X42" i="50" s="1"/>
  <c r="X43" i="50" s="1"/>
  <c r="X84" i="50" s="1"/>
  <c r="X2" i="23"/>
  <c r="X43" i="23" s="1"/>
  <c r="X44" i="23" s="1"/>
  <c r="X85" i="23" s="1"/>
  <c r="X2" i="43"/>
  <c r="X42" i="43" s="1"/>
  <c r="X43" i="43" s="1"/>
  <c r="X84" i="43" s="1"/>
  <c r="X2" i="12"/>
  <c r="X43" i="12" s="1"/>
  <c r="X44" i="12" s="1"/>
  <c r="X85" i="12" s="1"/>
  <c r="X2" i="47"/>
  <c r="X43" i="47" s="1"/>
  <c r="X2" i="15"/>
  <c r="X42" i="15" s="1"/>
  <c r="X2" i="11"/>
  <c r="X42" i="11" s="1"/>
  <c r="Y2" i="58"/>
  <c r="Y43" i="58" s="1"/>
  <c r="Y44" i="58" s="1"/>
  <c r="Y85" i="58" s="1"/>
  <c r="W43" i="50"/>
  <c r="W84" i="50" s="1"/>
  <c r="X44" i="45" l="1"/>
  <c r="X85" i="45" s="1"/>
  <c r="Y2" i="45"/>
  <c r="Y43" i="45" s="1"/>
  <c r="Y44" i="45" s="1"/>
  <c r="Y85" i="45" s="1"/>
  <c r="Y2" i="13"/>
  <c r="Y42" i="13" s="1"/>
  <c r="Y2" i="10"/>
  <c r="Y42" i="10" s="1"/>
  <c r="Y43" i="10" s="1"/>
  <c r="Y84" i="10" s="1"/>
  <c r="Y2" i="38"/>
  <c r="Y42" i="38" s="1"/>
  <c r="Y2" i="50"/>
  <c r="Y42" i="50" s="1"/>
  <c r="Y2" i="23"/>
  <c r="Y43" i="23" s="1"/>
  <c r="Y44" i="23" s="1"/>
  <c r="Y85" i="23" s="1"/>
  <c r="Y2" i="43"/>
  <c r="Y42" i="43" s="1"/>
  <c r="Y43" i="43" s="1"/>
  <c r="Y84" i="43" s="1"/>
  <c r="Y2" i="12"/>
  <c r="Y43" i="12" s="1"/>
  <c r="Y2" i="47"/>
  <c r="Y43" i="47" s="1"/>
  <c r="Y44" i="47" s="1"/>
  <c r="Y85" i="47" s="1"/>
  <c r="Y2" i="15"/>
  <c r="Y42" i="15" s="1"/>
  <c r="Y43" i="15" s="1"/>
  <c r="Y84" i="15" s="1"/>
  <c r="Y2" i="11"/>
  <c r="Y42" i="11" s="1"/>
  <c r="Y43" i="11" s="1"/>
  <c r="Y84" i="11" s="1"/>
  <c r="Z2" i="58"/>
  <c r="Z43" i="58" s="1"/>
  <c r="Z44" i="58" s="1"/>
  <c r="Z85" i="58" s="1"/>
  <c r="X43" i="11"/>
  <c r="X43" i="15"/>
  <c r="X84" i="15" s="1"/>
  <c r="X44" i="47"/>
  <c r="X85" i="47" s="1"/>
  <c r="Y43" i="50" l="1"/>
  <c r="Y84" i="50" s="1"/>
  <c r="Y43" i="38"/>
  <c r="Y84" i="38" s="1"/>
  <c r="Y43" i="13"/>
  <c r="Y84" i="13" s="1"/>
  <c r="Y44" i="12"/>
  <c r="Y85" i="12" s="1"/>
  <c r="Z2" i="11"/>
  <c r="Z42" i="11" s="1"/>
  <c r="Z43" i="11" s="1"/>
  <c r="Z84" i="11" s="1"/>
  <c r="AA2" i="58"/>
  <c r="AA43" i="58" s="1"/>
  <c r="AA44" i="58" s="1"/>
  <c r="AA85" i="58" s="1"/>
  <c r="Z2" i="45"/>
  <c r="Z43" i="45" s="1"/>
  <c r="Z2" i="13"/>
  <c r="Z42" i="13" s="1"/>
  <c r="Z43" i="13" s="1"/>
  <c r="Z84" i="13" s="1"/>
  <c r="Z2" i="10"/>
  <c r="Z42" i="10" s="1"/>
  <c r="Z43" i="10" s="1"/>
  <c r="Z84" i="10" s="1"/>
  <c r="Z2" i="38"/>
  <c r="Z42" i="38" s="1"/>
  <c r="Z43" i="38" s="1"/>
  <c r="Z84" i="38" s="1"/>
  <c r="Z2" i="50"/>
  <c r="Z42" i="50" s="1"/>
  <c r="Z43" i="50" s="1"/>
  <c r="Z84" i="50" s="1"/>
  <c r="Z2" i="23"/>
  <c r="Z43" i="23" s="1"/>
  <c r="Z44" i="23" s="1"/>
  <c r="Z85" i="23" s="1"/>
  <c r="Z2" i="43"/>
  <c r="Z42" i="43" s="1"/>
  <c r="Z2" i="12"/>
  <c r="Z43" i="12" s="1"/>
  <c r="Z44" i="12" s="1"/>
  <c r="Z85" i="12" s="1"/>
  <c r="Z2" i="47"/>
  <c r="Z43" i="47" s="1"/>
  <c r="Z2" i="15"/>
  <c r="Z42" i="15" s="1"/>
  <c r="AA2" i="47" l="1"/>
  <c r="AA43" i="47" s="1"/>
  <c r="AA44" i="47" s="1"/>
  <c r="AA85" i="47" s="1"/>
  <c r="AA2" i="15"/>
  <c r="AA42" i="15" s="1"/>
  <c r="AA43" i="15" s="1"/>
  <c r="AA84" i="15" s="1"/>
  <c r="AA2" i="11"/>
  <c r="AA42" i="11" s="1"/>
  <c r="AA43" i="11" s="1"/>
  <c r="AA84" i="11" s="1"/>
  <c r="AB2" i="58"/>
  <c r="AB43" i="58" s="1"/>
  <c r="AB44" i="58" s="1"/>
  <c r="AB85" i="58" s="1"/>
  <c r="AA2" i="45"/>
  <c r="AA43" i="45" s="1"/>
  <c r="AA44" i="45" s="1"/>
  <c r="AA85" i="45" s="1"/>
  <c r="AA2" i="13"/>
  <c r="AA42" i="13" s="1"/>
  <c r="AA2" i="10"/>
  <c r="AA42" i="10" s="1"/>
  <c r="AA43" i="10" s="1"/>
  <c r="AA84" i="10" s="1"/>
  <c r="AA2" i="38"/>
  <c r="AA42" i="38" s="1"/>
  <c r="AA43" i="38" s="1"/>
  <c r="AA84" i="38" s="1"/>
  <c r="AA2" i="50"/>
  <c r="AA42" i="50" s="1"/>
  <c r="AA43" i="50" s="1"/>
  <c r="AA84" i="50" s="1"/>
  <c r="AA2" i="23"/>
  <c r="AA43" i="23" s="1"/>
  <c r="AA2" i="43"/>
  <c r="AA42" i="43" s="1"/>
  <c r="AA43" i="43" s="1"/>
  <c r="AA84" i="43" s="1"/>
  <c r="AA2" i="12"/>
  <c r="AA43" i="12" s="1"/>
  <c r="Z44" i="47"/>
  <c r="Z85" i="47" s="1"/>
  <c r="Z44" i="45"/>
  <c r="Z85" i="45" s="1"/>
  <c r="Z43" i="15"/>
  <c r="Z84" i="15" s="1"/>
  <c r="Z43" i="43"/>
  <c r="Z84" i="43" s="1"/>
  <c r="AA43" i="13" l="1"/>
  <c r="AA84" i="13" s="1"/>
  <c r="AA44" i="12"/>
  <c r="AA85" i="12" s="1"/>
  <c r="AA44" i="23"/>
  <c r="AA85" i="23" s="1"/>
  <c r="AB2" i="47"/>
  <c r="AB43" i="47" s="1"/>
  <c r="AB44" i="47" s="1"/>
  <c r="AB85" i="47" s="1"/>
  <c r="AB2" i="15"/>
  <c r="AB42" i="15" s="1"/>
  <c r="AB2" i="11"/>
  <c r="AB42" i="11" s="1"/>
  <c r="AC2" i="58"/>
  <c r="AC43" i="58" s="1"/>
  <c r="A43" i="58" s="1"/>
  <c r="AB2" i="45"/>
  <c r="AB43" i="45" s="1"/>
  <c r="AB44" i="45" s="1"/>
  <c r="AB85" i="45" s="1"/>
  <c r="AB2" i="13"/>
  <c r="AB42" i="13" s="1"/>
  <c r="AB43" i="13" s="1"/>
  <c r="AB84" i="13" s="1"/>
  <c r="AB2" i="10"/>
  <c r="AB42" i="10" s="1"/>
  <c r="AB43" i="10" s="1"/>
  <c r="AB84" i="10" s="1"/>
  <c r="AB2" i="38"/>
  <c r="AB42" i="38" s="1"/>
  <c r="AB2" i="50"/>
  <c r="AB42" i="50" s="1"/>
  <c r="AB43" i="50" s="1"/>
  <c r="AB84" i="50" s="1"/>
  <c r="AB2" i="23"/>
  <c r="AB43" i="23" s="1"/>
  <c r="AB44" i="23" s="1"/>
  <c r="AB85" i="23" s="1"/>
  <c r="AB2" i="43"/>
  <c r="AB42" i="43" s="1"/>
  <c r="AB2" i="12"/>
  <c r="AB43" i="12" s="1"/>
  <c r="AB44" i="12" s="1"/>
  <c r="AB85" i="12" s="1"/>
  <c r="AC44" i="58" l="1"/>
  <c r="B43" i="58"/>
  <c r="AB43" i="38"/>
  <c r="AB84" i="38" s="1"/>
  <c r="AB43" i="11"/>
  <c r="AB84" i="11" s="1"/>
  <c r="AB43" i="15"/>
  <c r="AB84" i="15" s="1"/>
  <c r="AB43" i="43"/>
  <c r="AB84" i="43" s="1"/>
  <c r="AC2" i="43"/>
  <c r="AC42" i="43" s="1"/>
  <c r="AC2" i="12"/>
  <c r="AC43" i="12" s="1"/>
  <c r="AC2" i="47"/>
  <c r="AC43" i="47" s="1"/>
  <c r="A43" i="47" s="1"/>
  <c r="AC2" i="15"/>
  <c r="AC42" i="15" s="1"/>
  <c r="AC2" i="11"/>
  <c r="AC42" i="11" s="1"/>
  <c r="AC2" i="45"/>
  <c r="AC43" i="45" s="1"/>
  <c r="A43" i="45" s="1"/>
  <c r="AC2" i="13"/>
  <c r="AC42" i="13" s="1"/>
  <c r="B42" i="13" s="1"/>
  <c r="AC2" i="10"/>
  <c r="AC42" i="10" s="1"/>
  <c r="AC2" i="38"/>
  <c r="AC42" i="38" s="1"/>
  <c r="AC2" i="50"/>
  <c r="AC42" i="50" s="1"/>
  <c r="A42" i="50" s="1"/>
  <c r="AC2" i="23"/>
  <c r="AC43" i="23" s="1"/>
  <c r="A43" i="23" s="1"/>
  <c r="AC43" i="43" l="1"/>
  <c r="A42" i="43"/>
  <c r="AC43" i="11"/>
  <c r="A42" i="11"/>
  <c r="AC43" i="15"/>
  <c r="A42" i="15"/>
  <c r="AC43" i="38"/>
  <c r="A42" i="38"/>
  <c r="B42" i="10"/>
  <c r="A42" i="10"/>
  <c r="AC43" i="13"/>
  <c r="A42" i="13"/>
  <c r="AC44" i="12"/>
  <c r="A43" i="12"/>
  <c r="A44" i="58"/>
  <c r="AC85" i="58"/>
  <c r="B43" i="11"/>
  <c r="D27" i="59" s="1"/>
  <c r="B44" i="58"/>
  <c r="O27" i="59" s="1"/>
  <c r="AL99" i="59" s="1"/>
  <c r="AC43" i="10"/>
  <c r="B42" i="11"/>
  <c r="B42" i="43"/>
  <c r="B43" i="12"/>
  <c r="B42" i="15"/>
  <c r="AC44" i="47"/>
  <c r="B43" i="47"/>
  <c r="B42" i="38"/>
  <c r="AC44" i="23"/>
  <c r="B43" i="23"/>
  <c r="AC43" i="50"/>
  <c r="B42" i="50"/>
  <c r="AC44" i="45"/>
  <c r="B43" i="45"/>
  <c r="U44" i="59" l="1"/>
  <c r="AA48" i="59"/>
  <c r="Y48" i="59"/>
  <c r="A43" i="43"/>
  <c r="AC84" i="43"/>
  <c r="C84" i="43" s="1"/>
  <c r="C88" i="43" s="1"/>
  <c r="F15" i="7" s="1"/>
  <c r="E15" i="7" s="1"/>
  <c r="A44" i="45"/>
  <c r="AC85" i="45"/>
  <c r="A44" i="47"/>
  <c r="AC85" i="47"/>
  <c r="A43" i="15"/>
  <c r="AC84" i="15"/>
  <c r="C84" i="15" s="1"/>
  <c r="C88" i="15" s="1"/>
  <c r="F11" i="7" s="1"/>
  <c r="E11" i="7" s="1"/>
  <c r="B43" i="15"/>
  <c r="G27" i="59" s="1"/>
  <c r="AL36" i="59" s="1"/>
  <c r="B43" i="38"/>
  <c r="I27" i="59" s="1"/>
  <c r="AL57" i="59" s="1"/>
  <c r="A43" i="38"/>
  <c r="AC84" i="38"/>
  <c r="C84" i="38" s="1"/>
  <c r="C88" i="38" s="1"/>
  <c r="F13" i="7" s="1"/>
  <c r="E13" i="7" s="1"/>
  <c r="A43" i="50"/>
  <c r="AC84" i="50"/>
  <c r="C84" i="50" s="1"/>
  <c r="C88" i="50" s="1"/>
  <c r="A43" i="10"/>
  <c r="AC84" i="10"/>
  <c r="C84" i="10" s="1"/>
  <c r="C88" i="10" s="1"/>
  <c r="F7" i="7" s="1"/>
  <c r="E7" i="7" s="1"/>
  <c r="B44" i="12"/>
  <c r="E27" i="59" s="1"/>
  <c r="AL22" i="59" s="1"/>
  <c r="AC85" i="12"/>
  <c r="C85" i="12" s="1"/>
  <c r="C89" i="12" s="1"/>
  <c r="J12" i="7" s="1"/>
  <c r="B43" i="13"/>
  <c r="F27" i="59" s="1"/>
  <c r="AL29" i="59" s="1"/>
  <c r="A43" i="13"/>
  <c r="AC84" i="13"/>
  <c r="C84" i="13" s="1"/>
  <c r="C88" i="13" s="1"/>
  <c r="J19" i="7" s="1"/>
  <c r="A43" i="11"/>
  <c r="AC84" i="11"/>
  <c r="A44" i="23"/>
  <c r="AC85" i="23"/>
  <c r="C85" i="23" s="1"/>
  <c r="C89" i="23" s="1"/>
  <c r="J10" i="7" s="1"/>
  <c r="B43" i="43"/>
  <c r="K27" i="59" s="1"/>
  <c r="AL71" i="59" s="1"/>
  <c r="J15" i="7"/>
  <c r="AL14" i="59"/>
  <c r="B44" i="23"/>
  <c r="H27" i="59" s="1"/>
  <c r="AL50" i="59" s="1"/>
  <c r="C43" i="59" s="1"/>
  <c r="B43" i="10"/>
  <c r="C27" i="59" s="1"/>
  <c r="C85" i="58"/>
  <c r="C89" i="58" s="1"/>
  <c r="B43" i="50"/>
  <c r="N27" i="59" s="1"/>
  <c r="AL92" i="59" s="1"/>
  <c r="B44" i="47"/>
  <c r="M27" i="59" s="1"/>
  <c r="AL85" i="59" s="1"/>
  <c r="C85" i="47"/>
  <c r="C89" i="47" s="1"/>
  <c r="B44" i="45"/>
  <c r="L27" i="59" s="1"/>
  <c r="AL78" i="59" s="1"/>
  <c r="C85" i="45"/>
  <c r="C89" i="45" s="1"/>
  <c r="AL64" i="59"/>
  <c r="J14" i="7" l="1"/>
  <c r="J16" i="7"/>
  <c r="F10" i="7"/>
  <c r="E10" i="7" s="1"/>
  <c r="I43" i="59"/>
  <c r="F9" i="7"/>
  <c r="E9" i="7" s="1"/>
  <c r="G43" i="59"/>
  <c r="F12" i="7"/>
  <c r="E12" i="7" s="1"/>
  <c r="AL7" i="59"/>
  <c r="AA43" i="59" s="1"/>
  <c r="J8" i="7"/>
  <c r="M43" i="59"/>
  <c r="K43" i="59"/>
  <c r="O43" i="59"/>
  <c r="F19" i="7"/>
  <c r="E19" i="7" s="1"/>
  <c r="J9" i="7"/>
  <c r="F18" i="7"/>
  <c r="E18" i="7" s="1"/>
  <c r="J11" i="7"/>
  <c r="J13" i="7"/>
  <c r="F17" i="7"/>
  <c r="E17" i="7" s="1"/>
  <c r="E43" i="59"/>
  <c r="U43" i="59" l="1"/>
  <c r="W43" i="59"/>
  <c r="S43" i="59"/>
  <c r="Q43" i="59"/>
  <c r="G32" i="17"/>
  <c r="H33" i="17"/>
  <c r="F33" i="17"/>
  <c r="G33" i="17"/>
  <c r="J34" i="17"/>
  <c r="J44" i="17" s="1"/>
  <c r="H32" i="17"/>
  <c r="F32" i="17"/>
  <c r="I33" i="17"/>
  <c r="K33" i="17"/>
  <c r="H34" i="17" l="1"/>
  <c r="H44" i="17" s="1"/>
  <c r="G34" i="17"/>
  <c r="G44" i="17" s="1"/>
  <c r="I34" i="17"/>
  <c r="I44" i="17" s="1"/>
  <c r="F34" i="17"/>
  <c r="F44" i="17" s="1"/>
  <c r="K32" i="17"/>
  <c r="K34" i="17" s="1"/>
  <c r="K44" i="17" s="1"/>
  <c r="L32" i="17" l="1"/>
  <c r="L33" i="17"/>
  <c r="N33" i="17" l="1"/>
  <c r="N32" i="17"/>
  <c r="L34" i="17"/>
  <c r="L44" i="17" s="1"/>
  <c r="M32" i="17"/>
  <c r="M33" i="17"/>
  <c r="T32" i="17" l="1"/>
  <c r="T33" i="17"/>
  <c r="M34" i="17"/>
  <c r="M44" i="17" s="1"/>
  <c r="Y32" i="17" l="1"/>
  <c r="Y33" i="17"/>
  <c r="O33" i="17"/>
  <c r="O32" i="17"/>
  <c r="N34" i="17"/>
  <c r="N44" i="17" s="1"/>
  <c r="O34" i="17" l="1"/>
  <c r="O44" i="17" s="1"/>
  <c r="P32" i="17"/>
  <c r="P33" i="17"/>
  <c r="Q32" i="17" l="1"/>
  <c r="Q33" i="17"/>
  <c r="P34" i="17"/>
  <c r="P44" i="17" s="1"/>
  <c r="Q34" i="17" l="1"/>
  <c r="Q44" i="17" s="1"/>
  <c r="R32" i="17"/>
  <c r="R33" i="17"/>
  <c r="S32" i="17" l="1"/>
  <c r="S33" i="17"/>
  <c r="R34" i="17"/>
  <c r="R44" i="17" s="1"/>
  <c r="S34" i="17" l="1"/>
  <c r="S44" i="17" s="1"/>
  <c r="T34" i="17" l="1"/>
  <c r="T44" i="17" s="1"/>
  <c r="W32" i="17" l="1"/>
  <c r="AA32" i="17"/>
  <c r="X32" i="17"/>
  <c r="U33" i="17"/>
  <c r="AB32" i="17"/>
  <c r="Z32" i="17"/>
  <c r="V33" i="17"/>
  <c r="X33" i="17"/>
  <c r="AB33" i="17"/>
  <c r="Z33" i="17"/>
  <c r="AC32" i="17"/>
  <c r="V32" i="17"/>
  <c r="U32" i="17"/>
  <c r="AA33" i="17"/>
  <c r="AC33" i="17"/>
  <c r="W33" i="17"/>
  <c r="X34" i="17" l="1"/>
  <c r="X44" i="17" s="1"/>
  <c r="AB34" i="17"/>
  <c r="AB44" i="17" s="1"/>
  <c r="Y34" i="17"/>
  <c r="Y44" i="17" s="1"/>
  <c r="U34" i="17"/>
  <c r="AC34" i="17"/>
  <c r="AC44" i="17" s="1"/>
  <c r="V34" i="17"/>
  <c r="Z34" i="17"/>
  <c r="Z44" i="17" s="1"/>
  <c r="C32" i="17"/>
  <c r="C58" i="17" s="1"/>
  <c r="AA34" i="17"/>
  <c r="AA44" i="17" s="1"/>
  <c r="C33" i="17"/>
  <c r="C59" i="17" s="1"/>
  <c r="W34" i="17"/>
  <c r="W44" i="17" l="1"/>
  <c r="V44" i="17"/>
  <c r="U44" i="17"/>
  <c r="C34" i="17"/>
  <c r="C60" i="17" s="1"/>
  <c r="C44" i="17" l="1"/>
  <c r="C66" i="17" s="1"/>
  <c r="W57" i="23"/>
  <c r="Y57" i="23"/>
  <c r="Z57" i="23" l="1"/>
  <c r="AA57" i="23" l="1"/>
  <c r="AC57" i="23" l="1"/>
  <c r="AB57" i="23"/>
  <c r="AO98" i="18"/>
  <c r="I60" i="18" s="1"/>
  <c r="B57" i="23" l="1"/>
  <c r="H19" i="60" s="1"/>
  <c r="A57" i="23"/>
  <c r="E60" i="18"/>
  <c r="G60" i="18"/>
  <c r="P19" i="60" l="1"/>
  <c r="Q19" i="60"/>
  <c r="R19" i="60"/>
  <c r="H35" i="18"/>
  <c r="AN98" i="18" s="1"/>
  <c r="C24" i="17" l="1"/>
  <c r="C50" i="17" s="1"/>
  <c r="V52" i="11"/>
  <c r="W52" i="11"/>
  <c r="AO26" i="18" l="1"/>
  <c r="Q56" i="18" s="1"/>
  <c r="X52" i="11"/>
  <c r="B52" i="11" s="1"/>
  <c r="D15" i="60" s="1"/>
  <c r="W71" i="11"/>
  <c r="W83" i="11" s="1"/>
  <c r="W84" i="11" s="1"/>
  <c r="A52" i="11" l="1"/>
  <c r="Q15" i="60"/>
  <c r="P15" i="60"/>
  <c r="R15" i="60"/>
  <c r="D31" i="18"/>
  <c r="AN26" i="18" s="1"/>
  <c r="V71" i="11"/>
  <c r="V83" i="11" s="1"/>
  <c r="V84" i="11" s="1"/>
  <c r="C70" i="11"/>
  <c r="G42" i="59" l="1"/>
  <c r="I42" i="59"/>
  <c r="M42" i="59"/>
  <c r="K42" i="59"/>
  <c r="O42" i="59"/>
  <c r="X71" i="11"/>
  <c r="X83" i="11" s="1"/>
  <c r="X84" i="11" s="1"/>
  <c r="C69" i="11"/>
  <c r="C83" i="11" l="1"/>
  <c r="C84" i="11"/>
  <c r="C88" i="11" s="1"/>
  <c r="C71" i="11"/>
  <c r="D26" i="59" s="1"/>
  <c r="AL13" i="59" s="1"/>
  <c r="Q42" i="59" s="1"/>
  <c r="D32" i="59" l="1"/>
  <c r="AL20" i="59" s="1"/>
  <c r="J17" i="7"/>
  <c r="F8" i="7"/>
  <c r="E8" i="7" s="1"/>
  <c r="I48" i="59" l="1"/>
  <c r="G48" i="59"/>
  <c r="K48" i="59"/>
  <c r="M48" i="59"/>
  <c r="O48" i="59"/>
  <c r="Q48" i="59"/>
  <c r="O49" i="45"/>
  <c r="O46" i="45"/>
  <c r="U46" i="45"/>
  <c r="S49" i="45"/>
  <c r="R46" i="45"/>
  <c r="R48" i="45"/>
  <c r="S48" i="45"/>
  <c r="S47" i="45"/>
  <c r="P48" i="45"/>
  <c r="P46" i="45"/>
  <c r="Q46" i="45"/>
  <c r="S46" i="45"/>
  <c r="Q48" i="45"/>
  <c r="R49" i="45"/>
  <c r="R47" i="45"/>
  <c r="Q49" i="45"/>
  <c r="P49" i="45"/>
  <c r="Q47" i="45"/>
  <c r="P47" i="45"/>
  <c r="V46" i="45" l="1"/>
  <c r="U47" i="45"/>
  <c r="U48" i="45"/>
  <c r="V47" i="45"/>
  <c r="V49" i="45"/>
  <c r="W46" i="45"/>
  <c r="X46" i="45"/>
  <c r="V48" i="45"/>
  <c r="O47" i="45"/>
  <c r="O48" i="45"/>
  <c r="AO139" i="18"/>
  <c r="O49" i="18" s="1"/>
  <c r="U49" i="45"/>
  <c r="B46" i="45" l="1"/>
  <c r="L8" i="60" s="1"/>
  <c r="A46" i="45"/>
  <c r="W49" i="45"/>
  <c r="W48" i="45"/>
  <c r="W47" i="45"/>
  <c r="X47" i="45"/>
  <c r="B47" i="45" s="1"/>
  <c r="L9" i="60" s="1"/>
  <c r="L24" i="18" l="1"/>
  <c r="AN139" i="18" s="1"/>
  <c r="A47" i="45"/>
  <c r="AO140" i="18"/>
  <c r="O50" i="18" s="1"/>
  <c r="L25" i="18"/>
  <c r="AN140" i="18" s="1"/>
  <c r="X48" i="45"/>
  <c r="B48" i="45" s="1"/>
  <c r="L10" i="60" s="1"/>
  <c r="AO141" i="18"/>
  <c r="O51" i="18" s="1"/>
  <c r="X49" i="45"/>
  <c r="AO142" i="18"/>
  <c r="O52" i="18" s="1"/>
  <c r="B49" i="45" l="1"/>
  <c r="L11" i="60" s="1"/>
  <c r="A49" i="45"/>
  <c r="A48" i="45"/>
  <c r="L26" i="18"/>
  <c r="AN141" i="18" s="1"/>
  <c r="L27" i="18" l="1"/>
  <c r="AN142" i="18" s="1"/>
  <c r="R45" i="45"/>
  <c r="U45" i="45"/>
  <c r="S45" i="45"/>
  <c r="P45" i="45"/>
  <c r="Q45" i="45"/>
  <c r="X45" i="45" l="1"/>
  <c r="W45" i="45"/>
  <c r="AO138" i="18"/>
  <c r="O48" i="18" s="1"/>
  <c r="V45" i="45"/>
  <c r="O45" i="45"/>
  <c r="A45" i="45" s="1"/>
  <c r="B45" i="45" l="1"/>
  <c r="L7" i="60" s="1"/>
  <c r="L23" i="18" l="1"/>
  <c r="AN138" i="18" s="1"/>
  <c r="C66" i="45"/>
  <c r="C67" i="45"/>
  <c r="C68" i="45" l="1"/>
  <c r="L28" i="59" s="1"/>
  <c r="AL79" i="59" s="1"/>
  <c r="K44" i="59" l="1"/>
  <c r="Y43" i="59"/>
  <c r="O44" i="59"/>
  <c r="M44" i="59"/>
  <c r="F16" i="7" l="1"/>
  <c r="E16" i="7" s="1"/>
  <c r="J18" i="7"/>
  <c r="O45" i="23" l="1"/>
  <c r="N45" i="23"/>
  <c r="K45" i="23" l="1"/>
  <c r="P45" i="23"/>
  <c r="Q45" i="23" l="1"/>
  <c r="L45" i="23"/>
  <c r="M45" i="23" l="1"/>
  <c r="R45" i="23"/>
  <c r="S45" i="23"/>
  <c r="A45" i="23" s="1"/>
  <c r="B45" i="23" l="1"/>
  <c r="H7" i="60" s="1"/>
  <c r="AO86" i="18"/>
  <c r="I48" i="18" s="1"/>
  <c r="R7" i="60" l="1"/>
  <c r="P7" i="60"/>
  <c r="Q7" i="60"/>
  <c r="E48" i="18"/>
  <c r="G48" i="18"/>
  <c r="H23" i="18"/>
  <c r="AN86" i="18" s="1"/>
  <c r="K48" i="23" l="1"/>
  <c r="K47" i="23"/>
  <c r="K49" i="23"/>
  <c r="K46" i="23"/>
  <c r="N49" i="23"/>
  <c r="N48" i="23"/>
  <c r="N47" i="23"/>
  <c r="L49" i="23"/>
  <c r="M49" i="23"/>
  <c r="M47" i="23"/>
  <c r="M48" i="23"/>
  <c r="L47" i="23"/>
  <c r="P48" i="23"/>
  <c r="L48" i="23"/>
  <c r="P49" i="23" l="1"/>
  <c r="R48" i="23"/>
  <c r="S48" i="23"/>
  <c r="Q49" i="23"/>
  <c r="P47" i="23"/>
  <c r="Q48" i="23"/>
  <c r="B48" i="23" s="1"/>
  <c r="A48" i="23" l="1"/>
  <c r="H10" i="60"/>
  <c r="P10" i="60" s="1"/>
  <c r="H26" i="18"/>
  <c r="AN89" i="18" s="1"/>
  <c r="R49" i="23"/>
  <c r="AO89" i="18"/>
  <c r="I51" i="18" s="1"/>
  <c r="Q47" i="23"/>
  <c r="R10" i="60" l="1"/>
  <c r="Q10" i="60"/>
  <c r="E51" i="18"/>
  <c r="G51" i="18"/>
  <c r="S49" i="23"/>
  <c r="A49" i="23" s="1"/>
  <c r="AO90" i="18"/>
  <c r="I52" i="18" s="1"/>
  <c r="R47" i="23"/>
  <c r="S47" i="23"/>
  <c r="AO88" i="18"/>
  <c r="I50" i="18" s="1"/>
  <c r="B47" i="23" l="1"/>
  <c r="H9" i="60" s="1"/>
  <c r="R9" i="60" s="1"/>
  <c r="A47" i="23"/>
  <c r="B49" i="23"/>
  <c r="H11" i="60" s="1"/>
  <c r="P11" i="60" s="1"/>
  <c r="E50" i="18"/>
  <c r="G50" i="18"/>
  <c r="E52" i="18"/>
  <c r="G52" i="18"/>
  <c r="H25" i="18" l="1"/>
  <c r="AN88" i="18" s="1"/>
  <c r="H27" i="18"/>
  <c r="AN90" i="18" s="1"/>
  <c r="R11" i="60"/>
  <c r="Q11" i="60"/>
  <c r="Q9" i="60"/>
  <c r="P9" i="60"/>
  <c r="N46" i="23"/>
  <c r="L46" i="23"/>
  <c r="Q46" i="23" l="1"/>
  <c r="M46" i="23"/>
  <c r="P46" i="23"/>
  <c r="R46" i="23" l="1"/>
  <c r="S46" i="23" l="1"/>
  <c r="AO87" i="18"/>
  <c r="I49" i="18" s="1"/>
  <c r="B46" i="23" l="1"/>
  <c r="H8" i="60" s="1"/>
  <c r="P8" i="60" s="1"/>
  <c r="A46" i="23"/>
  <c r="E49" i="18"/>
  <c r="G49" i="18"/>
  <c r="R8" i="60" l="1"/>
  <c r="H24" i="18"/>
  <c r="AN87" i="18" s="1"/>
  <c r="Q8" i="60"/>
  <c r="O20" i="60"/>
  <c r="C20" i="60"/>
  <c r="K20" i="60"/>
  <c r="N20" i="60"/>
  <c r="G20" i="60"/>
  <c r="I20" i="60"/>
  <c r="D20" i="60"/>
  <c r="F20" i="60"/>
  <c r="L20" i="60"/>
  <c r="J20" i="60"/>
  <c r="E20" i="60"/>
  <c r="M20" i="60"/>
  <c r="H20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 this spreadsheet all relevant benefits associated with project savings have been monetized and alternatives are ranked using their Cost-to-Benefit ratio performance.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A6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Criteria is positive in less than 4 categories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A4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Criteria is negative value in less than 2 categories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C3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
Sum of the EENS accumulated under N-1 condition, considering all outages in the system</t>
        </r>
      </text>
    </comment>
    <comment ref="C4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Representative of the peak MW load drop required while considering all outages</t>
        </r>
      </text>
    </comment>
    <comment ref="C5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
Sum of total customers interrupted for all outages x number of outage hours/ total number of customers served.</t>
        </r>
      </text>
    </comment>
    <comment ref="C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Sum of total hours customers were without power due to all outages/ total number of customers served.</t>
        </r>
      </text>
    </comment>
    <comment ref="C7" authorId="0" shapeId="0" xr:uid="{00000000-0006-0000-0500-000005000000}">
      <text>
        <r>
          <rPr>
            <sz val="9"/>
            <color indexed="81"/>
            <rFont val="Tahoma"/>
            <family val="2"/>
          </rPr>
          <t xml:space="preserve">
Periods with flexibility shortages in the system</t>
        </r>
      </text>
    </comment>
    <comment ref="C8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
Sum of EENS accumulated due to N-0 overloads in the system (transformer and lines)</t>
        </r>
      </text>
    </comment>
    <comment ref="C13" authorId="0" shapeId="0" xr:uid="{00000000-0006-0000-0500-000007000000}">
      <text>
        <r>
          <rPr>
            <sz val="9"/>
            <color indexed="81"/>
            <rFont val="Tahoma"/>
            <family val="2"/>
          </rPr>
          <t xml:space="preserve">
Sum of EENS accumulated under N-2 events in the systems (emergency, planned or unplanned maintainence events)</t>
        </r>
      </text>
    </comment>
    <comment ref="C14" authorId="0" shapeId="0" xr:uid="{00000000-0006-0000-0500-000008000000}">
      <text>
        <r>
          <rPr>
            <sz val="9"/>
            <color indexed="81"/>
            <rFont val="Tahoma"/>
            <family val="2"/>
          </rPr>
          <t xml:space="preserve">
Sum of EENS accumulated under entire Valley substation outage (considered over 2 week period)
</t>
        </r>
      </text>
    </comment>
    <comment ref="C15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
Sum of EENS accumulated considering N-2 transformer outage event at Valley South (Loss of Valley Transformer and unavailable spare)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AD2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Auld-Moraga circuit N-0 overload</t>
        </r>
      </text>
    </comment>
  </commentList>
</comments>
</file>

<file path=xl/sharedStrings.xml><?xml version="1.0" encoding="utf-8"?>
<sst xmlns="http://schemas.openxmlformats.org/spreadsheetml/2006/main" count="2636" uniqueCount="173">
  <si>
    <t xml:space="preserve">Summary of Cost-Benefit analysis </t>
  </si>
  <si>
    <t>($ millions)</t>
  </si>
  <si>
    <t>#</t>
  </si>
  <si>
    <t>Project</t>
  </si>
  <si>
    <t xml:space="preserve">Total Nominal Capital Cost </t>
  </si>
  <si>
    <t>Present Value of Revenue Requirement</t>
  </si>
  <si>
    <t>Benefit($M)</t>
  </si>
  <si>
    <t>Benefit-Cost Ratio</t>
  </si>
  <si>
    <t>Cost-Benefit Ratio</t>
  </si>
  <si>
    <t>Alberhill System Project</t>
  </si>
  <si>
    <t>Mira Loma</t>
  </si>
  <si>
    <t>SDG&amp;E</t>
  </si>
  <si>
    <t>Valley South to Valley North to Vista</t>
  </si>
  <si>
    <t>Valley South to Valley North</t>
  </si>
  <si>
    <t>Centralized BESS in Valley South</t>
  </si>
  <si>
    <t>Valley South to Valley North and Distributed BESS in Valley South</t>
  </si>
  <si>
    <t>Mira Loma and Centralized BESS in Valley South</t>
  </si>
  <si>
    <t>SDG&amp;E and Centralized BESS in Valley South</t>
  </si>
  <si>
    <t>Menifee</t>
  </si>
  <si>
    <t>Valley South to Valley North to Vista and Centralized BESS in Valley South</t>
  </si>
  <si>
    <t>SCE Orange County</t>
  </si>
  <si>
    <t>Valley South to Valley North and Centralized BESS in Valley South and Valley North</t>
  </si>
  <si>
    <t xml:space="preserve">Incremental Cost-Benefit analysis taking into consideration Non-Monetized Benefits of reliability indices. </t>
  </si>
  <si>
    <t>Present Value</t>
  </si>
  <si>
    <t>Aggregate</t>
  </si>
  <si>
    <t>For Calculations only</t>
  </si>
  <si>
    <t>Baseline</t>
  </si>
  <si>
    <t>Category</t>
  </si>
  <si>
    <t>NPV of benefits between Project and Baseline</t>
  </si>
  <si>
    <t>NPV of Project Performance</t>
  </si>
  <si>
    <t>N-1</t>
  </si>
  <si>
    <t>EENS</t>
  </si>
  <si>
    <t>IP</t>
  </si>
  <si>
    <t>SAIDI</t>
  </si>
  <si>
    <t>SAIFI</t>
  </si>
  <si>
    <t>PFD</t>
  </si>
  <si>
    <t>Available Flex-1</t>
  </si>
  <si>
    <t>Available Flex-2-1</t>
  </si>
  <si>
    <t>Available Flex-2-2</t>
  </si>
  <si>
    <t>N-0</t>
  </si>
  <si>
    <t>Present Value of Benefits by Project</t>
  </si>
  <si>
    <t>Ranking of Projects by Cost</t>
  </si>
  <si>
    <t>Alternative selection</t>
  </si>
  <si>
    <t>Preferred Trend</t>
  </si>
  <si>
    <t>↓</t>
  </si>
  <si>
    <t>Decision to move forward (Y/N)</t>
  </si>
  <si>
    <t>Y</t>
  </si>
  <si>
    <t>N</t>
  </si>
  <si>
    <t>Baseline - Alberhill</t>
  </si>
  <si>
    <t>Incremental Cost-Benefit analysis taking into consideration applicable Monetized Benefits</t>
  </si>
  <si>
    <t>Losses</t>
  </si>
  <si>
    <t>Flexibility-1</t>
  </si>
  <si>
    <t>Flexibility-2-1</t>
  </si>
  <si>
    <t>Flexibility-2-2</t>
  </si>
  <si>
    <t>Total</t>
  </si>
  <si>
    <t>Alberhill System Project (A)</t>
  </si>
  <si>
    <t>SDG&amp;E(B)</t>
  </si>
  <si>
    <t>Valley South to Valley North to Vista (G)</t>
  </si>
  <si>
    <t>Centralized BESS in Valley South (H)</t>
  </si>
  <si>
    <t>Mira Loma and Centralized BESS in Valley South (K)</t>
  </si>
  <si>
    <t>Valley South to Valley North and Distributed BESS in Valley South (I)</t>
  </si>
  <si>
    <t>Menifee(D)</t>
  </si>
  <si>
    <t>Mira Loma(E)</t>
  </si>
  <si>
    <t>SCE Orange County(C)</t>
  </si>
  <si>
    <t>Valley South to Valley North and Centralized BESS in Valley South and Valley North (L)</t>
  </si>
  <si>
    <t>Valley South to Valley North to Vista and Centralized BESS in Valley South (M)</t>
  </si>
  <si>
    <t>SDG&amp;E and Centralized BESS in Valley South (J)</t>
  </si>
  <si>
    <t>Valley South to Valley North(F)</t>
  </si>
  <si>
    <t>Present Value of Monetized Benefits($)</t>
  </si>
  <si>
    <t>EENS ($M)</t>
  </si>
  <si>
    <t>Losses ($M)</t>
  </si>
  <si>
    <t>Flexibility-1 ($M)</t>
  </si>
  <si>
    <t>Flexibility-2-1 ($M)</t>
  </si>
  <si>
    <t>Flexibility-2-2 ($M)</t>
  </si>
  <si>
    <t>Aggregate ($M)</t>
  </si>
  <si>
    <t>↑</t>
  </si>
  <si>
    <t>Evaluation of Present Value of Cost $/ Present Value of Benefit</t>
  </si>
  <si>
    <t>Levelized cost analysis ( Present Value of Cost $/Present Value of Benefit) for each Alternative</t>
  </si>
  <si>
    <t>Alternative Ranking</t>
  </si>
  <si>
    <t>Reliability Metrics</t>
  </si>
  <si>
    <t>Rank #1</t>
  </si>
  <si>
    <t>Rank #2</t>
  </si>
  <si>
    <t>Rank #3</t>
  </si>
  <si>
    <t>EENS ↓</t>
  </si>
  <si>
    <t>IP ↓</t>
  </si>
  <si>
    <t>SAIDI ↓</t>
  </si>
  <si>
    <t>SAIFI ↓</t>
  </si>
  <si>
    <t>PFD ↓</t>
  </si>
  <si>
    <r>
      <t>Flex-1</t>
    </r>
    <r>
      <rPr>
        <b/>
        <sz val="11"/>
        <color theme="1"/>
        <rFont val="Calibri"/>
        <family val="2"/>
      </rPr>
      <t>↓</t>
    </r>
  </si>
  <si>
    <t xml:space="preserve"> Flex-2-1↓</t>
  </si>
  <si>
    <t xml:space="preserve"> Flex-2-2↓</t>
  </si>
  <si>
    <t>Count of Rank #1</t>
  </si>
  <si>
    <t>Financial and Study Parameters</t>
  </si>
  <si>
    <t>Value</t>
  </si>
  <si>
    <t>Unit</t>
  </si>
  <si>
    <t>Source</t>
  </si>
  <si>
    <t>Discount Rate (Weighted Aggregate Cost of Capital)</t>
  </si>
  <si>
    <t>CPUC</t>
  </si>
  <si>
    <t>Customer price (Average Locational Marginal Price in Valley South - 2022)</t>
  </si>
  <si>
    <t>$/MWh</t>
  </si>
  <si>
    <t>CAISO</t>
  </si>
  <si>
    <t>Inflation Rate</t>
  </si>
  <si>
    <t>Quanta</t>
  </si>
  <si>
    <t>Load distribution : Residential</t>
  </si>
  <si>
    <t>SCE</t>
  </si>
  <si>
    <t>Load distribution : Commercial</t>
  </si>
  <si>
    <t>Customer Interruption cost for Flex-1 events (6hours) : N-1 : Residential</t>
  </si>
  <si>
    <t>$/kWh</t>
  </si>
  <si>
    <t>LBNL</t>
  </si>
  <si>
    <t>Customer Interruption cost (Average cost over 24 hr duration) : N-0 : Residential (Flex-2 Component 1)</t>
  </si>
  <si>
    <t>Customer Interruption cost for Flex-1 events (6hours) : N-1 : Commercial</t>
  </si>
  <si>
    <t>Customer Interruption cost (Average cost over 24 hr duration)  : N-0 : Residential (Flex-2 Component 1)</t>
  </si>
  <si>
    <t>Annual Outage rate for Transformer N-2 Outage events</t>
  </si>
  <si>
    <t>NERC</t>
  </si>
  <si>
    <t>Annual Outage rate for High Impact Low Probability(HILP) Events</t>
  </si>
  <si>
    <t>Flex-1 Duration of evaluation</t>
  </si>
  <si>
    <t>hour</t>
  </si>
  <si>
    <t>Normalization Factor for Cost Benefit</t>
  </si>
  <si>
    <t>Component</t>
  </si>
  <si>
    <t>Valley South (alone)</t>
  </si>
  <si>
    <t>Losses (MWh)</t>
  </si>
  <si>
    <t>Deficit Flex-1</t>
  </si>
  <si>
    <t>Deficit Flex-2-1</t>
  </si>
  <si>
    <t>Deficit Flex-2-2</t>
  </si>
  <si>
    <t>Residential</t>
  </si>
  <si>
    <t>Cost of Reliability (N-1)</t>
  </si>
  <si>
    <t>Cost of Reliability (N-0)</t>
  </si>
  <si>
    <t>Commerical</t>
  </si>
  <si>
    <t>Cost of Reliability (N-2)</t>
  </si>
  <si>
    <t>$/kwh</t>
  </si>
  <si>
    <t>Residential (N-1)</t>
  </si>
  <si>
    <t>Monetized EENS</t>
  </si>
  <si>
    <t>Commerical(N-1)</t>
  </si>
  <si>
    <t>Residential (N-0)</t>
  </si>
  <si>
    <t>Commerical(N-0)</t>
  </si>
  <si>
    <t>Monetized Value for Flex-1</t>
  </si>
  <si>
    <t xml:space="preserve">Residential </t>
  </si>
  <si>
    <t>Monetized Value for Flex-2_1</t>
  </si>
  <si>
    <t>Monetized Value for Flex-2_2</t>
  </si>
  <si>
    <t>Aggregate Monetized Costs ($)</t>
  </si>
  <si>
    <t>Monetized Value for Flex-2</t>
  </si>
  <si>
    <t>Monetized Value for Flex-3</t>
  </si>
  <si>
    <t>Monetized Value for Flex-4</t>
  </si>
  <si>
    <t xml:space="preserve">N-0 Monetized </t>
  </si>
  <si>
    <t>$</t>
  </si>
  <si>
    <t>Commercial</t>
  </si>
  <si>
    <t>N-1 Monetized</t>
  </si>
  <si>
    <t>Flex-2-2 Monetized</t>
  </si>
  <si>
    <t>Aggregate of Customer and Residential</t>
  </si>
  <si>
    <t>LMP</t>
  </si>
  <si>
    <t>Comparison to Baseline</t>
  </si>
  <si>
    <t>NPV of benefit</t>
  </si>
  <si>
    <t>Losses ($)</t>
  </si>
  <si>
    <t>Flex-1</t>
  </si>
  <si>
    <t>Flex-2-1</t>
  </si>
  <si>
    <t>Flex-2-2</t>
  </si>
  <si>
    <t>Monetized Benefits for Alternative</t>
  </si>
  <si>
    <t>Value for Flex-1</t>
  </si>
  <si>
    <t>Value for Flex-2-1</t>
  </si>
  <si>
    <t>Aggregate of Flex-2 (Component 1)</t>
  </si>
  <si>
    <t>Aggregate of Flex-2 (Component 2)</t>
  </si>
  <si>
    <t>Value for Flex-2-2</t>
  </si>
  <si>
    <t>Aggregate ($M)+ Monetized Losses</t>
  </si>
  <si>
    <t>Project Cost</t>
  </si>
  <si>
    <t>Value for Flex-2</t>
  </si>
  <si>
    <t>EENS(Valley South)</t>
  </si>
  <si>
    <t>EENS(Valley North)</t>
  </si>
  <si>
    <t>Aggregate of Flex-2 (Component 1 and 2)</t>
  </si>
  <si>
    <t>Market Participation Revenue (All costs are $x1,000)</t>
  </si>
  <si>
    <t xml:space="preserve">Aggregate ($M)+ Monetized Losses </t>
  </si>
  <si>
    <t>Energy Storage at Pechanga and Allesando + Ties between VN+VS</t>
  </si>
  <si>
    <t>EENS (Valley South)</t>
  </si>
  <si>
    <t>EENS (Valley North)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</si>
</sst>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0.0000"/>
    <numFmt numFmtId="165" formatCode="_(* #,##0.000_);_(* \(#,##0.000\);_(* &quot;-&quot;???_);_(@_)"/>
    <numFmt numFmtId="166" formatCode="_(* #,##0.0_);_(* \(#,##0.0\);_(* &quot;-&quot;??_);_(@_)"/>
    <numFmt numFmtId="167" formatCode="_(* #,##0.000_);_(* \(#,##0.000\);_(* &quot;-&quot;??_);_(@_)"/>
    <numFmt numFmtId="168" formatCode="#,##0.000"/>
    <numFmt numFmtId="169" formatCode="&quot;$&quot;#,##0"/>
    <numFmt numFmtId="170" formatCode="0.000000000000000"/>
    <numFmt numFmtId="171" formatCode="#.00,,"/>
    <numFmt numFmtId="172" formatCode="&quot;$&quot;#,#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1"/>
        <bgColor theme="1"/>
      </patternFill>
    </fill>
    <fill>
      <patternFill patternType="solid">
        <fgColor rgb="FFFFC7CE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/>
      </top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4"/>
      </top>
      <bottom/>
      <diagonal/>
    </border>
    <border>
      <left/>
      <right style="thin">
        <color rgb="FF7F7F7F"/>
      </right>
      <top/>
      <bottom style="thick">
        <color theme="4"/>
      </bottom>
      <diagonal/>
    </border>
    <border>
      <left/>
      <right/>
      <top style="thick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43" fontId="6" fillId="0" borderId="0" applyFont="0" applyFill="0" applyBorder="0" applyAlignment="0" applyProtection="0"/>
    <xf numFmtId="0" fontId="7" fillId="0" borderId="0"/>
    <xf numFmtId="0" fontId="8" fillId="3" borderId="1" applyNumberFormat="0" applyAlignment="0" applyProtection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4" fillId="0" borderId="16" applyNumberFormat="0" applyFill="0" applyAlignment="0" applyProtection="0"/>
    <xf numFmtId="0" fontId="18" fillId="5" borderId="0" applyNumberFormat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9" fontId="0" fillId="0" borderId="0" xfId="0" applyNumberFormat="1"/>
    <xf numFmtId="43" fontId="0" fillId="0" borderId="0" xfId="0" applyNumberFormat="1"/>
    <xf numFmtId="0" fontId="0" fillId="0" borderId="6" xfId="0" applyBorder="1"/>
    <xf numFmtId="2" fontId="0" fillId="0" borderId="0" xfId="0" applyNumberFormat="1"/>
    <xf numFmtId="0" fontId="9" fillId="0" borderId="0" xfId="0" applyFont="1"/>
    <xf numFmtId="9" fontId="0" fillId="0" borderId="0" xfId="2" applyFon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1" applyNumberFormat="1" applyFont="1" applyAlignment="1">
      <alignment horizontal="center"/>
    </xf>
    <xf numFmtId="3" fontId="8" fillId="3" borderId="1" xfId="6" applyNumberForma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wrapText="1"/>
    </xf>
    <xf numFmtId="8" fontId="0" fillId="0" borderId="0" xfId="0" applyNumberFormat="1"/>
    <xf numFmtId="43" fontId="0" fillId="0" borderId="0" xfId="0" applyNumberFormat="1" applyAlignment="1">
      <alignment horizontal="right"/>
    </xf>
    <xf numFmtId="0" fontId="0" fillId="0" borderId="6" xfId="0" applyBorder="1" applyAlignment="1">
      <alignment horizontal="center" vertical="center"/>
    </xf>
    <xf numFmtId="3" fontId="2" fillId="2" borderId="6" xfId="3" applyNumberFormat="1" applyBorder="1" applyAlignment="1">
      <alignment horizontal="center" vertical="center"/>
    </xf>
    <xf numFmtId="10" fontId="2" fillId="2" borderId="6" xfId="3" applyNumberFormat="1" applyBorder="1" applyAlignment="1">
      <alignment horizontal="center" vertical="center"/>
    </xf>
    <xf numFmtId="0" fontId="2" fillId="2" borderId="6" xfId="3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left"/>
    </xf>
    <xf numFmtId="2" fontId="0" fillId="0" borderId="6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1" xfId="0" applyBorder="1"/>
    <xf numFmtId="4" fontId="0" fillId="0" borderId="11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/>
    <xf numFmtId="4" fontId="0" fillId="0" borderId="7" xfId="0" applyNumberFormat="1" applyBorder="1" applyAlignment="1">
      <alignment horizontal="center"/>
    </xf>
    <xf numFmtId="0" fontId="0" fillId="0" borderId="2" xfId="0" applyBorder="1"/>
    <xf numFmtId="167" fontId="0" fillId="0" borderId="0" xfId="1" applyNumberFormat="1" applyFont="1"/>
    <xf numFmtId="2" fontId="8" fillId="3" borderId="1" xfId="1" applyNumberFormat="1" applyFont="1" applyFill="1" applyBorder="1" applyAlignment="1">
      <alignment horizontal="center" vertical="center"/>
    </xf>
    <xf numFmtId="0" fontId="8" fillId="3" borderId="1" xfId="6" applyAlignment="1">
      <alignment horizontal="center"/>
    </xf>
    <xf numFmtId="43" fontId="0" fillId="0" borderId="0" xfId="1" applyFont="1" applyAlignment="1">
      <alignment horizontal="center"/>
    </xf>
    <xf numFmtId="0" fontId="11" fillId="0" borderId="0" xfId="8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0" fillId="0" borderId="6" xfId="0" applyFill="1" applyBorder="1"/>
    <xf numFmtId="0" fontId="0" fillId="0" borderId="5" xfId="0" applyFill="1" applyBorder="1"/>
    <xf numFmtId="0" fontId="9" fillId="0" borderId="0" xfId="0" applyFont="1" applyBorder="1" applyAlignment="1">
      <alignment wrapText="1"/>
    </xf>
    <xf numFmtId="2" fontId="0" fillId="0" borderId="0" xfId="0" applyNumberForma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3" fontId="0" fillId="0" borderId="0" xfId="0" applyNumberFormat="1"/>
    <xf numFmtId="168" fontId="8" fillId="3" borderId="1" xfId="6" applyNumberFormat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43" fontId="12" fillId="0" borderId="13" xfId="9" applyNumberFormat="1" applyAlignment="1"/>
    <xf numFmtId="0" fontId="9" fillId="0" borderId="0" xfId="0" applyFont="1" applyBorder="1"/>
    <xf numFmtId="0" fontId="9" fillId="0" borderId="11" xfId="0" applyFont="1" applyBorder="1"/>
    <xf numFmtId="43" fontId="0" fillId="0" borderId="0" xfId="0" quotePrefix="1" applyNumberFormat="1"/>
    <xf numFmtId="0" fontId="11" fillId="0" borderId="0" xfId="8" applyFill="1" applyBorder="1" applyAlignment="1">
      <alignment horizontal="center" wrapText="1"/>
    </xf>
    <xf numFmtId="43" fontId="0" fillId="0" borderId="0" xfId="1" applyNumberFormat="1" applyFont="1"/>
    <xf numFmtId="0" fontId="0" fillId="0" borderId="0" xfId="0"/>
    <xf numFmtId="43" fontId="0" fillId="0" borderId="0" xfId="1" applyFont="1"/>
    <xf numFmtId="43" fontId="0" fillId="0" borderId="0" xfId="1" applyFont="1" applyFill="1"/>
    <xf numFmtId="43" fontId="12" fillId="0" borderId="0" xfId="9" applyNumberFormat="1" applyBorder="1" applyAlignment="1">
      <alignment vertical="center"/>
    </xf>
    <xf numFmtId="43" fontId="12" fillId="0" borderId="11" xfId="9" applyNumberFormat="1" applyBorder="1" applyAlignment="1">
      <alignment vertical="center"/>
    </xf>
    <xf numFmtId="0" fontId="0" fillId="0" borderId="0" xfId="0" applyAlignment="1"/>
    <xf numFmtId="169" fontId="8" fillId="3" borderId="1" xfId="1" applyNumberFormat="1" applyFont="1" applyFill="1" applyBorder="1" applyAlignment="1">
      <alignment horizontal="center" vertical="center"/>
    </xf>
    <xf numFmtId="2" fontId="0" fillId="0" borderId="6" xfId="2" applyNumberFormat="1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0" fillId="0" borderId="18" xfId="0" applyFill="1" applyBorder="1"/>
    <xf numFmtId="170" fontId="0" fillId="0" borderId="0" xfId="0" applyNumberFormat="1"/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6" xfId="0" applyNumberFormat="1" applyBorder="1" applyAlignment="1">
      <alignment horizontal="left" vertical="center" wrapText="1"/>
    </xf>
    <xf numFmtId="43" fontId="12" fillId="0" borderId="13" xfId="9" applyNumberFormat="1"/>
    <xf numFmtId="0" fontId="12" fillId="0" borderId="13" xfId="9"/>
    <xf numFmtId="10" fontId="12" fillId="0" borderId="13" xfId="9" applyNumberFormat="1"/>
    <xf numFmtId="8" fontId="12" fillId="0" borderId="13" xfId="9" applyNumberFormat="1"/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/>
    <xf numFmtId="2" fontId="0" fillId="0" borderId="11" xfId="1" applyNumberFormat="1" applyFont="1" applyBorder="1" applyAlignment="1">
      <alignment horizontal="center" vertical="center"/>
    </xf>
    <xf numFmtId="43" fontId="5" fillId="0" borderId="0" xfId="1" applyFont="1"/>
    <xf numFmtId="164" fontId="18" fillId="6" borderId="6" xfId="11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center" wrapText="1"/>
    </xf>
    <xf numFmtId="0" fontId="0" fillId="0" borderId="0" xfId="0"/>
    <xf numFmtId="0" fontId="19" fillId="0" borderId="0" xfId="0" applyFont="1" applyAlignment="1">
      <alignment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left" vertical="center" wrapText="1"/>
    </xf>
    <xf numFmtId="0" fontId="0" fillId="7" borderId="6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/>
    <xf numFmtId="0" fontId="4" fillId="0" borderId="0" xfId="0" applyFont="1" applyAlignment="1"/>
    <xf numFmtId="171" fontId="0" fillId="0" borderId="6" xfId="0" applyNumberFormat="1" applyBorder="1" applyAlignment="1">
      <alignment horizontal="center"/>
    </xf>
    <xf numFmtId="0" fontId="11" fillId="0" borderId="12" xfId="8" applyAlignment="1">
      <alignment wrapText="1"/>
    </xf>
    <xf numFmtId="0" fontId="14" fillId="0" borderId="12" xfId="8" applyFont="1" applyAlignment="1">
      <alignment horizontal="center" wrapText="1"/>
    </xf>
    <xf numFmtId="0" fontId="14" fillId="0" borderId="12" xfId="8" applyFont="1" applyAlignment="1">
      <alignment horizontal="center"/>
    </xf>
    <xf numFmtId="0" fontId="11" fillId="0" borderId="12" xfId="8" applyAlignment="1">
      <alignment horizontal="left"/>
    </xf>
    <xf numFmtId="5" fontId="2" fillId="2" borderId="1" xfId="3" applyNumberFormat="1" applyAlignment="1">
      <alignment horizontal="center" vertical="center"/>
    </xf>
    <xf numFmtId="172" fontId="0" fillId="0" borderId="6" xfId="1" applyNumberFormat="1" applyFont="1" applyBorder="1" applyAlignment="1">
      <alignment horizontal="center" vertical="center"/>
    </xf>
    <xf numFmtId="0" fontId="11" fillId="0" borderId="11" xfId="8" applyBorder="1" applyAlignment="1"/>
    <xf numFmtId="0" fontId="22" fillId="0" borderId="2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9" fillId="0" borderId="11" xfId="0" applyFont="1" applyBorder="1" applyAlignment="1">
      <alignment horizontal="center" wrapText="1"/>
    </xf>
    <xf numFmtId="2" fontId="0" fillId="0" borderId="6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1" fillId="0" borderId="12" xfId="8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8" applyBorder="1" applyAlignment="1">
      <alignment horizontal="center"/>
    </xf>
    <xf numFmtId="0" fontId="11" fillId="0" borderId="9" xfId="8" applyBorder="1" applyAlignment="1">
      <alignment horizontal="center"/>
    </xf>
    <xf numFmtId="0" fontId="8" fillId="3" borderId="6" xfId="6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43" fontId="12" fillId="0" borderId="0" xfId="9" applyNumberFormat="1" applyBorder="1" applyAlignment="1">
      <alignment horizontal="center" vertical="center"/>
    </xf>
    <xf numFmtId="0" fontId="11" fillId="0" borderId="12" xfId="8" applyAlignment="1">
      <alignment horizontal="center" vertical="center"/>
    </xf>
    <xf numFmtId="0" fontId="11" fillId="0" borderId="12" xfId="8" applyAlignment="1">
      <alignment horizontal="center" wrapText="1"/>
    </xf>
    <xf numFmtId="0" fontId="5" fillId="0" borderId="0" xfId="0" applyFont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3" fillId="7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2" fillId="0" borderId="6" xfId="9" applyBorder="1" applyAlignment="1">
      <alignment horizontal="center" vertical="center"/>
    </xf>
    <xf numFmtId="0" fontId="12" fillId="7" borderId="6" xfId="9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1" fillId="0" borderId="6" xfId="8" applyBorder="1" applyAlignment="1">
      <alignment horizontal="center"/>
    </xf>
    <xf numFmtId="0" fontId="8" fillId="3" borderId="5" xfId="6" applyBorder="1" applyAlignment="1">
      <alignment horizontal="center"/>
    </xf>
    <xf numFmtId="0" fontId="8" fillId="3" borderId="3" xfId="6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12" xfId="8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/>
    </xf>
    <xf numFmtId="0" fontId="12" fillId="0" borderId="21" xfId="9" applyBorder="1" applyAlignment="1">
      <alignment horizontal="center"/>
    </xf>
    <xf numFmtId="0" fontId="11" fillId="0" borderId="8" xfId="8" applyBorder="1" applyAlignment="1">
      <alignment horizontal="center"/>
    </xf>
    <xf numFmtId="0" fontId="11" fillId="0" borderId="0" xfId="8" applyBorder="1" applyAlignment="1">
      <alignment horizontal="center"/>
    </xf>
    <xf numFmtId="0" fontId="11" fillId="0" borderId="9" xfId="8" applyBorder="1" applyAlignment="1">
      <alignment horizontal="center"/>
    </xf>
    <xf numFmtId="0" fontId="8" fillId="3" borderId="6" xfId="6" applyBorder="1" applyAlignment="1">
      <alignment horizontal="center"/>
    </xf>
    <xf numFmtId="0" fontId="12" fillId="0" borderId="17" xfId="9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8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43" fontId="12" fillId="0" borderId="11" xfId="9" applyNumberFormat="1" applyBorder="1" applyAlignment="1">
      <alignment horizontal="center" vertical="center"/>
    </xf>
    <xf numFmtId="43" fontId="12" fillId="0" borderId="0" xfId="9" applyNumberFormat="1" applyBorder="1" applyAlignment="1">
      <alignment horizontal="center" vertical="center"/>
    </xf>
    <xf numFmtId="0" fontId="15" fillId="7" borderId="6" xfId="1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2" xfId="8" applyAlignment="1">
      <alignment horizontal="center" vertical="center"/>
    </xf>
    <xf numFmtId="0" fontId="10" fillId="0" borderId="0" xfId="7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2" xfId="8" applyAlignment="1">
      <alignment horizontal="center" wrapText="1"/>
    </xf>
    <xf numFmtId="0" fontId="11" fillId="0" borderId="20" xfId="8" applyBorder="1" applyAlignment="1">
      <alignment horizontal="center"/>
    </xf>
  </cellXfs>
  <cellStyles count="12">
    <cellStyle name="Bad" xfId="11" builtinId="27"/>
    <cellStyle name="Calculation" xfId="6" builtinId="22"/>
    <cellStyle name="Comma" xfId="1" builtinId="3"/>
    <cellStyle name="Comma 2" xfId="4" xr:uid="{00000000-0005-0000-0000-000003000000}"/>
    <cellStyle name="Heading 1" xfId="8" builtinId="16"/>
    <cellStyle name="Heading 2" xfId="9" builtinId="17"/>
    <cellStyle name="Heading 3" xfId="10" builtinId="18"/>
    <cellStyle name="Input" xfId="3" builtinId="20"/>
    <cellStyle name="Normal" xfId="0" builtinId="0"/>
    <cellStyle name="Normal 2" xfId="5" xr:uid="{00000000-0005-0000-0000-000009000000}"/>
    <cellStyle name="Percent" xfId="2" builtinId="5"/>
    <cellStyle name="Title" xfId="7" builtinId="15"/>
  </cellStyles>
  <dxfs count="0"/>
  <tableStyles count="0" defaultTableStyle="TableStyleMedium2" defaultPivotStyle="PivotStyleLight16"/>
  <colors>
    <mruColors>
      <color rgb="FFCC3300"/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 System : Monetized Benefits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'Baseline System Analysis'!$A$24:$B$38</c15:sqref>
                  </c15:fullRef>
                  <c15:levelRef>
                    <c15:sqref>'Baseline System Analysis'!$A$24:$A$38</c15:sqref>
                  </c15:levelRef>
                </c:ext>
              </c:extLst>
              <c:f>'Baseline System Analysis'!$A$24:$A$38</c:f>
              <c:strCache>
                <c:ptCount val="15"/>
                <c:pt idx="0">
                  <c:v>Residential (N-1)</c:v>
                </c:pt>
                <c:pt idx="1">
                  <c:v>Commerical(N-1)</c:v>
                </c:pt>
                <c:pt idx="2">
                  <c:v>Aggregate</c:v>
                </c:pt>
                <c:pt idx="4">
                  <c:v>Residential (N-0)</c:v>
                </c:pt>
                <c:pt idx="5">
                  <c:v>Commerical(N-0)</c:v>
                </c:pt>
                <c:pt idx="6">
                  <c:v>Aggregate</c:v>
                </c:pt>
                <c:pt idx="8">
                  <c:v>Residential (N-1)</c:v>
                </c:pt>
                <c:pt idx="9">
                  <c:v>Commerical(N-1)</c:v>
                </c:pt>
                <c:pt idx="10">
                  <c:v>Aggregate</c:v>
                </c:pt>
                <c:pt idx="12">
                  <c:v>Residential </c:v>
                </c:pt>
                <c:pt idx="13">
                  <c:v>Commerical</c:v>
                </c:pt>
                <c:pt idx="14">
                  <c:v>Aggregate</c:v>
                </c:pt>
              </c:strCache>
            </c:strRef>
          </c:cat>
          <c:val>
            <c:numRef>
              <c:f>'Baseline System Analysis'!$C$24:$C$38</c:f>
              <c:numCache>
                <c:formatCode>#,##0</c:formatCode>
                <c:ptCount val="15"/>
                <c:pt idx="0">
                  <c:v>1363590.1345869785</c:v>
                </c:pt>
                <c:pt idx="1">
                  <c:v>5658197.9399566008</c:v>
                </c:pt>
                <c:pt idx="2">
                  <c:v>7021788.0745435804</c:v>
                </c:pt>
                <c:pt idx="4">
                  <c:v>55025530.55289489</c:v>
                </c:pt>
                <c:pt idx="5">
                  <c:v>242736972.29884523</c:v>
                </c:pt>
                <c:pt idx="6">
                  <c:v>297762502.85174012</c:v>
                </c:pt>
                <c:pt idx="8">
                  <c:v>988376054.2530117</c:v>
                </c:pt>
                <c:pt idx="9">
                  <c:v>4071746129.6338849</c:v>
                </c:pt>
                <c:pt idx="10">
                  <c:v>5060122183.8868971</c:v>
                </c:pt>
                <c:pt idx="12">
                  <c:v>80397646.481932864</c:v>
                </c:pt>
                <c:pt idx="13">
                  <c:v>362404608.29375201</c:v>
                </c:pt>
                <c:pt idx="14">
                  <c:v>442802254.77568489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3-4167-B7EE-7966F671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231624"/>
        <c:axId val="133208296"/>
      </c:barChart>
      <c:catAx>
        <c:axId val="133231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08296"/>
        <c:crosses val="autoZero"/>
        <c:auto val="1"/>
        <c:lblAlgn val="ctr"/>
        <c:lblOffset val="100"/>
        <c:noMultiLvlLbl val="0"/>
      </c:catAx>
      <c:valAx>
        <c:axId val="13320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3162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8581</xdr:colOff>
      <xdr:row>46</xdr:row>
      <xdr:rowOff>31485</xdr:rowOff>
    </xdr:from>
    <xdr:to>
      <xdr:col>10</xdr:col>
      <xdr:colOff>48063</xdr:colOff>
      <xdr:row>70</xdr:row>
      <xdr:rowOff>69084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26F52A-DC11-4453-BFC3-35315D49A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zoomScale="78" zoomScaleNormal="78" workbookViewId="0"/>
  </sheetViews>
  <sheetFormatPr defaultRowHeight="14.5" x14ac:dyDescent="0.35"/>
  <cols>
    <col min="1" max="1" width="18" customWidth="1"/>
    <col min="2" max="2" width="70.26953125" customWidth="1"/>
    <col min="3" max="3" width="19.26953125" bestFit="1" customWidth="1"/>
    <col min="4" max="4" width="20.26953125" bestFit="1" customWidth="1"/>
    <col min="5" max="5" width="13.7265625" customWidth="1"/>
    <col min="6" max="6" width="16.26953125" bestFit="1" customWidth="1"/>
    <col min="7" max="7" width="17.26953125" customWidth="1"/>
    <col min="8" max="8" width="7.7265625" bestFit="1" customWidth="1"/>
    <col min="9" max="9" width="74.81640625" customWidth="1"/>
    <col min="10" max="10" width="21.7265625" bestFit="1" customWidth="1"/>
    <col min="11" max="12" width="14.54296875" customWidth="1"/>
    <col min="13" max="13" width="9.81640625" customWidth="1"/>
    <col min="14" max="14" width="12.54296875" customWidth="1"/>
    <col min="15" max="18" width="9.81640625" customWidth="1"/>
    <col min="19" max="19" width="10.1796875" bestFit="1" customWidth="1"/>
    <col min="20" max="23" width="9.81640625" customWidth="1"/>
    <col min="24" max="25" width="11.26953125" bestFit="1" customWidth="1"/>
  </cols>
  <sheetData>
    <row r="1" spans="1:22" s="88" customFormat="1" ht="18.5" x14ac:dyDescent="0.45">
      <c r="C1" s="129"/>
      <c r="D1" s="129"/>
      <c r="E1" s="129"/>
      <c r="F1" s="129"/>
      <c r="G1" s="129"/>
      <c r="H1" s="129"/>
      <c r="I1" s="129"/>
    </row>
    <row r="2" spans="1:22" s="88" customFormat="1" ht="15.5" x14ac:dyDescent="0.35">
      <c r="C2" s="101"/>
      <c r="D2" s="101"/>
      <c r="E2" s="101"/>
      <c r="F2" s="101"/>
      <c r="G2" s="101"/>
      <c r="H2" s="101"/>
      <c r="I2" s="101"/>
    </row>
    <row r="3" spans="1:22" ht="20" thickBot="1" x14ac:dyDescent="0.5">
      <c r="A3" s="106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22" ht="20.5" thickTop="1" thickBot="1" x14ac:dyDescent="0.5">
      <c r="A4" s="106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8" thickTop="1" thickBot="1" x14ac:dyDescent="0.45">
      <c r="A5" s="77"/>
      <c r="B5" s="77"/>
      <c r="C5" s="78"/>
      <c r="D5" s="76"/>
      <c r="E5" s="56"/>
      <c r="F5" s="56"/>
      <c r="G5" s="24"/>
      <c r="H5" s="79"/>
      <c r="I5" s="76"/>
      <c r="J5" s="76"/>
      <c r="K5" s="5"/>
      <c r="L5" s="5"/>
      <c r="M5" s="5"/>
      <c r="N5" s="5"/>
      <c r="O5" s="4"/>
      <c r="P5" s="5"/>
      <c r="Q5" s="5"/>
      <c r="R5" s="5"/>
      <c r="S5" s="5"/>
      <c r="T5" s="5"/>
      <c r="U5" s="5"/>
      <c r="V5" s="5"/>
    </row>
    <row r="6" spans="1:22" ht="31" thickTop="1" thickBot="1" x14ac:dyDescent="0.5">
      <c r="A6" s="127" t="s">
        <v>2</v>
      </c>
      <c r="B6" s="104" t="s">
        <v>3</v>
      </c>
      <c r="C6" s="104" t="s">
        <v>4</v>
      </c>
      <c r="D6" s="104" t="s">
        <v>5</v>
      </c>
      <c r="E6" s="104" t="s">
        <v>6</v>
      </c>
      <c r="F6" s="105" t="s">
        <v>7</v>
      </c>
      <c r="G6" s="104"/>
      <c r="H6" s="104" t="s">
        <v>2</v>
      </c>
      <c r="I6" s="104" t="s">
        <v>3</v>
      </c>
      <c r="J6" s="104" t="s">
        <v>8</v>
      </c>
      <c r="K6" s="88"/>
      <c r="L6" s="119"/>
      <c r="M6" s="44"/>
      <c r="N6" s="60"/>
      <c r="O6" s="88"/>
      <c r="P6" s="88"/>
      <c r="Q6" s="88"/>
      <c r="R6" s="88"/>
      <c r="S6" s="88"/>
      <c r="T6" s="88"/>
      <c r="U6" s="88"/>
      <c r="V6" s="88"/>
    </row>
    <row r="7" spans="1:22" ht="15" thickTop="1" x14ac:dyDescent="0.35">
      <c r="A7" s="25">
        <v>1</v>
      </c>
      <c r="B7" s="75" t="s">
        <v>9</v>
      </c>
      <c r="C7" s="107">
        <v>545</v>
      </c>
      <c r="D7" s="107">
        <v>545</v>
      </c>
      <c r="E7" s="108">
        <f t="shared" ref="E7:E19" si="0">F7*D7</f>
        <v>6062.5796012315113</v>
      </c>
      <c r="F7" s="114">
        <f>'Alberhill System Project'!C88/'Cost Assumptions'!$B$15</f>
        <v>11.1239992683147</v>
      </c>
      <c r="G7" s="88"/>
      <c r="H7" s="25">
        <v>8</v>
      </c>
      <c r="I7" s="75" t="s">
        <v>10</v>
      </c>
      <c r="J7" s="114">
        <f>1/'Mira Loma'!C88/'Cost Assumptions'!$B$15</f>
        <v>8.1745300416569147E-2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spans="1:22" x14ac:dyDescent="0.35">
      <c r="A8" s="25">
        <v>2</v>
      </c>
      <c r="B8" s="75" t="s">
        <v>11</v>
      </c>
      <c r="C8" s="107">
        <v>540</v>
      </c>
      <c r="D8" s="107">
        <v>469</v>
      </c>
      <c r="E8" s="108">
        <f t="shared" si="0"/>
        <v>2939.1217643520777</v>
      </c>
      <c r="F8" s="114">
        <f>'SDG&amp;E'!C88/'Cost Assumptions'!$B$15</f>
        <v>6.2667841457400373</v>
      </c>
      <c r="G8" s="72"/>
      <c r="H8" s="25">
        <v>1</v>
      </c>
      <c r="I8" s="75" t="s">
        <v>9</v>
      </c>
      <c r="J8" s="114">
        <f>1/'Alberhill System Project'!C88/'Cost Assumptions'!$B$15</f>
        <v>8.9895726876607504E-2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</row>
    <row r="9" spans="1:22" x14ac:dyDescent="0.35">
      <c r="A9" s="25">
        <v>3</v>
      </c>
      <c r="B9" s="75" t="s">
        <v>12</v>
      </c>
      <c r="C9" s="107">
        <v>285</v>
      </c>
      <c r="D9" s="107">
        <v>270</v>
      </c>
      <c r="E9" s="108">
        <f t="shared" si="0"/>
        <v>1988.2245216185979</v>
      </c>
      <c r="F9" s="114">
        <f>'Valley S to Valley N to Vista'!C89/'Cost Assumptions'!$B$15</f>
        <v>7.3637945245133256</v>
      </c>
      <c r="G9" s="88"/>
      <c r="H9" s="25">
        <v>13</v>
      </c>
      <c r="I9" s="75" t="s">
        <v>13</v>
      </c>
      <c r="J9" s="114">
        <f>1/'Valley South to Valley North'!C89/'Cost Assumptions'!$B$15</f>
        <v>9.4949827862881087E-2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</row>
    <row r="10" spans="1:22" x14ac:dyDescent="0.35">
      <c r="A10" s="25">
        <v>4</v>
      </c>
      <c r="B10" s="75" t="s">
        <v>14</v>
      </c>
      <c r="C10" s="107">
        <v>1474</v>
      </c>
      <c r="D10" s="107">
        <v>575</v>
      </c>
      <c r="E10" s="108">
        <f t="shared" si="0"/>
        <v>3633.3020719380224</v>
      </c>
      <c r="F10" s="114">
        <f>'Centralized BESS in Valley S'!C88/'Cost Assumptions'!$B$15</f>
        <v>6.3187862120661258</v>
      </c>
      <c r="G10" s="88"/>
      <c r="H10" s="25">
        <v>6</v>
      </c>
      <c r="I10" s="75" t="s">
        <v>15</v>
      </c>
      <c r="J10" s="114">
        <f>1/'VS to VN &amp; Distributed BESS VS'!C89/'Cost Assumptions'!$B$15</f>
        <v>9.9903579696951392E-2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</row>
    <row r="11" spans="1:22" x14ac:dyDescent="0.35">
      <c r="A11" s="25">
        <v>5</v>
      </c>
      <c r="B11" s="75" t="s">
        <v>16</v>
      </c>
      <c r="C11" s="107">
        <v>1358</v>
      </c>
      <c r="D11" s="107">
        <v>571</v>
      </c>
      <c r="E11" s="108">
        <f t="shared" si="0"/>
        <v>3740.3438658837767</v>
      </c>
      <c r="F11" s="114">
        <f>'MiraLoma &amp; Centralized BESS VS'!C88/'Cost Assumptions'!$B$15</f>
        <v>6.5505146512850727</v>
      </c>
      <c r="G11" s="88"/>
      <c r="H11" s="25">
        <v>12</v>
      </c>
      <c r="I11" s="75" t="s">
        <v>17</v>
      </c>
      <c r="J11" s="114">
        <f>1/'SDG&amp;E and Central BESS in VS'!C88/'Cost Assumptions'!$B$15</f>
        <v>0.12782245262492642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2" spans="1:22" x14ac:dyDescent="0.35">
      <c r="A12" s="25">
        <v>6</v>
      </c>
      <c r="B12" s="75" t="s">
        <v>15</v>
      </c>
      <c r="C12" s="107">
        <v>295</v>
      </c>
      <c r="D12" s="107">
        <v>201</v>
      </c>
      <c r="E12" s="108">
        <f t="shared" si="0"/>
        <v>2011.9399185666377</v>
      </c>
      <c r="F12" s="114">
        <f>'VS to VN &amp; Distributed BESS VS'!C89/'Cost Assumptions'!$B$15</f>
        <v>10.009651336152427</v>
      </c>
      <c r="G12" s="88"/>
      <c r="H12" s="25">
        <v>3</v>
      </c>
      <c r="I12" s="75" t="s">
        <v>12</v>
      </c>
      <c r="J12" s="114">
        <f>1/'Valley S to Valley N to Vista'!C89/'Cost Assumptions'!$B$15</f>
        <v>0.13579955234642974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1:22" ht="22.15" customHeight="1" x14ac:dyDescent="0.35">
      <c r="A13" s="25">
        <v>7</v>
      </c>
      <c r="B13" s="75" t="s">
        <v>18</v>
      </c>
      <c r="C13" s="107">
        <v>358</v>
      </c>
      <c r="D13" s="107">
        <v>315</v>
      </c>
      <c r="E13" s="108">
        <f t="shared" si="0"/>
        <v>2262.2560397512011</v>
      </c>
      <c r="F13" s="114">
        <f>Menifee!C88/'Cost Assumptions'!$B$15</f>
        <v>7.181765205559369</v>
      </c>
      <c r="G13" s="88"/>
      <c r="H13" s="25">
        <v>11</v>
      </c>
      <c r="I13" s="75" t="s">
        <v>19</v>
      </c>
      <c r="J13" s="114">
        <f>1/'VS to VN to VST &amp; Cen BESS VS'!C89/'Cost Assumptions'!$B$15</f>
        <v>0.13599794201290857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spans="1:22" x14ac:dyDescent="0.35">
      <c r="A14" s="25">
        <v>8</v>
      </c>
      <c r="B14" s="75" t="s">
        <v>10</v>
      </c>
      <c r="C14" s="107">
        <v>328</v>
      </c>
      <c r="D14" s="107">
        <v>290</v>
      </c>
      <c r="E14" s="108">
        <f>F14*D14</f>
        <v>3547.604553682932</v>
      </c>
      <c r="F14" s="114">
        <f>'Mira Loma'!C88/'Cost Assumptions'!$B$15</f>
        <v>12.233119150630801</v>
      </c>
      <c r="G14" s="88"/>
      <c r="H14" s="25">
        <v>7</v>
      </c>
      <c r="I14" s="75" t="s">
        <v>18</v>
      </c>
      <c r="J14" s="114">
        <f>1/Menifee!C88/'Cost Assumptions'!$B$15</f>
        <v>0.13924153343608406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</row>
    <row r="15" spans="1:22" x14ac:dyDescent="0.35">
      <c r="A15" s="25">
        <v>9</v>
      </c>
      <c r="B15" s="75" t="s">
        <v>20</v>
      </c>
      <c r="C15" s="107">
        <v>951</v>
      </c>
      <c r="D15" s="107">
        <v>806</v>
      </c>
      <c r="E15" s="108">
        <f t="shared" si="0"/>
        <v>5095.2403714935735</v>
      </c>
      <c r="F15" s="114">
        <f>'SCE Orange County'!C88/'Cost Assumptions'!$B$15</f>
        <v>6.321638178031729</v>
      </c>
      <c r="G15" s="88"/>
      <c r="H15" s="25">
        <v>9</v>
      </c>
      <c r="I15" s="75" t="s">
        <v>20</v>
      </c>
      <c r="J15" s="114">
        <f>1/'SCE Orange County'!C88/'Cost Assumptions'!$B$15</f>
        <v>0.15818684521918566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</row>
    <row r="16" spans="1:22" x14ac:dyDescent="0.35">
      <c r="A16" s="25">
        <v>10</v>
      </c>
      <c r="B16" s="75" t="s">
        <v>21</v>
      </c>
      <c r="C16" s="107">
        <v>1139</v>
      </c>
      <c r="D16" s="107">
        <v>358</v>
      </c>
      <c r="E16" s="108">
        <f t="shared" si="0"/>
        <v>2149.3891958148247</v>
      </c>
      <c r="F16" s="114">
        <f>'VS to VN &amp; Central BESS VS VN '!C89/'Cost Assumptions'!$B$15</f>
        <v>6.0038804352369404</v>
      </c>
      <c r="G16" s="88"/>
      <c r="H16" s="25">
        <v>5</v>
      </c>
      <c r="I16" s="75" t="s">
        <v>16</v>
      </c>
      <c r="J16" s="114">
        <f>1/'MiraLoma &amp; Centralized BESS VS'!C88/'Cost Assumptions'!$B$15</f>
        <v>0.15265976083326843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</row>
    <row r="17" spans="1:20" x14ac:dyDescent="0.35">
      <c r="A17" s="25">
        <v>11</v>
      </c>
      <c r="B17" s="75" t="s">
        <v>19</v>
      </c>
      <c r="C17" s="107">
        <v>470</v>
      </c>
      <c r="D17" s="107">
        <v>291</v>
      </c>
      <c r="E17" s="108">
        <f t="shared" si="0"/>
        <v>2139.7382614244193</v>
      </c>
      <c r="F17" s="114">
        <f>'VS to VN to VST &amp; Cen BESS VS'!C89/'Cost Assumptions'!$B$15</f>
        <v>7.3530524447574548</v>
      </c>
      <c r="G17" s="88"/>
      <c r="H17" s="25">
        <v>2</v>
      </c>
      <c r="I17" s="75" t="s">
        <v>11</v>
      </c>
      <c r="J17" s="114">
        <f>1/'SDG&amp;E'!C88/'Cost Assumptions'!$B$15</f>
        <v>0.15957147665278507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</row>
    <row r="18" spans="1:20" x14ac:dyDescent="0.35">
      <c r="A18" s="25">
        <v>12</v>
      </c>
      <c r="B18" s="75" t="s">
        <v>17</v>
      </c>
      <c r="C18" s="107">
        <v>923</v>
      </c>
      <c r="D18" s="107">
        <v>559</v>
      </c>
      <c r="E18" s="108">
        <f t="shared" si="0"/>
        <v>4373.2535913724942</v>
      </c>
      <c r="F18" s="114">
        <f>'SDG&amp;E and Central BESS in VS'!C88/'Cost Assumptions'!$B$15</f>
        <v>7.8233516840295065</v>
      </c>
      <c r="G18" s="88"/>
      <c r="H18" s="25">
        <v>10</v>
      </c>
      <c r="I18" s="75" t="s">
        <v>21</v>
      </c>
      <c r="J18" s="114">
        <f>1/'VS to VN &amp; Central BESS VS VN '!C89/'Cost Assumptions'!$B$15</f>
        <v>0.16655894646585104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</row>
    <row r="19" spans="1:20" s="62" customFormat="1" x14ac:dyDescent="0.35">
      <c r="A19" s="98">
        <v>13</v>
      </c>
      <c r="B19" s="75" t="s">
        <v>13</v>
      </c>
      <c r="C19" s="107">
        <v>190</v>
      </c>
      <c r="D19" s="107">
        <v>185</v>
      </c>
      <c r="E19" s="108">
        <f t="shared" si="0"/>
        <v>1948.3974238179992</v>
      </c>
      <c r="F19" s="114">
        <f>'Valley South to Valley North'!C89/'Cost Assumptions'!$B$15</f>
        <v>10.53187796658378</v>
      </c>
      <c r="G19" s="88"/>
      <c r="H19" s="25">
        <v>4</v>
      </c>
      <c r="I19" s="75" t="s">
        <v>14</v>
      </c>
      <c r="J19" s="69">
        <f>1/'Centralized BESS in Valley S'!C88/'Cost Assumptions'!$B$15</f>
        <v>0.15825824239636976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</row>
    <row r="20" spans="1:20" ht="15.5" x14ac:dyDescent="0.35">
      <c r="A20" s="54"/>
      <c r="B20" s="48"/>
      <c r="C20" s="49"/>
      <c r="D20" s="49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</row>
    <row r="21" spans="1:20" ht="15.5" x14ac:dyDescent="0.35">
      <c r="A21" s="54"/>
      <c r="B21" s="48"/>
      <c r="C21" s="49"/>
      <c r="D21" s="4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</row>
    <row r="23" spans="1:20" ht="17" x14ac:dyDescent="0.3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65"/>
      <c r="Q23" s="65"/>
      <c r="R23" s="88"/>
      <c r="S23" s="88"/>
      <c r="T23" s="65"/>
    </row>
    <row r="24" spans="1:20" ht="17" x14ac:dyDescent="0.3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66"/>
      <c r="Q24" s="66"/>
      <c r="R24" s="66"/>
      <c r="S24" s="66"/>
      <c r="T24" s="66"/>
    </row>
  </sheetData>
  <autoFilter ref="H6:J18" xr:uid="{00000000-0009-0000-0000-000000000000}">
    <sortState xmlns:xlrd2="http://schemas.microsoft.com/office/spreadsheetml/2017/richdata2" ref="H7:J19">
      <sortCondition ref="J6:J18"/>
    </sortState>
  </autoFilter>
  <mergeCells count="1">
    <mergeCell ref="C1:I1"/>
  </mergeCells>
  <conditionalFormatting sqref="J19">
    <cfRule type="colorScale" priority="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:F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:J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98"/>
  <sheetViews>
    <sheetView zoomScale="89" zoomScaleNormal="89" workbookViewId="0"/>
  </sheetViews>
  <sheetFormatPr defaultRowHeight="14.5" x14ac:dyDescent="0.35"/>
  <cols>
    <col min="1" max="1" width="15.7265625" bestFit="1" customWidth="1"/>
    <col min="2" max="2" width="29.453125" customWidth="1"/>
    <col min="3" max="3" width="26.81640625" bestFit="1" customWidth="1"/>
    <col min="4" max="4" width="14.81640625" customWidth="1"/>
    <col min="5" max="6" width="18.1796875" bestFit="1" customWidth="1"/>
    <col min="7" max="29" width="14.81640625" bestFit="1" customWidth="1"/>
    <col min="30" max="30" width="17.54296875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8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9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9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9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9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9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9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9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9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9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9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9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9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9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6" spans="1:30" s="62" customFormat="1" x14ac:dyDescent="0.35">
      <c r="A16" s="88"/>
      <c r="B16" s="88"/>
      <c r="C16" s="88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49.75" customHeight="1" thickTop="1" x14ac:dyDescent="0.35">
      <c r="A18" s="88"/>
      <c r="B18" s="168" t="s">
        <v>14</v>
      </c>
      <c r="C18" s="88" t="s">
        <v>120</v>
      </c>
      <c r="D18" s="63">
        <v>48531.449999999641</v>
      </c>
      <c r="E18" s="63">
        <f>D18+(($AD18-$D$18)/(COLUMN($AD18)-COLUMN($D$18)))</f>
        <v>48910.873076922755</v>
      </c>
      <c r="F18" s="63">
        <f>E18+(($AD18-$D$18)/(COLUMN($AD18)-COLUMN($D$18)))</f>
        <v>49290.296153845869</v>
      </c>
      <c r="G18" s="63">
        <f t="shared" ref="G18:AC18" si="0">F18+(($AD18-$D$18)/(COLUMN($AD18)-COLUMN($D$18)))</f>
        <v>49669.719230768984</v>
      </c>
      <c r="H18" s="63">
        <f t="shared" si="0"/>
        <v>50049.142307692098</v>
      </c>
      <c r="I18" s="63">
        <f t="shared" si="0"/>
        <v>50428.565384615213</v>
      </c>
      <c r="J18" s="63">
        <f t="shared" si="0"/>
        <v>50807.988461538327</v>
      </c>
      <c r="K18" s="63">
        <f t="shared" si="0"/>
        <v>51187.411538461442</v>
      </c>
      <c r="L18" s="63">
        <f t="shared" si="0"/>
        <v>51566.834615384556</v>
      </c>
      <c r="M18" s="63">
        <f t="shared" si="0"/>
        <v>51946.25769230767</v>
      </c>
      <c r="N18" s="63">
        <f t="shared" si="0"/>
        <v>52325.680769230785</v>
      </c>
      <c r="O18" s="63">
        <f t="shared" si="0"/>
        <v>52705.103846153899</v>
      </c>
      <c r="P18" s="63">
        <f t="shared" si="0"/>
        <v>53084.526923077014</v>
      </c>
      <c r="Q18" s="63">
        <f t="shared" si="0"/>
        <v>53463.950000000128</v>
      </c>
      <c r="R18" s="63">
        <f t="shared" si="0"/>
        <v>53843.373076923242</v>
      </c>
      <c r="S18" s="63">
        <f t="shared" si="0"/>
        <v>54222.796153846357</v>
      </c>
      <c r="T18" s="63">
        <f t="shared" si="0"/>
        <v>54602.219230769471</v>
      </c>
      <c r="U18" s="63">
        <f t="shared" si="0"/>
        <v>54981.642307692586</v>
      </c>
      <c r="V18" s="63">
        <f t="shared" si="0"/>
        <v>55361.0653846157</v>
      </c>
      <c r="W18" s="63">
        <f t="shared" si="0"/>
        <v>55740.488461538815</v>
      </c>
      <c r="X18" s="63">
        <f t="shared" si="0"/>
        <v>56119.911538461929</v>
      </c>
      <c r="Y18" s="63">
        <f t="shared" si="0"/>
        <v>56499.334615385043</v>
      </c>
      <c r="Z18" s="63">
        <f t="shared" si="0"/>
        <v>56878.757692308158</v>
      </c>
      <c r="AA18" s="63">
        <f t="shared" si="0"/>
        <v>57258.180769231272</v>
      </c>
      <c r="AB18" s="63">
        <f t="shared" si="0"/>
        <v>57637.603846154387</v>
      </c>
      <c r="AC18" s="63">
        <f t="shared" si="0"/>
        <v>58017.026923077501</v>
      </c>
      <c r="AD18" s="63">
        <v>58396.450000000623</v>
      </c>
    </row>
    <row r="19" spans="1:30" x14ac:dyDescent="0.35">
      <c r="A19" s="88" t="s">
        <v>30</v>
      </c>
      <c r="B19" s="169"/>
      <c r="C19" s="88" t="s">
        <v>31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</row>
    <row r="20" spans="1:30" x14ac:dyDescent="0.35">
      <c r="A20" s="88" t="s">
        <v>30</v>
      </c>
      <c r="B20" s="169"/>
      <c r="C20" s="88" t="s">
        <v>32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</row>
    <row r="21" spans="1:30" x14ac:dyDescent="0.35">
      <c r="A21" s="88" t="s">
        <v>30</v>
      </c>
      <c r="B21" s="169"/>
      <c r="C21" s="88" t="s">
        <v>33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</row>
    <row r="22" spans="1:30" x14ac:dyDescent="0.35">
      <c r="A22" s="88" t="s">
        <v>30</v>
      </c>
      <c r="B22" s="169"/>
      <c r="C22" s="88" t="s">
        <v>34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</row>
    <row r="23" spans="1:30" x14ac:dyDescent="0.35">
      <c r="A23" s="88" t="s">
        <v>30</v>
      </c>
      <c r="B23" s="169"/>
      <c r="C23" s="88" t="s">
        <v>35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</row>
    <row r="24" spans="1:30" x14ac:dyDescent="0.35">
      <c r="A24" s="88" t="s">
        <v>30</v>
      </c>
      <c r="B24" s="169"/>
      <c r="C24" s="88" t="s">
        <v>121</v>
      </c>
      <c r="D24" s="63">
        <v>1868.1178900030454</v>
      </c>
      <c r="E24" s="63">
        <v>2484.0292077488939</v>
      </c>
      <c r="F24" s="63">
        <v>3099.9405254947415</v>
      </c>
      <c r="G24" s="63">
        <v>3715.851843240589</v>
      </c>
      <c r="H24" s="63">
        <v>4331.7631609864366</v>
      </c>
      <c r="I24" s="63">
        <v>4947.6744787322841</v>
      </c>
      <c r="J24" s="63">
        <v>5563.5857964781317</v>
      </c>
      <c r="K24" s="63">
        <v>6179.497114223981</v>
      </c>
      <c r="L24" s="63">
        <v>6795.4084319698286</v>
      </c>
      <c r="M24" s="63">
        <v>7411.3197497156762</v>
      </c>
      <c r="N24" s="63">
        <v>8027.2310674615237</v>
      </c>
      <c r="O24" s="63">
        <v>8643.1423852073713</v>
      </c>
      <c r="P24" s="63">
        <v>9259.0537029532206</v>
      </c>
      <c r="Q24" s="63">
        <v>9874.96502069907</v>
      </c>
      <c r="R24" s="63">
        <v>10490.876338444919</v>
      </c>
      <c r="S24" s="63">
        <v>11106.787656190769</v>
      </c>
      <c r="T24" s="63">
        <v>11722.698973936618</v>
      </c>
      <c r="U24" s="63">
        <v>12338.610291682471</v>
      </c>
      <c r="V24" s="63">
        <v>12954.521609428324</v>
      </c>
      <c r="W24" s="63">
        <v>13570.432927174177</v>
      </c>
      <c r="X24" s="63">
        <v>14186.34424492003</v>
      </c>
      <c r="Y24" s="63">
        <v>14802.255562665883</v>
      </c>
      <c r="Z24" s="63">
        <v>15418.166880411736</v>
      </c>
      <c r="AA24" s="63">
        <v>16034.078198157589</v>
      </c>
      <c r="AB24" s="63">
        <v>16649.989515903442</v>
      </c>
      <c r="AC24" s="63">
        <v>17265.900833649292</v>
      </c>
      <c r="AD24" s="63">
        <v>17881.812151395105</v>
      </c>
    </row>
    <row r="25" spans="1:30" x14ac:dyDescent="0.35">
      <c r="A25" s="88" t="s">
        <v>30</v>
      </c>
      <c r="B25" s="169"/>
      <c r="C25" s="88" t="s">
        <v>122</v>
      </c>
      <c r="D25" s="63">
        <v>192864.66620394157</v>
      </c>
      <c r="E25" s="63">
        <v>195239.2419650236</v>
      </c>
      <c r="F25" s="63">
        <v>196366.76544203321</v>
      </c>
      <c r="G25" s="63">
        <v>197525.37556068008</v>
      </c>
      <c r="H25" s="63">
        <v>198743.92387830256</v>
      </c>
      <c r="I25" s="63">
        <v>200140.93841202525</v>
      </c>
      <c r="J25" s="63">
        <v>201537.7102617296</v>
      </c>
      <c r="K25" s="63">
        <v>203264.35975945235</v>
      </c>
      <c r="L25" s="63">
        <v>205020.85839510098</v>
      </c>
      <c r="M25" s="63">
        <v>206857.30160898238</v>
      </c>
      <c r="N25" s="63">
        <v>208717.85370976047</v>
      </c>
      <c r="O25" s="63">
        <v>210603.18149647751</v>
      </c>
      <c r="P25" s="63">
        <v>212516.40688715709</v>
      </c>
      <c r="Q25" s="63">
        <v>214384.67967973242</v>
      </c>
      <c r="R25" s="63">
        <v>216269.29220061237</v>
      </c>
      <c r="S25" s="63">
        <v>218166.20327483438</v>
      </c>
      <c r="T25" s="63">
        <v>220084.66189887849</v>
      </c>
      <c r="U25" s="63">
        <v>221841.85132365467</v>
      </c>
      <c r="V25" s="63">
        <v>223594.26978343775</v>
      </c>
      <c r="W25" s="63">
        <v>225336.52091265519</v>
      </c>
      <c r="X25" s="63">
        <v>227080.15135791432</v>
      </c>
      <c r="Y25" s="63">
        <v>228568.34604359462</v>
      </c>
      <c r="Z25" s="63">
        <v>230020.42486390745</v>
      </c>
      <c r="AA25" s="63">
        <v>231425.48689332735</v>
      </c>
      <c r="AB25" s="63">
        <v>232792.66409110834</v>
      </c>
      <c r="AC25" s="63">
        <v>233827.47214176381</v>
      </c>
      <c r="AD25" s="63">
        <v>234770.96970999555</v>
      </c>
    </row>
    <row r="26" spans="1:30" s="82" customFormat="1" x14ac:dyDescent="0.35">
      <c r="A26" s="88" t="s">
        <v>30</v>
      </c>
      <c r="B26" s="169"/>
      <c r="C26" s="88" t="s">
        <v>123</v>
      </c>
      <c r="D26" s="63">
        <v>57792.929986017691</v>
      </c>
      <c r="E26" s="63">
        <v>62126.65420629971</v>
      </c>
      <c r="F26" s="63">
        <v>64269.787349548031</v>
      </c>
      <c r="G26" s="63">
        <v>66510.234860904151</v>
      </c>
      <c r="H26" s="63">
        <v>68915.278681488693</v>
      </c>
      <c r="I26" s="63">
        <v>71720.647691373859</v>
      </c>
      <c r="J26" s="63">
        <v>74566.31581617902</v>
      </c>
      <c r="K26" s="63">
        <v>78165.656271414118</v>
      </c>
      <c r="L26" s="63">
        <v>81892.099250788189</v>
      </c>
      <c r="M26" s="63">
        <v>85831.050202229293</v>
      </c>
      <c r="N26" s="63">
        <v>89898.537476235157</v>
      </c>
      <c r="O26" s="63">
        <v>94112.806557837073</v>
      </c>
      <c r="P26" s="63">
        <v>98461.964229398</v>
      </c>
      <c r="Q26" s="63">
        <v>102780.36424067494</v>
      </c>
      <c r="R26" s="63">
        <v>107212.33544598923</v>
      </c>
      <c r="S26" s="63">
        <v>111753.16085634632</v>
      </c>
      <c r="T26" s="63">
        <v>116382.66306963647</v>
      </c>
      <c r="U26" s="63">
        <v>120681.41624258767</v>
      </c>
      <c r="V26" s="63">
        <v>125037.96754992424</v>
      </c>
      <c r="W26" s="63">
        <v>129402.77637362295</v>
      </c>
      <c r="X26" s="63">
        <v>133795.05146139173</v>
      </c>
      <c r="Y26" s="63">
        <v>137578.70197525274</v>
      </c>
      <c r="Z26" s="63">
        <v>141298.12734935331</v>
      </c>
      <c r="AA26" s="63">
        <v>144907.17378047641</v>
      </c>
      <c r="AB26" s="63">
        <v>148434.1438061037</v>
      </c>
      <c r="AC26" s="63">
        <v>151161.33617890978</v>
      </c>
      <c r="AD26" s="63">
        <v>153645.00542710154</v>
      </c>
    </row>
    <row r="27" spans="1:30" x14ac:dyDescent="0.35">
      <c r="A27" s="88" t="s">
        <v>39</v>
      </c>
      <c r="B27" s="169"/>
      <c r="C27" s="88" t="s">
        <v>31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</row>
    <row r="28" spans="1:30" x14ac:dyDescent="0.35">
      <c r="A28" s="88" t="s">
        <v>39</v>
      </c>
      <c r="B28" s="169"/>
      <c r="C28" s="88" t="s">
        <v>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</row>
    <row r="29" spans="1:30" x14ac:dyDescent="0.35">
      <c r="A29" s="88" t="s">
        <v>39</v>
      </c>
      <c r="B29" s="169"/>
      <c r="C29" s="88" t="s">
        <v>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</row>
    <row r="30" spans="1:30" x14ac:dyDescent="0.35">
      <c r="A30" s="88" t="s">
        <v>39</v>
      </c>
      <c r="B30" s="169"/>
      <c r="C30" s="88" t="s">
        <v>34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</row>
    <row r="31" spans="1:30" x14ac:dyDescent="0.35">
      <c r="A31" s="88" t="s">
        <v>39</v>
      </c>
      <c r="B31" s="169"/>
      <c r="C31" s="88" t="s">
        <v>35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</row>
    <row r="32" spans="1:30" x14ac:dyDescent="0.35">
      <c r="A32" s="88" t="s">
        <v>143</v>
      </c>
      <c r="B32" s="88" t="s">
        <v>124</v>
      </c>
      <c r="C32" s="88" t="s">
        <v>144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</row>
    <row r="33" spans="1:30" x14ac:dyDescent="0.35">
      <c r="A33" s="88" t="s">
        <v>143</v>
      </c>
      <c r="B33" s="88" t="s">
        <v>145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</row>
    <row r="34" spans="1:30" x14ac:dyDescent="0.35">
      <c r="A34" s="88" t="s">
        <v>146</v>
      </c>
      <c r="B34" s="88" t="s">
        <v>124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</row>
    <row r="35" spans="1:30" x14ac:dyDescent="0.35">
      <c r="A35" s="88" t="s">
        <v>146</v>
      </c>
      <c r="B35" s="88" t="s">
        <v>145</v>
      </c>
      <c r="C35" s="88" t="s">
        <v>144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</row>
    <row r="36" spans="1:30" ht="29" x14ac:dyDescent="0.35">
      <c r="A36" s="3" t="s">
        <v>147</v>
      </c>
      <c r="B36" s="3" t="s">
        <v>148</v>
      </c>
      <c r="C36" s="88" t="s">
        <v>144</v>
      </c>
      <c r="D36" s="63">
        <v>16067265.069648437</v>
      </c>
      <c r="E36" s="63">
        <v>17677191.999566846</v>
      </c>
      <c r="F36" s="63">
        <v>18717751.262427267</v>
      </c>
      <c r="G36" s="63">
        <v>19881226.514129128</v>
      </c>
      <c r="H36" s="63">
        <v>21019539.136383224</v>
      </c>
      <c r="I36" s="63">
        <v>22376248.135947306</v>
      </c>
      <c r="J36" s="63">
        <v>23794240.735696051</v>
      </c>
      <c r="K36" s="63">
        <v>25478581.900573935</v>
      </c>
      <c r="L36" s="63">
        <v>27337824.743143722</v>
      </c>
      <c r="M36" s="63">
        <v>29333003.823181488</v>
      </c>
      <c r="N36" s="63">
        <v>31162733.901978828</v>
      </c>
      <c r="O36" s="63">
        <v>33325843.537562277</v>
      </c>
      <c r="P36" s="63">
        <v>35625667.319516867</v>
      </c>
      <c r="Q36" s="63">
        <v>38031797.676853471</v>
      </c>
      <c r="R36" s="63">
        <v>40403886.272988707</v>
      </c>
      <c r="S36" s="63">
        <v>43260494.233526185</v>
      </c>
      <c r="T36" s="63">
        <v>45936936.775771804</v>
      </c>
      <c r="U36" s="63">
        <v>48593021.557777725</v>
      </c>
      <c r="V36" s="63">
        <v>51554447.411322109</v>
      </c>
      <c r="W36" s="63">
        <v>54604023.079180211</v>
      </c>
      <c r="X36" s="63">
        <v>57580117.069331579</v>
      </c>
      <c r="Y36" s="63">
        <v>60672834.986307628</v>
      </c>
      <c r="Z36" s="63">
        <v>63691116.678843468</v>
      </c>
      <c r="AA36" s="63">
        <v>66904360.245548591</v>
      </c>
      <c r="AB36" s="63">
        <v>70172941.389915556</v>
      </c>
      <c r="AC36" s="63">
        <v>73081716.012764558</v>
      </c>
      <c r="AD36" s="63">
        <v>76048964.147175238</v>
      </c>
    </row>
    <row r="38" spans="1:30" x14ac:dyDescent="0.35">
      <c r="A38" s="88"/>
      <c r="B38" s="88"/>
      <c r="C38" s="88" t="s">
        <v>149</v>
      </c>
      <c r="D38" s="63">
        <f>'Cost Assumptions'!$B$4</f>
        <v>40</v>
      </c>
      <c r="E38" s="63">
        <f>D38*'Cost Assumptions'!$B$5</f>
        <v>41</v>
      </c>
      <c r="F38" s="63">
        <f>E38*'Cost Assumptions'!$B$5</f>
        <v>42.024999999999999</v>
      </c>
      <c r="G38" s="63">
        <f>F38*'Cost Assumptions'!$B$5</f>
        <v>43.075624999999995</v>
      </c>
      <c r="H38" s="10">
        <f>G38*'Cost Assumptions'!$B$5</f>
        <v>44.152515624999992</v>
      </c>
      <c r="I38" s="10">
        <f>H38*'Cost Assumptions'!$B$5</f>
        <v>45.256328515624986</v>
      </c>
      <c r="J38" s="10">
        <f>I38*'Cost Assumptions'!$B$5</f>
        <v>46.387736728515605</v>
      </c>
      <c r="K38" s="10">
        <f>J38*'Cost Assumptions'!$B$5</f>
        <v>47.547430146728495</v>
      </c>
      <c r="L38" s="10">
        <f>K38*'Cost Assumptions'!$B$5</f>
        <v>48.736115900396705</v>
      </c>
      <c r="M38" s="10">
        <f>L38*'Cost Assumptions'!$B$5</f>
        <v>49.954518797906616</v>
      </c>
      <c r="N38" s="10">
        <f>M38*'Cost Assumptions'!$B$5</f>
        <v>51.203381767854275</v>
      </c>
      <c r="O38" s="10">
        <f>N38*'Cost Assumptions'!$B$5</f>
        <v>52.483466312050624</v>
      </c>
      <c r="P38" s="10">
        <f>O38*'Cost Assumptions'!$B$5</f>
        <v>53.795552969851883</v>
      </c>
      <c r="Q38" s="10">
        <f>P38*'Cost Assumptions'!$B$5</f>
        <v>55.140441794098173</v>
      </c>
      <c r="R38" s="10">
        <f>Q38*'Cost Assumptions'!$B$5</f>
        <v>56.518952838950625</v>
      </c>
      <c r="S38" s="10">
        <f>R38*'Cost Assumptions'!$B$5</f>
        <v>57.931926659924386</v>
      </c>
      <c r="T38" s="10">
        <f>S38*'Cost Assumptions'!$B$5</f>
        <v>59.380224826422491</v>
      </c>
      <c r="U38" s="10">
        <f>T38*'Cost Assumptions'!$B$5</f>
        <v>60.864730447083048</v>
      </c>
      <c r="V38" s="10">
        <f>U38*'Cost Assumptions'!$B$5</f>
        <v>62.386348708260115</v>
      </c>
      <c r="W38" s="10">
        <f>V38*'Cost Assumptions'!$B$5</f>
        <v>63.946007425966613</v>
      </c>
      <c r="X38" s="10">
        <f>W38*'Cost Assumptions'!$B$5</f>
        <v>65.544657611615776</v>
      </c>
      <c r="Y38" s="10">
        <f>X38*'Cost Assumptions'!$B$5</f>
        <v>67.183274051906167</v>
      </c>
      <c r="Z38" s="10">
        <f>Y38*'Cost Assumptions'!$B$5</f>
        <v>68.862855903203823</v>
      </c>
      <c r="AA38" s="10">
        <f>Z38*'Cost Assumptions'!$B$5</f>
        <v>70.584427300783915</v>
      </c>
      <c r="AB38" s="10">
        <f>AA38*'Cost Assumptions'!$B$5</f>
        <v>72.349037983303504</v>
      </c>
      <c r="AC38" s="10">
        <f>AB38*'Cost Assumptions'!$B$5</f>
        <v>74.157763932886084</v>
      </c>
      <c r="AD38" s="10">
        <f>AC38*'Cost Assumptions'!$B$5</f>
        <v>76.011708031208229</v>
      </c>
    </row>
    <row r="39" spans="1:30" x14ac:dyDescent="0.35">
      <c r="A39" s="88"/>
      <c r="B39" s="8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3.5" x14ac:dyDescent="0.55000000000000004">
      <c r="A40" s="88"/>
      <c r="B40" s="167" t="s">
        <v>150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</row>
    <row r="41" spans="1:30" ht="20" thickBot="1" x14ac:dyDescent="0.5">
      <c r="A41" s="117"/>
      <c r="B41" s="128" t="s">
        <v>151</v>
      </c>
      <c r="C41" s="117" t="s">
        <v>118</v>
      </c>
      <c r="D41" s="117"/>
      <c r="E41" s="117"/>
      <c r="F41" s="117"/>
      <c r="G41" s="117">
        <v>2025</v>
      </c>
      <c r="H41" s="117">
        <v>2026</v>
      </c>
      <c r="I41" s="117">
        <v>2027</v>
      </c>
      <c r="J41" s="117">
        <v>2028</v>
      </c>
      <c r="K41" s="117">
        <v>2029</v>
      </c>
      <c r="L41" s="117">
        <v>2030</v>
      </c>
      <c r="M41" s="117">
        <v>2031</v>
      </c>
      <c r="N41" s="117">
        <v>2032</v>
      </c>
      <c r="O41" s="117">
        <v>2033</v>
      </c>
      <c r="P41" s="117">
        <v>2034</v>
      </c>
      <c r="Q41" s="117">
        <v>2035</v>
      </c>
      <c r="R41" s="117">
        <v>2036</v>
      </c>
      <c r="S41" s="117">
        <v>2037</v>
      </c>
      <c r="T41" s="117">
        <v>2038</v>
      </c>
      <c r="U41" s="117">
        <v>2039</v>
      </c>
      <c r="V41" s="117">
        <v>2040</v>
      </c>
      <c r="W41" s="117">
        <v>2041</v>
      </c>
      <c r="X41" s="117">
        <v>2042</v>
      </c>
      <c r="Y41" s="117">
        <v>2043</v>
      </c>
      <c r="Z41" s="117">
        <v>2044</v>
      </c>
      <c r="AA41" s="117">
        <v>2045</v>
      </c>
      <c r="AB41" s="117">
        <v>2046</v>
      </c>
      <c r="AC41" s="117">
        <v>2047</v>
      </c>
      <c r="AD41" s="117">
        <v>2048</v>
      </c>
    </row>
    <row r="42" spans="1:30" ht="15" thickTop="1" x14ac:dyDescent="0.35">
      <c r="A42" s="5">
        <f t="shared" ref="A42:A56" si="1">SUM(D42:AD42)/1000</f>
        <v>50.795774999989575</v>
      </c>
      <c r="B42" s="11">
        <f>NPV('Cost Assumptions'!$B$3,'Centralized BESS in Valley S'!D42:'Centralized BESS in Valley S'!AD42)</f>
        <v>14606.996727913502</v>
      </c>
      <c r="C42" s="88" t="s">
        <v>120</v>
      </c>
      <c r="D42" s="63">
        <f t="shared" ref="D42:AD42" si="2">D2-D18</f>
        <v>1135.5499999998938</v>
      </c>
      <c r="E42" s="63">
        <f t="shared" si="2"/>
        <v>1192.9173076921797</v>
      </c>
      <c r="F42" s="63">
        <f t="shared" si="2"/>
        <v>1250.2846153844657</v>
      </c>
      <c r="G42" s="63">
        <f t="shared" si="2"/>
        <v>1307.6519230767517</v>
      </c>
      <c r="H42" s="63">
        <f t="shared" si="2"/>
        <v>1365.0192307690377</v>
      </c>
      <c r="I42" s="63">
        <f t="shared" si="2"/>
        <v>1422.3865384613237</v>
      </c>
      <c r="J42" s="63">
        <f t="shared" si="2"/>
        <v>1479.7538461536096</v>
      </c>
      <c r="K42" s="63">
        <f t="shared" si="2"/>
        <v>1537.1211538458956</v>
      </c>
      <c r="L42" s="63">
        <f t="shared" si="2"/>
        <v>1594.4884615381816</v>
      </c>
      <c r="M42" s="63">
        <f t="shared" si="2"/>
        <v>1651.8557692304676</v>
      </c>
      <c r="N42" s="63">
        <f t="shared" si="2"/>
        <v>1709.2230769227535</v>
      </c>
      <c r="O42" s="63">
        <f t="shared" si="2"/>
        <v>1766.5903846150395</v>
      </c>
      <c r="P42" s="63">
        <f t="shared" si="2"/>
        <v>1823.9576923073255</v>
      </c>
      <c r="Q42" s="63">
        <f t="shared" si="2"/>
        <v>1881.3249999996115</v>
      </c>
      <c r="R42" s="63">
        <f t="shared" si="2"/>
        <v>1938.6923076918974</v>
      </c>
      <c r="S42" s="63">
        <f t="shared" si="2"/>
        <v>1996.0596153841834</v>
      </c>
      <c r="T42" s="63">
        <f t="shared" si="2"/>
        <v>2053.4269230764694</v>
      </c>
      <c r="U42" s="63">
        <f t="shared" si="2"/>
        <v>2110.7942307687554</v>
      </c>
      <c r="V42" s="63">
        <f t="shared" si="2"/>
        <v>2168.1615384610413</v>
      </c>
      <c r="W42" s="63">
        <f t="shared" si="2"/>
        <v>2225.5288461533273</v>
      </c>
      <c r="X42" s="63">
        <f t="shared" si="2"/>
        <v>2282.8961538456133</v>
      </c>
      <c r="Y42" s="63">
        <f t="shared" si="2"/>
        <v>2340.2634615378993</v>
      </c>
      <c r="Z42" s="63">
        <f t="shared" si="2"/>
        <v>2397.6307692301853</v>
      </c>
      <c r="AA42" s="63">
        <f t="shared" si="2"/>
        <v>2454.9980769224712</v>
      </c>
      <c r="AB42" s="63">
        <f t="shared" si="2"/>
        <v>2512.3653846147572</v>
      </c>
      <c r="AC42" s="63">
        <f t="shared" si="2"/>
        <v>2569.7326923070432</v>
      </c>
      <c r="AD42" s="63">
        <f t="shared" si="2"/>
        <v>2627.0999999993946</v>
      </c>
    </row>
    <row r="43" spans="1:30" x14ac:dyDescent="0.35">
      <c r="A43" s="5">
        <f t="shared" si="1"/>
        <v>2982.3573192705699</v>
      </c>
      <c r="B43" s="11">
        <f>NPV('Cost Assumptions'!$B$3,'Centralized BESS in Valley S'!D43:'Centralized BESS in Valley S'!AD43)</f>
        <v>748930.12496433174</v>
      </c>
      <c r="C43" s="88" t="s">
        <v>152</v>
      </c>
      <c r="D43" s="63">
        <f t="shared" ref="D43:AD43" si="3">D42*D38</f>
        <v>45421.999999995751</v>
      </c>
      <c r="E43" s="63">
        <f t="shared" si="3"/>
        <v>48909.60961537937</v>
      </c>
      <c r="F43" s="63">
        <f t="shared" si="3"/>
        <v>52543.210961532168</v>
      </c>
      <c r="G43" s="63">
        <f t="shared" si="3"/>
        <v>56327.923868982994</v>
      </c>
      <c r="H43" s="63">
        <f t="shared" si="3"/>
        <v>60269.032914955409</v>
      </c>
      <c r="I43" s="63">
        <f t="shared" si="3"/>
        <v>64371.992460808317</v>
      </c>
      <c r="J43" s="63">
        <f t="shared" si="3"/>
        <v>68642.431838382021</v>
      </c>
      <c r="K43" s="63">
        <f t="shared" si="3"/>
        <v>73086.160689546421</v>
      </c>
      <c r="L43" s="63">
        <f t="shared" si="3"/>
        <v>77709.174463370044</v>
      </c>
      <c r="M43" s="63">
        <f t="shared" si="3"/>
        <v>82517.660075453881</v>
      </c>
      <c r="N43" s="63">
        <f t="shared" si="3"/>
        <v>87518.001734102305</v>
      </c>
      <c r="O43" s="63">
        <f t="shared" si="3"/>
        <v>92716.786938135978</v>
      </c>
      <c r="P43" s="63">
        <f t="shared" si="3"/>
        <v>98120.812651287531</v>
      </c>
      <c r="Q43" s="63">
        <f t="shared" si="3"/>
        <v>103737.09165826032</v>
      </c>
      <c r="R43" s="63">
        <f t="shared" si="3"/>
        <v>109572.85910767471</v>
      </c>
      <c r="S43" s="63">
        <f t="shared" si="3"/>
        <v>115635.57924727339</v>
      </c>
      <c r="T43" s="63">
        <f t="shared" si="3"/>
        <v>121932.95235690972</v>
      </c>
      <c r="U43" s="63">
        <f t="shared" si="3"/>
        <v>128472.9218849983</v>
      </c>
      <c r="V43" s="63">
        <f t="shared" si="3"/>
        <v>135263.68179426825</v>
      </c>
      <c r="W43" s="63">
        <f t="shared" si="3"/>
        <v>142313.68412282359</v>
      </c>
      <c r="X43" s="63">
        <f t="shared" si="3"/>
        <v>149631.64676668527</v>
      </c>
      <c r="Y43" s="63">
        <f t="shared" si="3"/>
        <v>157226.56149016327</v>
      </c>
      <c r="Z43" s="63">
        <f t="shared" si="3"/>
        <v>165107.70217058598</v>
      </c>
      <c r="AA43" s="63">
        <f t="shared" si="3"/>
        <v>173284.6332840985</v>
      </c>
      <c r="AB43" s="63">
        <f t="shared" si="3"/>
        <v>181767.21863942998</v>
      </c>
      <c r="AC43" s="63">
        <f t="shared" si="3"/>
        <v>190565.6303667255</v>
      </c>
      <c r="AD43" s="63">
        <f t="shared" si="3"/>
        <v>199690.35816874114</v>
      </c>
    </row>
    <row r="44" spans="1:30" x14ac:dyDescent="0.35">
      <c r="A44" s="5">
        <f t="shared" si="1"/>
        <v>21.683800000000002</v>
      </c>
      <c r="B44" s="11">
        <f>NPV('Cost Assumptions'!$B$3,'Centralized BESS in Valley S'!D44:'Centralized BESS in Valley S'!AD44)</f>
        <v>3054.0879453272519</v>
      </c>
      <c r="C44" s="88" t="s">
        <v>31</v>
      </c>
      <c r="D44" s="63">
        <f t="shared" ref="D44:AD44" si="4">D3-D19</f>
        <v>10</v>
      </c>
      <c r="E44" s="63">
        <f t="shared" si="4"/>
        <v>20.5</v>
      </c>
      <c r="F44" s="63">
        <f t="shared" si="4"/>
        <v>29.879999999999995</v>
      </c>
      <c r="G44" s="63">
        <f t="shared" si="4"/>
        <v>39.259999999999991</v>
      </c>
      <c r="H44" s="63">
        <f t="shared" si="4"/>
        <v>48.639999999999986</v>
      </c>
      <c r="I44" s="63">
        <f t="shared" si="4"/>
        <v>58.019999999999982</v>
      </c>
      <c r="J44" s="63">
        <f t="shared" si="4"/>
        <v>67.399999999999977</v>
      </c>
      <c r="K44" s="63">
        <f t="shared" si="4"/>
        <v>91.449999999999989</v>
      </c>
      <c r="L44" s="63">
        <f t="shared" si="4"/>
        <v>115.5</v>
      </c>
      <c r="M44" s="63">
        <f t="shared" si="4"/>
        <v>139.55000000000001</v>
      </c>
      <c r="N44" s="63">
        <f t="shared" si="4"/>
        <v>163.6</v>
      </c>
      <c r="O44" s="63">
        <f t="shared" si="4"/>
        <v>249.4666666666667</v>
      </c>
      <c r="P44" s="63">
        <f t="shared" si="4"/>
        <v>335.33333333333337</v>
      </c>
      <c r="Q44" s="63">
        <f t="shared" si="4"/>
        <v>421.20000000000005</v>
      </c>
      <c r="R44" s="63">
        <f t="shared" si="4"/>
        <v>507.06666666666672</v>
      </c>
      <c r="S44" s="63">
        <f t="shared" si="4"/>
        <v>592.93333333333339</v>
      </c>
      <c r="T44" s="63">
        <f t="shared" si="4"/>
        <v>678.80000000000018</v>
      </c>
      <c r="U44" s="63">
        <f t="shared" si="4"/>
        <v>893.22000000000014</v>
      </c>
      <c r="V44" s="63">
        <f t="shared" si="4"/>
        <v>1107.6400000000001</v>
      </c>
      <c r="W44" s="63">
        <f t="shared" si="4"/>
        <v>1322.0600000000002</v>
      </c>
      <c r="X44" s="63">
        <f t="shared" si="4"/>
        <v>1536.4800000000002</v>
      </c>
      <c r="Y44" s="63">
        <f t="shared" si="4"/>
        <v>1595.6</v>
      </c>
      <c r="Z44" s="63">
        <f t="shared" si="4"/>
        <v>1841.08</v>
      </c>
      <c r="AA44" s="63">
        <f t="shared" si="4"/>
        <v>2086.56</v>
      </c>
      <c r="AB44" s="63">
        <f t="shared" si="4"/>
        <v>2332.04</v>
      </c>
      <c r="AC44" s="63">
        <f t="shared" si="4"/>
        <v>2577.52</v>
      </c>
      <c r="AD44" s="63">
        <f t="shared" si="4"/>
        <v>2823</v>
      </c>
    </row>
    <row r="45" spans="1:30" x14ac:dyDescent="0.35">
      <c r="A45" s="5">
        <f t="shared" si="1"/>
        <v>0.78004999999999991</v>
      </c>
      <c r="B45" s="11">
        <f>NPV('Cost Assumptions'!$B$3,'Centralized BESS in Valley S'!D45:'Centralized BESS in Valley S'!AD45)</f>
        <v>153.69224473977658</v>
      </c>
      <c r="C45" s="88" t="s">
        <v>32</v>
      </c>
      <c r="D45" s="63">
        <f t="shared" ref="D45:AD45" si="5">D4-D20</f>
        <v>2</v>
      </c>
      <c r="E45" s="63">
        <f t="shared" si="5"/>
        <v>3</v>
      </c>
      <c r="F45" s="63">
        <f t="shared" si="5"/>
        <v>4.6799999999999953</v>
      </c>
      <c r="G45" s="63">
        <f t="shared" si="5"/>
        <v>6.3599999999999905</v>
      </c>
      <c r="H45" s="63">
        <f t="shared" si="5"/>
        <v>8.0399999999999867</v>
      </c>
      <c r="I45" s="63">
        <f t="shared" si="5"/>
        <v>9.7199999999999829</v>
      </c>
      <c r="J45" s="63">
        <f t="shared" si="5"/>
        <v>11.399999999999977</v>
      </c>
      <c r="K45" s="63">
        <f t="shared" si="5"/>
        <v>13.199999999999989</v>
      </c>
      <c r="L45" s="63">
        <f t="shared" si="5"/>
        <v>15</v>
      </c>
      <c r="M45" s="63">
        <f t="shared" si="5"/>
        <v>16.800000000000011</v>
      </c>
      <c r="N45" s="63">
        <f t="shared" si="5"/>
        <v>18.600000000000023</v>
      </c>
      <c r="O45" s="63">
        <f t="shared" si="5"/>
        <v>21.350000000000023</v>
      </c>
      <c r="P45" s="63">
        <f t="shared" si="5"/>
        <v>24.100000000000023</v>
      </c>
      <c r="Q45" s="63">
        <f t="shared" si="5"/>
        <v>26.850000000000023</v>
      </c>
      <c r="R45" s="63">
        <f t="shared" si="5"/>
        <v>29.600000000000023</v>
      </c>
      <c r="S45" s="63">
        <f t="shared" si="5"/>
        <v>32.350000000000023</v>
      </c>
      <c r="T45" s="63">
        <f t="shared" si="5"/>
        <v>35.100000000000023</v>
      </c>
      <c r="U45" s="63">
        <f t="shared" si="5"/>
        <v>37.140000000000015</v>
      </c>
      <c r="V45" s="63">
        <f t="shared" si="5"/>
        <v>39.180000000000007</v>
      </c>
      <c r="W45" s="63">
        <f t="shared" si="5"/>
        <v>41.22</v>
      </c>
      <c r="X45" s="63">
        <f t="shared" si="5"/>
        <v>43.259999999999991</v>
      </c>
      <c r="Y45" s="63">
        <f t="shared" si="5"/>
        <v>45.3</v>
      </c>
      <c r="Z45" s="63">
        <f t="shared" si="5"/>
        <v>49.92</v>
      </c>
      <c r="AA45" s="63">
        <f t="shared" si="5"/>
        <v>54.540000000000006</v>
      </c>
      <c r="AB45" s="63">
        <f t="shared" si="5"/>
        <v>59.160000000000011</v>
      </c>
      <c r="AC45" s="63">
        <f t="shared" si="5"/>
        <v>63.780000000000015</v>
      </c>
      <c r="AD45" s="63">
        <f t="shared" si="5"/>
        <v>68.400000000000006</v>
      </c>
    </row>
    <row r="46" spans="1:30" x14ac:dyDescent="0.35">
      <c r="A46" s="5">
        <f t="shared" si="1"/>
        <v>1.3791902437124208</v>
      </c>
      <c r="B46" s="11">
        <f>NPV('Cost Assumptions'!$B$3,'Centralized BESS in Valley S'!D46:'Centralized BESS in Valley S'!AD46)</f>
        <v>159.37844490973765</v>
      </c>
      <c r="C46" s="88" t="s">
        <v>33</v>
      </c>
      <c r="D46" s="63">
        <f t="shared" ref="D46:AD46" si="6">D5-D21</f>
        <v>8.4812112193331513E-2</v>
      </c>
      <c r="E46" s="63">
        <f t="shared" si="6"/>
        <v>0.24283371212350299</v>
      </c>
      <c r="F46" s="63">
        <f t="shared" si="6"/>
        <v>0.34046276046663143</v>
      </c>
      <c r="G46" s="63">
        <f t="shared" si="6"/>
        <v>0.43809180880975984</v>
      </c>
      <c r="H46" s="63">
        <f t="shared" si="6"/>
        <v>0.53572085715288831</v>
      </c>
      <c r="I46" s="63">
        <f t="shared" si="6"/>
        <v>0.63334990549601677</v>
      </c>
      <c r="J46" s="63">
        <f t="shared" si="6"/>
        <v>0.73097895383914513</v>
      </c>
      <c r="K46" s="63">
        <f t="shared" si="6"/>
        <v>1.1654530565649843</v>
      </c>
      <c r="L46" s="63">
        <f t="shared" si="6"/>
        <v>1.5999271592908235</v>
      </c>
      <c r="M46" s="63">
        <f t="shared" si="6"/>
        <v>2.0344012620166625</v>
      </c>
      <c r="N46" s="63">
        <f t="shared" si="6"/>
        <v>2.4688753647425017</v>
      </c>
      <c r="O46" s="63">
        <f t="shared" si="6"/>
        <v>6.1188246067013257</v>
      </c>
      <c r="P46" s="63">
        <f t="shared" si="6"/>
        <v>9.7687738486601496</v>
      </c>
      <c r="Q46" s="63">
        <f t="shared" si="6"/>
        <v>13.418723090618974</v>
      </c>
      <c r="R46" s="63">
        <f t="shared" si="6"/>
        <v>17.068672332577798</v>
      </c>
      <c r="S46" s="63">
        <f t="shared" si="6"/>
        <v>20.718621574536623</v>
      </c>
      <c r="T46" s="63">
        <f t="shared" si="6"/>
        <v>24.368570816495449</v>
      </c>
      <c r="U46" s="63">
        <f t="shared" si="6"/>
        <v>38.177554292324203</v>
      </c>
      <c r="V46" s="63">
        <f t="shared" si="6"/>
        <v>51.986537768152957</v>
      </c>
      <c r="W46" s="63">
        <f t="shared" si="6"/>
        <v>65.79552124398171</v>
      </c>
      <c r="X46" s="63">
        <f t="shared" si="6"/>
        <v>79.604504719810464</v>
      </c>
      <c r="Y46" s="63">
        <f t="shared" si="6"/>
        <v>93.413488195639218</v>
      </c>
      <c r="Z46" s="63">
        <f t="shared" si="6"/>
        <v>125.5073617484412</v>
      </c>
      <c r="AA46" s="63">
        <f t="shared" si="6"/>
        <v>157.60123530124318</v>
      </c>
      <c r="AB46" s="63">
        <f t="shared" si="6"/>
        <v>189.69510885404515</v>
      </c>
      <c r="AC46" s="63">
        <f t="shared" si="6"/>
        <v>221.78898240684714</v>
      </c>
      <c r="AD46" s="63">
        <f t="shared" si="6"/>
        <v>253.88285595964913</v>
      </c>
    </row>
    <row r="47" spans="1:30" x14ac:dyDescent="0.35">
      <c r="A47" s="5">
        <f t="shared" si="1"/>
        <v>1.8892040873009611E-2</v>
      </c>
      <c r="B47" s="11">
        <f>NPV('Cost Assumptions'!$B$3,'Centralized BESS in Valley S'!D47:'Centralized BESS in Valley S'!AD47)</f>
        <v>2.6252697089132693</v>
      </c>
      <c r="C47" s="88" t="s">
        <v>34</v>
      </c>
      <c r="D47" s="63">
        <f t="shared" ref="D47:AD47" si="7">D6-D22</f>
        <v>6.0580080138093939E-3</v>
      </c>
      <c r="E47" s="63">
        <f t="shared" si="7"/>
        <v>1.7771756236396739E-2</v>
      </c>
      <c r="F47" s="63">
        <f t="shared" si="7"/>
        <v>2.504677784712513E-2</v>
      </c>
      <c r="G47" s="63">
        <f t="shared" si="7"/>
        <v>3.2321799457853517E-2</v>
      </c>
      <c r="H47" s="63">
        <f t="shared" si="7"/>
        <v>3.9596821068581908E-2</v>
      </c>
      <c r="I47" s="63">
        <f t="shared" si="7"/>
        <v>4.6871842679310299E-2</v>
      </c>
      <c r="J47" s="63">
        <f t="shared" si="7"/>
        <v>5.414686429003869E-2</v>
      </c>
      <c r="K47" s="63">
        <f t="shared" si="7"/>
        <v>7.3798800432577555E-2</v>
      </c>
      <c r="L47" s="63">
        <f t="shared" si="7"/>
        <v>9.3450736575116419E-2</v>
      </c>
      <c r="M47" s="63">
        <f t="shared" si="7"/>
        <v>0.11310267271765528</v>
      </c>
      <c r="N47" s="63">
        <f t="shared" si="7"/>
        <v>0.13275460886019416</v>
      </c>
      <c r="O47" s="63">
        <f t="shared" si="7"/>
        <v>0.20937705636327303</v>
      </c>
      <c r="P47" s="63">
        <f t="shared" si="7"/>
        <v>0.28599950386635192</v>
      </c>
      <c r="Q47" s="63">
        <f t="shared" si="7"/>
        <v>0.36262195136943082</v>
      </c>
      <c r="R47" s="63">
        <f t="shared" si="7"/>
        <v>0.43924439887250971</v>
      </c>
      <c r="S47" s="63">
        <f t="shared" si="7"/>
        <v>0.51586684637558855</v>
      </c>
      <c r="T47" s="63">
        <f t="shared" si="7"/>
        <v>0.59248929387866744</v>
      </c>
      <c r="U47" s="63">
        <f t="shared" si="7"/>
        <v>0.75647401896257604</v>
      </c>
      <c r="V47" s="63">
        <f t="shared" si="7"/>
        <v>0.92045874404648464</v>
      </c>
      <c r="W47" s="63">
        <f t="shared" si="7"/>
        <v>1.0844434691303932</v>
      </c>
      <c r="X47" s="63">
        <f t="shared" si="7"/>
        <v>1.2484281942143018</v>
      </c>
      <c r="Y47" s="63">
        <f t="shared" si="7"/>
        <v>1.4124129192982104</v>
      </c>
      <c r="Z47" s="63">
        <f t="shared" si="7"/>
        <v>1.6368955320956846</v>
      </c>
      <c r="AA47" s="63">
        <f t="shared" si="7"/>
        <v>1.8613781448931588</v>
      </c>
      <c r="AB47" s="63">
        <f t="shared" si="7"/>
        <v>2.0858607576906327</v>
      </c>
      <c r="AC47" s="63">
        <f t="shared" si="7"/>
        <v>2.3103433704881069</v>
      </c>
      <c r="AD47" s="63">
        <f t="shared" si="7"/>
        <v>2.5348259832855811</v>
      </c>
    </row>
    <row r="48" spans="1:30" x14ac:dyDescent="0.35">
      <c r="A48" s="5">
        <f t="shared" si="1"/>
        <v>1.9990000000000001</v>
      </c>
      <c r="B48" s="11">
        <f>NPV('Cost Assumptions'!$B$3,'Centralized BESS in Valley S'!D48:'Centralized BESS in Valley S'!AD48)</f>
        <v>431.19522979784904</v>
      </c>
      <c r="C48" s="88" t="s">
        <v>35</v>
      </c>
      <c r="D48" s="63">
        <f t="shared" ref="D48:AD48" si="8">D7-D23</f>
        <v>14</v>
      </c>
      <c r="E48" s="63">
        <f t="shared" si="8"/>
        <v>21</v>
      </c>
      <c r="F48" s="63">
        <f t="shared" si="8"/>
        <v>23.2</v>
      </c>
      <c r="G48" s="63">
        <f t="shared" si="8"/>
        <v>25.4</v>
      </c>
      <c r="H48" s="63">
        <f t="shared" si="8"/>
        <v>27.599999999999998</v>
      </c>
      <c r="I48" s="63">
        <f t="shared" si="8"/>
        <v>29.799999999999997</v>
      </c>
      <c r="J48" s="63">
        <f t="shared" si="8"/>
        <v>32</v>
      </c>
      <c r="K48" s="63">
        <f t="shared" si="8"/>
        <v>35.75</v>
      </c>
      <c r="L48" s="63">
        <f t="shared" si="8"/>
        <v>39.5</v>
      </c>
      <c r="M48" s="63">
        <f t="shared" si="8"/>
        <v>43.25</v>
      </c>
      <c r="N48" s="63">
        <f t="shared" si="8"/>
        <v>47</v>
      </c>
      <c r="O48" s="63">
        <f t="shared" si="8"/>
        <v>53.833333333333336</v>
      </c>
      <c r="P48" s="63">
        <f t="shared" si="8"/>
        <v>60.666666666666671</v>
      </c>
      <c r="Q48" s="63">
        <f t="shared" si="8"/>
        <v>67.5</v>
      </c>
      <c r="R48" s="63">
        <f t="shared" si="8"/>
        <v>74.333333333333329</v>
      </c>
      <c r="S48" s="63">
        <f t="shared" si="8"/>
        <v>81.166666666666657</v>
      </c>
      <c r="T48" s="63">
        <f t="shared" si="8"/>
        <v>88</v>
      </c>
      <c r="U48" s="63">
        <f t="shared" si="8"/>
        <v>94.4</v>
      </c>
      <c r="V48" s="63">
        <f t="shared" si="8"/>
        <v>100.80000000000001</v>
      </c>
      <c r="W48" s="63">
        <f t="shared" si="8"/>
        <v>107.20000000000002</v>
      </c>
      <c r="X48" s="63">
        <f t="shared" si="8"/>
        <v>113.60000000000002</v>
      </c>
      <c r="Y48" s="63">
        <f t="shared" si="8"/>
        <v>120</v>
      </c>
      <c r="Z48" s="63">
        <f t="shared" si="8"/>
        <v>126.6</v>
      </c>
      <c r="AA48" s="63">
        <f t="shared" si="8"/>
        <v>133.19999999999999</v>
      </c>
      <c r="AB48" s="63">
        <f t="shared" si="8"/>
        <v>139.79999999999998</v>
      </c>
      <c r="AC48" s="63">
        <f t="shared" si="8"/>
        <v>146.39999999999998</v>
      </c>
      <c r="AD48" s="63">
        <f t="shared" si="8"/>
        <v>153</v>
      </c>
    </row>
    <row r="49" spans="1:30" s="82" customFormat="1" x14ac:dyDescent="0.35">
      <c r="A49" s="5">
        <f t="shared" si="1"/>
        <v>510.72246357329499</v>
      </c>
      <c r="B49" s="11">
        <f>NPV('Cost Assumptions'!$B$3,D49:AD49)</f>
        <v>117755.8291896493</v>
      </c>
      <c r="C49" s="86" t="s">
        <v>153</v>
      </c>
      <c r="D49" s="63">
        <f>D13-D24</f>
        <v>3577.7077849904035</v>
      </c>
      <c r="E49" s="63">
        <f t="shared" ref="E49:AD49" si="9">E13-E24</f>
        <v>4757.2643473224671</v>
      </c>
      <c r="F49" s="63">
        <f t="shared" si="9"/>
        <v>5936.8209096545306</v>
      </c>
      <c r="G49" s="63">
        <f t="shared" si="9"/>
        <v>7116.3774719865942</v>
      </c>
      <c r="H49" s="63">
        <f t="shared" si="9"/>
        <v>8295.9340343186577</v>
      </c>
      <c r="I49" s="63">
        <f t="shared" si="9"/>
        <v>9475.4905966507213</v>
      </c>
      <c r="J49" s="63">
        <f t="shared" si="9"/>
        <v>10655.047158982785</v>
      </c>
      <c r="K49" s="63">
        <f t="shared" si="9"/>
        <v>11834.603721314848</v>
      </c>
      <c r="L49" s="63">
        <f t="shared" si="9"/>
        <v>13114.160283646872</v>
      </c>
      <c r="M49" s="63">
        <f t="shared" si="9"/>
        <v>14193.716845978975</v>
      </c>
      <c r="N49" s="63">
        <f t="shared" si="9"/>
        <v>15373.273408311039</v>
      </c>
      <c r="O49" s="63">
        <f t="shared" si="9"/>
        <v>16552.829970643103</v>
      </c>
      <c r="P49" s="63">
        <f t="shared" si="9"/>
        <v>17732.386532975164</v>
      </c>
      <c r="Q49" s="63">
        <f t="shared" si="9"/>
        <v>18911.943095307226</v>
      </c>
      <c r="R49" s="63">
        <f t="shared" si="9"/>
        <v>20091.499657639288</v>
      </c>
      <c r="S49" s="63">
        <f t="shared" si="9"/>
        <v>21271.056219971349</v>
      </c>
      <c r="T49" s="63">
        <f t="shared" si="9"/>
        <v>22450.612782303411</v>
      </c>
      <c r="U49" s="63">
        <f t="shared" si="9"/>
        <v>23630.169344635473</v>
      </c>
      <c r="V49" s="63">
        <f t="shared" si="9"/>
        <v>24809.725906967535</v>
      </c>
      <c r="W49" s="63">
        <f t="shared" si="9"/>
        <v>25989.282469299596</v>
      </c>
      <c r="X49" s="63">
        <f t="shared" si="9"/>
        <v>27168.839031631658</v>
      </c>
      <c r="Y49" s="63">
        <f t="shared" si="9"/>
        <v>28348.39559396372</v>
      </c>
      <c r="Z49" s="63">
        <f t="shared" si="9"/>
        <v>29527.952156295782</v>
      </c>
      <c r="AA49" s="63">
        <f t="shared" si="9"/>
        <v>30707.508718627843</v>
      </c>
      <c r="AB49" s="63">
        <f t="shared" si="9"/>
        <v>31887.065280959905</v>
      </c>
      <c r="AC49" s="63">
        <f t="shared" si="9"/>
        <v>33066.62184329197</v>
      </c>
      <c r="AD49" s="63">
        <f t="shared" si="9"/>
        <v>34246.17840562405</v>
      </c>
    </row>
    <row r="50" spans="1:30" s="82" customFormat="1" x14ac:dyDescent="0.35">
      <c r="A50" s="5">
        <f t="shared" si="1"/>
        <v>0</v>
      </c>
      <c r="B50" s="11">
        <f>NPV('Cost Assumptions'!$B$3,D50:AD50)</f>
        <v>0</v>
      </c>
      <c r="C50" s="86" t="s">
        <v>154</v>
      </c>
      <c r="D50" s="63">
        <f>D14-D25</f>
        <v>0</v>
      </c>
      <c r="E50" s="63">
        <f t="shared" ref="E50:AD50" si="10">E14-E25</f>
        <v>0</v>
      </c>
      <c r="F50" s="63">
        <f t="shared" si="10"/>
        <v>0</v>
      </c>
      <c r="G50" s="63">
        <f t="shared" si="10"/>
        <v>0</v>
      </c>
      <c r="H50" s="63">
        <f t="shared" si="10"/>
        <v>0</v>
      </c>
      <c r="I50" s="63">
        <f t="shared" si="10"/>
        <v>0</v>
      </c>
      <c r="J50" s="63">
        <f t="shared" si="10"/>
        <v>0</v>
      </c>
      <c r="K50" s="63">
        <f t="shared" si="10"/>
        <v>0</v>
      </c>
      <c r="L50" s="63">
        <f t="shared" si="10"/>
        <v>0</v>
      </c>
      <c r="M50" s="63">
        <f t="shared" si="10"/>
        <v>0</v>
      </c>
      <c r="N50" s="63">
        <f t="shared" si="10"/>
        <v>0</v>
      </c>
      <c r="O50" s="63">
        <f t="shared" si="10"/>
        <v>0</v>
      </c>
      <c r="P50" s="63">
        <f t="shared" si="10"/>
        <v>0</v>
      </c>
      <c r="Q50" s="63">
        <f t="shared" si="10"/>
        <v>0</v>
      </c>
      <c r="R50" s="63">
        <f t="shared" si="10"/>
        <v>0</v>
      </c>
      <c r="S50" s="63">
        <f t="shared" si="10"/>
        <v>0</v>
      </c>
      <c r="T50" s="63">
        <f t="shared" si="10"/>
        <v>0</v>
      </c>
      <c r="U50" s="63">
        <f t="shared" si="10"/>
        <v>0</v>
      </c>
      <c r="V50" s="63">
        <f t="shared" si="10"/>
        <v>0</v>
      </c>
      <c r="W50" s="63">
        <f t="shared" si="10"/>
        <v>0</v>
      </c>
      <c r="X50" s="63">
        <f t="shared" si="10"/>
        <v>0</v>
      </c>
      <c r="Y50" s="63">
        <f t="shared" si="10"/>
        <v>0</v>
      </c>
      <c r="Z50" s="63">
        <f t="shared" si="10"/>
        <v>0</v>
      </c>
      <c r="AA50" s="63">
        <f t="shared" si="10"/>
        <v>0</v>
      </c>
      <c r="AB50" s="63">
        <f t="shared" si="10"/>
        <v>0</v>
      </c>
      <c r="AC50" s="63">
        <f t="shared" si="10"/>
        <v>0</v>
      </c>
      <c r="AD50" s="63">
        <f t="shared" si="10"/>
        <v>0</v>
      </c>
    </row>
    <row r="51" spans="1:30" s="82" customFormat="1" x14ac:dyDescent="0.35">
      <c r="A51" s="5">
        <f t="shared" si="1"/>
        <v>55.025367996180833</v>
      </c>
      <c r="B51" s="11">
        <f>NPV('Cost Assumptions'!$B$3,D51:AD51)</f>
        <v>8307.2206479279794</v>
      </c>
      <c r="C51" s="86" t="s">
        <v>155</v>
      </c>
      <c r="D51" s="63">
        <f>D15-D26</f>
        <v>21.23380978780915</v>
      </c>
      <c r="E51" s="63">
        <f>E15-E26</f>
        <v>65.092687723648851</v>
      </c>
      <c r="F51" s="63">
        <f t="shared" ref="F51:AD51" si="11">F15-F26</f>
        <v>91.317890019832703</v>
      </c>
      <c r="G51" s="63">
        <f t="shared" si="11"/>
        <v>118.26614020133275</v>
      </c>
      <c r="H51" s="63">
        <f t="shared" si="11"/>
        <v>152.94804004566686</v>
      </c>
      <c r="I51" s="63">
        <f t="shared" si="11"/>
        <v>198.31332526769256</v>
      </c>
      <c r="J51" s="63">
        <f t="shared" si="11"/>
        <v>254.36338907727622</v>
      </c>
      <c r="K51" s="63">
        <f t="shared" si="11"/>
        <v>331.18303587715491</v>
      </c>
      <c r="L51" s="63">
        <f t="shared" si="11"/>
        <v>417.11677232634975</v>
      </c>
      <c r="M51" s="63">
        <f t="shared" si="11"/>
        <v>517.29710132330365</v>
      </c>
      <c r="N51" s="63">
        <f t="shared" si="11"/>
        <v>646.21100338819087</v>
      </c>
      <c r="O51" s="63">
        <f t="shared" si="11"/>
        <v>800.40045694302535</v>
      </c>
      <c r="P51" s="63">
        <f t="shared" si="11"/>
        <v>1003.7702882800659</v>
      </c>
      <c r="Q51" s="63">
        <f t="shared" si="11"/>
        <v>1257.0435355216614</v>
      </c>
      <c r="R51" s="63">
        <f t="shared" si="11"/>
        <v>1548.2470986760018</v>
      </c>
      <c r="S51" s="63">
        <f t="shared" si="11"/>
        <v>1850.836493792187</v>
      </c>
      <c r="T51" s="63">
        <f t="shared" si="11"/>
        <v>2193.2199511960353</v>
      </c>
      <c r="U51" s="63">
        <f t="shared" si="11"/>
        <v>2541.298804113394</v>
      </c>
      <c r="V51" s="63">
        <f t="shared" si="11"/>
        <v>2901.1708397707553</v>
      </c>
      <c r="W51" s="63">
        <f t="shared" si="11"/>
        <v>3287.9185302448022</v>
      </c>
      <c r="X51" s="63">
        <f t="shared" si="11"/>
        <v>3714.170646487386</v>
      </c>
      <c r="Y51" s="63">
        <f t="shared" si="11"/>
        <v>4117.8447563319351</v>
      </c>
      <c r="Z51" s="63">
        <f t="shared" si="11"/>
        <v>4541.2972966492525</v>
      </c>
      <c r="AA51" s="63">
        <f t="shared" si="11"/>
        <v>4990.6003855860617</v>
      </c>
      <c r="AB51" s="63">
        <f t="shared" si="11"/>
        <v>5461.020567320229</v>
      </c>
      <c r="AC51" s="63">
        <f t="shared" si="11"/>
        <v>5825.6842619085219</v>
      </c>
      <c r="AD51" s="63">
        <f t="shared" si="11"/>
        <v>6177.5008883212577</v>
      </c>
    </row>
    <row r="52" spans="1:30" x14ac:dyDescent="0.35">
      <c r="A52" s="5">
        <f t="shared" si="1"/>
        <v>56.580700000000007</v>
      </c>
      <c r="B52" s="11">
        <f>NPV('Cost Assumptions'!$B$3,'Centralized BESS in Valley S'!D52:'Centralized BESS in Valley S'!AD52)</f>
        <v>8657.5452529435206</v>
      </c>
      <c r="C52" s="88" t="s">
        <v>31</v>
      </c>
      <c r="D52" s="63">
        <f t="shared" ref="D52:AD52" si="12">D8-D27</f>
        <v>22.2</v>
      </c>
      <c r="E52" s="63">
        <f t="shared" si="12"/>
        <v>65.8</v>
      </c>
      <c r="F52" s="63">
        <f t="shared" si="12"/>
        <v>102.72</v>
      </c>
      <c r="G52" s="63">
        <f t="shared" si="12"/>
        <v>139.63999999999999</v>
      </c>
      <c r="H52" s="63">
        <f t="shared" si="12"/>
        <v>176.56</v>
      </c>
      <c r="I52" s="63">
        <f t="shared" si="12"/>
        <v>213.48000000000002</v>
      </c>
      <c r="J52" s="63">
        <f t="shared" si="12"/>
        <v>250.4</v>
      </c>
      <c r="K52" s="63">
        <f t="shared" si="12"/>
        <v>348.67500000000001</v>
      </c>
      <c r="L52" s="63">
        <f t="shared" si="12"/>
        <v>446.95000000000005</v>
      </c>
      <c r="M52" s="63">
        <f t="shared" si="12"/>
        <v>545.22500000000002</v>
      </c>
      <c r="N52" s="63">
        <f t="shared" si="12"/>
        <v>643.5</v>
      </c>
      <c r="O52" s="63">
        <f t="shared" si="12"/>
        <v>904.91666666666674</v>
      </c>
      <c r="P52" s="63">
        <f t="shared" si="12"/>
        <v>1166.3333333333335</v>
      </c>
      <c r="Q52" s="63">
        <f t="shared" si="12"/>
        <v>1427.7500000000002</v>
      </c>
      <c r="R52" s="63">
        <f t="shared" si="12"/>
        <v>1689.166666666667</v>
      </c>
      <c r="S52" s="63">
        <f t="shared" si="12"/>
        <v>1950.5833333333337</v>
      </c>
      <c r="T52" s="63">
        <f t="shared" si="12"/>
        <v>2212</v>
      </c>
      <c r="U52" s="63">
        <f t="shared" si="12"/>
        <v>2606.48</v>
      </c>
      <c r="V52" s="63">
        <f t="shared" si="12"/>
        <v>3000.96</v>
      </c>
      <c r="W52" s="63">
        <f t="shared" si="12"/>
        <v>3395.44</v>
      </c>
      <c r="X52" s="63">
        <f t="shared" si="12"/>
        <v>3789.92</v>
      </c>
      <c r="Y52" s="63">
        <f t="shared" si="12"/>
        <v>4184.4000000000005</v>
      </c>
      <c r="Z52" s="63">
        <f t="shared" si="12"/>
        <v>4609.4400000000005</v>
      </c>
      <c r="AA52" s="63">
        <f t="shared" si="12"/>
        <v>5034.4800000000005</v>
      </c>
      <c r="AB52" s="63">
        <f t="shared" si="12"/>
        <v>5459.52</v>
      </c>
      <c r="AC52" s="63">
        <f t="shared" si="12"/>
        <v>5884.56</v>
      </c>
      <c r="AD52" s="63">
        <f t="shared" si="12"/>
        <v>6309.5999999999985</v>
      </c>
    </row>
    <row r="53" spans="1:30" x14ac:dyDescent="0.35">
      <c r="A53" s="5">
        <f t="shared" si="1"/>
        <v>4.0564</v>
      </c>
      <c r="B53" s="11">
        <f>NPV('Cost Assumptions'!$B$3,'Centralized BESS in Valley S'!D53:'Centralized BESS in Valley S'!AD53)</f>
        <v>853.05258349278347</v>
      </c>
      <c r="C53" s="88" t="s">
        <v>32</v>
      </c>
      <c r="D53" s="63">
        <f t="shared" ref="D53:AD53" si="13">D9-D28</f>
        <v>13</v>
      </c>
      <c r="E53" s="63">
        <f t="shared" si="13"/>
        <v>27</v>
      </c>
      <c r="F53" s="63">
        <f t="shared" si="13"/>
        <v>34.519999999999982</v>
      </c>
      <c r="G53" s="63">
        <f t="shared" si="13"/>
        <v>42.039999999999964</v>
      </c>
      <c r="H53" s="63">
        <f t="shared" si="13"/>
        <v>49.559999999999945</v>
      </c>
      <c r="I53" s="63">
        <f t="shared" si="13"/>
        <v>57.079999999999927</v>
      </c>
      <c r="J53" s="63">
        <f t="shared" si="13"/>
        <v>64.599999999999909</v>
      </c>
      <c r="K53" s="63">
        <f t="shared" si="13"/>
        <v>75.024999999999935</v>
      </c>
      <c r="L53" s="63">
        <f t="shared" si="13"/>
        <v>85.44999999999996</v>
      </c>
      <c r="M53" s="63">
        <f t="shared" si="13"/>
        <v>95.874999999999986</v>
      </c>
      <c r="N53" s="63">
        <f t="shared" si="13"/>
        <v>106.3</v>
      </c>
      <c r="O53" s="63">
        <f t="shared" si="13"/>
        <v>120.25</v>
      </c>
      <c r="P53" s="63">
        <f t="shared" si="13"/>
        <v>134.19999999999999</v>
      </c>
      <c r="Q53" s="63">
        <f t="shared" si="13"/>
        <v>148.14999999999998</v>
      </c>
      <c r="R53" s="63">
        <f t="shared" si="13"/>
        <v>162.09999999999997</v>
      </c>
      <c r="S53" s="63">
        <f t="shared" si="13"/>
        <v>176.04999999999995</v>
      </c>
      <c r="T53" s="63">
        <f t="shared" si="13"/>
        <v>190</v>
      </c>
      <c r="U53" s="63">
        <f t="shared" si="13"/>
        <v>201.2</v>
      </c>
      <c r="V53" s="63">
        <f t="shared" si="13"/>
        <v>212.39999999999998</v>
      </c>
      <c r="W53" s="63">
        <f t="shared" si="13"/>
        <v>223.59999999999997</v>
      </c>
      <c r="X53" s="63">
        <f t="shared" si="13"/>
        <v>234.79999999999995</v>
      </c>
      <c r="Y53" s="63">
        <f t="shared" si="13"/>
        <v>246</v>
      </c>
      <c r="Z53" s="63">
        <f t="shared" si="13"/>
        <v>254.48000000000002</v>
      </c>
      <c r="AA53" s="63">
        <f t="shared" si="13"/>
        <v>262.96000000000004</v>
      </c>
      <c r="AB53" s="63">
        <f t="shared" si="13"/>
        <v>271.44000000000005</v>
      </c>
      <c r="AC53" s="63">
        <f t="shared" si="13"/>
        <v>279.92000000000007</v>
      </c>
      <c r="AD53" s="63">
        <f t="shared" si="13"/>
        <v>288.40000000000009</v>
      </c>
    </row>
    <row r="54" spans="1:30" x14ac:dyDescent="0.35">
      <c r="A54" s="5">
        <f t="shared" si="1"/>
        <v>3.2676158609236081</v>
      </c>
      <c r="B54" s="11">
        <f>NPV('Cost Assumptions'!$B$3,'Centralized BESS in Valley S'!D54:'Centralized BESS in Valley S'!AD54)</f>
        <v>404.2317418308055</v>
      </c>
      <c r="C54" s="88" t="s">
        <v>33</v>
      </c>
      <c r="D54" s="63">
        <f t="shared" ref="D54:AD54" si="14">D10-D29</f>
        <v>4.7253529883901121E-2</v>
      </c>
      <c r="E54" s="63">
        <f t="shared" si="14"/>
        <v>0.28011551949195379</v>
      </c>
      <c r="F54" s="63">
        <f t="shared" si="14"/>
        <v>0.59718244793816533</v>
      </c>
      <c r="G54" s="63">
        <f t="shared" si="14"/>
        <v>0.91424937638437687</v>
      </c>
      <c r="H54" s="63">
        <f t="shared" si="14"/>
        <v>1.2313163048305884</v>
      </c>
      <c r="I54" s="63">
        <f t="shared" si="14"/>
        <v>1.5483832332767999</v>
      </c>
      <c r="J54" s="63">
        <f t="shared" si="14"/>
        <v>1.8654501617230115</v>
      </c>
      <c r="K54" s="63">
        <f t="shared" si="14"/>
        <v>3.796086780774603</v>
      </c>
      <c r="L54" s="63">
        <f t="shared" si="14"/>
        <v>5.726723399826195</v>
      </c>
      <c r="M54" s="63">
        <f t="shared" si="14"/>
        <v>7.6573600188777871</v>
      </c>
      <c r="N54" s="63">
        <f t="shared" si="14"/>
        <v>9.5879966379293773</v>
      </c>
      <c r="O54" s="63">
        <f t="shared" si="14"/>
        <v>22.507331657050738</v>
      </c>
      <c r="P54" s="63">
        <f t="shared" si="14"/>
        <v>35.426666676172097</v>
      </c>
      <c r="Q54" s="63">
        <f t="shared" si="14"/>
        <v>48.346001695293459</v>
      </c>
      <c r="R54" s="63">
        <f t="shared" si="14"/>
        <v>61.265336714414822</v>
      </c>
      <c r="S54" s="63">
        <f t="shared" si="14"/>
        <v>74.184671733536177</v>
      </c>
      <c r="T54" s="63">
        <f t="shared" si="14"/>
        <v>87.10400675265754</v>
      </c>
      <c r="U54" s="63">
        <f t="shared" si="14"/>
        <v>116.88846005819971</v>
      </c>
      <c r="V54" s="63">
        <f t="shared" si="14"/>
        <v>146.67291336374188</v>
      </c>
      <c r="W54" s="63">
        <f t="shared" si="14"/>
        <v>176.45736666928406</v>
      </c>
      <c r="X54" s="63">
        <f t="shared" si="14"/>
        <v>206.24181997482623</v>
      </c>
      <c r="Y54" s="63">
        <f t="shared" si="14"/>
        <v>236.02627328036843</v>
      </c>
      <c r="Z54" s="63">
        <f t="shared" si="14"/>
        <v>292.23370851605404</v>
      </c>
      <c r="AA54" s="63">
        <f t="shared" si="14"/>
        <v>348.44114375173962</v>
      </c>
      <c r="AB54" s="63">
        <f t="shared" si="14"/>
        <v>404.6485789874252</v>
      </c>
      <c r="AC54" s="63">
        <f t="shared" si="14"/>
        <v>460.85601422311078</v>
      </c>
      <c r="AD54" s="63">
        <f t="shared" si="14"/>
        <v>517.06344945879641</v>
      </c>
    </row>
    <row r="55" spans="1:30" x14ac:dyDescent="0.35">
      <c r="A55" s="5">
        <f t="shared" si="1"/>
        <v>6.0217067529325194E-2</v>
      </c>
      <c r="B55" s="11">
        <f>NPV('Cost Assumptions'!$B$3,'Centralized BESS in Valley S'!D55:'Centralized BESS in Valley S'!AD55)</f>
        <v>9.2139543543061269</v>
      </c>
      <c r="C55" s="88" t="s">
        <v>34</v>
      </c>
      <c r="D55" s="63">
        <f t="shared" ref="D55:AD55" si="15">D11-D30</f>
        <v>2.3626764941950561E-2</v>
      </c>
      <c r="E55" s="63">
        <f t="shared" si="15"/>
        <v>7.0028879872988448E-2</v>
      </c>
      <c r="F55" s="63">
        <f t="shared" si="15"/>
        <v>0.10932167994761965</v>
      </c>
      <c r="G55" s="63">
        <f t="shared" si="15"/>
        <v>0.14861448002225086</v>
      </c>
      <c r="H55" s="63">
        <f t="shared" si="15"/>
        <v>0.18790728009688207</v>
      </c>
      <c r="I55" s="63">
        <f t="shared" si="15"/>
        <v>0.22720008017151327</v>
      </c>
      <c r="J55" s="63">
        <f t="shared" si="15"/>
        <v>0.26649288024614448</v>
      </c>
      <c r="K55" s="63">
        <f t="shared" si="15"/>
        <v>0.37108388586191865</v>
      </c>
      <c r="L55" s="63">
        <f t="shared" si="15"/>
        <v>0.47567489147769282</v>
      </c>
      <c r="M55" s="63">
        <f t="shared" si="15"/>
        <v>0.58026589709346699</v>
      </c>
      <c r="N55" s="63">
        <f t="shared" si="15"/>
        <v>0.68485690270924116</v>
      </c>
      <c r="O55" s="63">
        <f t="shared" si="15"/>
        <v>0.96307447636877097</v>
      </c>
      <c r="P55" s="63">
        <f t="shared" si="15"/>
        <v>1.2412920500283007</v>
      </c>
      <c r="Q55" s="63">
        <f t="shared" si="15"/>
        <v>1.5195096236878305</v>
      </c>
      <c r="R55" s="63">
        <f t="shared" si="15"/>
        <v>1.7977271973473603</v>
      </c>
      <c r="S55" s="63">
        <f t="shared" si="15"/>
        <v>2.0759447710068901</v>
      </c>
      <c r="T55" s="63">
        <f t="shared" si="15"/>
        <v>2.3541623446664199</v>
      </c>
      <c r="U55" s="63">
        <f t="shared" si="15"/>
        <v>2.7739950579232056</v>
      </c>
      <c r="V55" s="63">
        <f t="shared" si="15"/>
        <v>3.1938277711799912</v>
      </c>
      <c r="W55" s="63">
        <f t="shared" si="15"/>
        <v>3.6136604844367768</v>
      </c>
      <c r="X55" s="63">
        <f t="shared" si="15"/>
        <v>4.0334931976935628</v>
      </c>
      <c r="Y55" s="63">
        <f t="shared" si="15"/>
        <v>4.4533259109503485</v>
      </c>
      <c r="Z55" s="63">
        <f t="shared" si="15"/>
        <v>4.9056826754065028</v>
      </c>
      <c r="AA55" s="63">
        <f t="shared" si="15"/>
        <v>5.3580394398626572</v>
      </c>
      <c r="AB55" s="63">
        <f t="shared" si="15"/>
        <v>5.8103962043188115</v>
      </c>
      <c r="AC55" s="63">
        <f t="shared" si="15"/>
        <v>6.2627529687749659</v>
      </c>
      <c r="AD55" s="63">
        <f t="shared" si="15"/>
        <v>6.715109733231122</v>
      </c>
    </row>
    <row r="56" spans="1:30" x14ac:dyDescent="0.35">
      <c r="A56" s="5">
        <f t="shared" si="1"/>
        <v>0.81499999999999995</v>
      </c>
      <c r="B56" s="11">
        <f>NPV('Cost Assumptions'!$B$3,'Centralized BESS in Valley S'!D56:'Centralized BESS in Valley S'!AD56)</f>
        <v>146.79257165540955</v>
      </c>
      <c r="C56" s="88" t="s">
        <v>35</v>
      </c>
      <c r="D56" s="63">
        <f t="shared" ref="D56:AD56" si="16">D12-D31</f>
        <v>2</v>
      </c>
      <c r="E56" s="63">
        <f t="shared" si="16"/>
        <v>4</v>
      </c>
      <c r="F56" s="63">
        <f t="shared" si="16"/>
        <v>4.5999999999999996</v>
      </c>
      <c r="G56" s="63">
        <f t="shared" si="16"/>
        <v>5.1999999999999993</v>
      </c>
      <c r="H56" s="63">
        <f t="shared" si="16"/>
        <v>5.7999999999999989</v>
      </c>
      <c r="I56" s="63">
        <f t="shared" si="16"/>
        <v>6.3999999999999986</v>
      </c>
      <c r="J56" s="63">
        <f t="shared" si="16"/>
        <v>7</v>
      </c>
      <c r="K56" s="63">
        <f t="shared" si="16"/>
        <v>8.75</v>
      </c>
      <c r="L56" s="63">
        <f t="shared" si="16"/>
        <v>10.5</v>
      </c>
      <c r="M56" s="63">
        <f t="shared" si="16"/>
        <v>12.25</v>
      </c>
      <c r="N56" s="63">
        <f t="shared" si="16"/>
        <v>14</v>
      </c>
      <c r="O56" s="63">
        <f t="shared" si="16"/>
        <v>17.833333333333332</v>
      </c>
      <c r="P56" s="63">
        <f t="shared" si="16"/>
        <v>21.666666666666664</v>
      </c>
      <c r="Q56" s="63">
        <f t="shared" si="16"/>
        <v>25.499999999999996</v>
      </c>
      <c r="R56" s="63">
        <f t="shared" si="16"/>
        <v>29.333333333333329</v>
      </c>
      <c r="S56" s="63">
        <f t="shared" si="16"/>
        <v>33.166666666666664</v>
      </c>
      <c r="T56" s="63">
        <f t="shared" si="16"/>
        <v>37</v>
      </c>
      <c r="U56" s="63">
        <f t="shared" si="16"/>
        <v>40.200000000000003</v>
      </c>
      <c r="V56" s="63">
        <f t="shared" si="16"/>
        <v>43.400000000000006</v>
      </c>
      <c r="W56" s="63">
        <f t="shared" si="16"/>
        <v>46.600000000000009</v>
      </c>
      <c r="X56" s="63">
        <f t="shared" si="16"/>
        <v>49.800000000000011</v>
      </c>
      <c r="Y56" s="63">
        <f t="shared" si="16"/>
        <v>53</v>
      </c>
      <c r="Z56" s="63">
        <f t="shared" si="16"/>
        <v>57.8</v>
      </c>
      <c r="AA56" s="63">
        <f t="shared" si="16"/>
        <v>62.599999999999994</v>
      </c>
      <c r="AB56" s="63">
        <f t="shared" si="16"/>
        <v>67.399999999999991</v>
      </c>
      <c r="AC56" s="63">
        <f t="shared" si="16"/>
        <v>72.199999999999989</v>
      </c>
      <c r="AD56" s="63">
        <f t="shared" si="16"/>
        <v>77</v>
      </c>
    </row>
    <row r="58" spans="1:30" ht="15" thickBot="1" x14ac:dyDescent="0.4">
      <c r="A58" s="166" t="s">
        <v>156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</row>
    <row r="59" spans="1:30" ht="15.5" thickTop="1" thickBot="1" x14ac:dyDescent="0.4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" thickTop="1" x14ac:dyDescent="0.35">
      <c r="A60" s="88" t="str">
        <f>'Baseline System Analysis'!A17</f>
        <v>Residential</v>
      </c>
      <c r="B60" s="88" t="str">
        <f>'Baseline System Analysis'!B17</f>
        <v>Cost of Reliability (N-1)</v>
      </c>
      <c r="C60" s="88" t="str">
        <f>'Baseline System Analysis'!C17</f>
        <v>$/kWh</v>
      </c>
      <c r="D60" s="5">
        <f>'Baseline System Analysis'!D17</f>
        <v>4.4933261328125003</v>
      </c>
      <c r="E60" s="5">
        <f>'Baseline System Analysis'!E17</f>
        <v>4.6056592861328127</v>
      </c>
      <c r="F60" s="5">
        <f>'Baseline System Analysis'!F17</f>
        <v>4.720800768286133</v>
      </c>
      <c r="G60" s="5">
        <f>'Baseline System Analysis'!G17</f>
        <v>4.8388207874932858</v>
      </c>
      <c r="H60" s="5">
        <f>'Baseline System Analysis'!H17</f>
        <v>4.9597913071806179</v>
      </c>
      <c r="I60" s="5">
        <f>'Baseline System Analysis'!I17</f>
        <v>5.0837860898601326</v>
      </c>
      <c r="J60" s="5">
        <f>'Baseline System Analysis'!J17</f>
        <v>5.2108807421066352</v>
      </c>
      <c r="K60" s="5">
        <f>'Baseline System Analysis'!K17</f>
        <v>5.341152760659301</v>
      </c>
      <c r="L60" s="5">
        <f>'Baseline System Analysis'!L17</f>
        <v>5.4746815796757833</v>
      </c>
      <c r="M60" s="5">
        <f>'Baseline System Analysis'!M17</f>
        <v>5.6115486191676771</v>
      </c>
      <c r="N60" s="5">
        <f>'Baseline System Analysis'!N17</f>
        <v>5.7518373346468685</v>
      </c>
      <c r="O60" s="5">
        <f>'Baseline System Analysis'!O17</f>
        <v>5.8956332680130394</v>
      </c>
      <c r="P60" s="5">
        <f>'Baseline System Analysis'!P17</f>
        <v>6.0430240997133646</v>
      </c>
      <c r="Q60" s="5">
        <f>'Baseline System Analysis'!Q17</f>
        <v>6.1940997022061985</v>
      </c>
      <c r="R60" s="5">
        <f>'Baseline System Analysis'!R17</f>
        <v>6.3489521947613525</v>
      </c>
      <c r="S60" s="5">
        <f>'Baseline System Analysis'!S17</f>
        <v>6.5076759996303855</v>
      </c>
      <c r="T60" s="5">
        <f>'Baseline System Analysis'!T17</f>
        <v>6.6703678996211444</v>
      </c>
      <c r="U60" s="5">
        <f>'Baseline System Analysis'!U17</f>
        <v>6.8371270971116722</v>
      </c>
      <c r="V60" s="5">
        <f>'Baseline System Analysis'!V17</f>
        <v>7.0080552745394638</v>
      </c>
      <c r="W60" s="5">
        <f>'Baseline System Analysis'!W17</f>
        <v>7.1832566564029499</v>
      </c>
      <c r="X60" s="5">
        <f>'Baseline System Analysis'!X17</f>
        <v>7.3628380728130232</v>
      </c>
      <c r="Y60" s="5">
        <f>'Baseline System Analysis'!Y17</f>
        <v>7.5469090246333481</v>
      </c>
      <c r="Z60" s="5">
        <f>'Baseline System Analysis'!Z17</f>
        <v>7.7355817502491808</v>
      </c>
      <c r="AA60" s="5">
        <f>'Baseline System Analysis'!AA17</f>
        <v>7.92897129400541</v>
      </c>
      <c r="AB60" s="5">
        <f>'Baseline System Analysis'!AB17</f>
        <v>8.127195576355545</v>
      </c>
      <c r="AC60" s="5">
        <f>'Baseline System Analysis'!AC17</f>
        <v>8.3303754657644333</v>
      </c>
      <c r="AD60" s="5">
        <f>'Baseline System Analysis'!AD17</f>
        <v>8.5386348524085438</v>
      </c>
    </row>
    <row r="61" spans="1:30" x14ac:dyDescent="0.35">
      <c r="A61" s="88" t="str">
        <f>'Baseline System Analysis'!A18</f>
        <v>Residential</v>
      </c>
      <c r="B61" s="88" t="str">
        <f>'Baseline System Analysis'!B18</f>
        <v>Cost of Reliability (N-0)</v>
      </c>
      <c r="C61" s="88" t="str">
        <f>'Baseline System Analysis'!C18</f>
        <v>$/kWh</v>
      </c>
      <c r="D61" s="5">
        <f>'Baseline System Analysis'!D18</f>
        <v>3.7920011132812492</v>
      </c>
      <c r="E61" s="5">
        <f>'Baseline System Analysis'!E18</f>
        <v>3.8868011411132799</v>
      </c>
      <c r="F61" s="5">
        <f>'Baseline System Analysis'!F18</f>
        <v>3.9839711696411118</v>
      </c>
      <c r="G61" s="5">
        <f>'Baseline System Analysis'!G18</f>
        <v>4.0835704488821394</v>
      </c>
      <c r="H61" s="5">
        <f>'Baseline System Analysis'!H18</f>
        <v>4.1856597101041926</v>
      </c>
      <c r="I61" s="5">
        <f>'Baseline System Analysis'!I18</f>
        <v>4.2903012028567966</v>
      </c>
      <c r="J61" s="5">
        <f>'Baseline System Analysis'!J18</f>
        <v>4.397558732928216</v>
      </c>
      <c r="K61" s="5">
        <f>'Baseline System Analysis'!K18</f>
        <v>4.5074977012514212</v>
      </c>
      <c r="L61" s="5">
        <f>'Baseline System Analysis'!L18</f>
        <v>4.6201851437827059</v>
      </c>
      <c r="M61" s="5">
        <f>'Baseline System Analysis'!M18</f>
        <v>4.7356897723772731</v>
      </c>
      <c r="N61" s="5">
        <f>'Baseline System Analysis'!N18</f>
        <v>4.8540820166867045</v>
      </c>
      <c r="O61" s="5">
        <f>'Baseline System Analysis'!O18</f>
        <v>4.9754340671038717</v>
      </c>
      <c r="P61" s="5">
        <f>'Baseline System Analysis'!P18</f>
        <v>5.0998199187814679</v>
      </c>
      <c r="Q61" s="5">
        <f>'Baseline System Analysis'!Q18</f>
        <v>5.2273154167510043</v>
      </c>
      <c r="R61" s="5">
        <f>'Baseline System Analysis'!R18</f>
        <v>5.3579983021697792</v>
      </c>
      <c r="S61" s="5">
        <f>'Baseline System Analysis'!S18</f>
        <v>5.4919482597240235</v>
      </c>
      <c r="T61" s="5">
        <f>'Baseline System Analysis'!T18</f>
        <v>5.6292469662171234</v>
      </c>
      <c r="U61" s="5">
        <f>'Baseline System Analysis'!U18</f>
        <v>5.769978140372551</v>
      </c>
      <c r="V61" s="5">
        <f>'Baseline System Analysis'!V18</f>
        <v>5.914227593881864</v>
      </c>
      <c r="W61" s="5">
        <f>'Baseline System Analysis'!W18</f>
        <v>6.06208328372891</v>
      </c>
      <c r="X61" s="5">
        <f>'Baseline System Analysis'!X18</f>
        <v>6.2136353658221326</v>
      </c>
      <c r="Y61" s="5">
        <f>'Baseline System Analysis'!Y18</f>
        <v>6.3689762499676856</v>
      </c>
      <c r="Z61" s="5">
        <f>'Baseline System Analysis'!Z18</f>
        <v>6.5282006562168773</v>
      </c>
      <c r="AA61" s="5">
        <f>'Baseline System Analysis'!AA18</f>
        <v>6.6914056726222988</v>
      </c>
      <c r="AB61" s="5">
        <f>'Baseline System Analysis'!AB18</f>
        <v>6.858690814437856</v>
      </c>
      <c r="AC61" s="5">
        <f>'Baseline System Analysis'!AC18</f>
        <v>7.0301580847988019</v>
      </c>
      <c r="AD61" s="5">
        <f>'Baseline System Analysis'!AD18</f>
        <v>7.2059120369187717</v>
      </c>
    </row>
    <row r="62" spans="1:30" x14ac:dyDescent="0.35">
      <c r="A62" s="88" t="str">
        <f>'Baseline System Analysis'!A19</f>
        <v>Commerical</v>
      </c>
      <c r="B62" s="88" t="str">
        <f>'Baseline System Analysis'!B19</f>
        <v>Cost of Reliability (N-1)</v>
      </c>
      <c r="C62" s="88" t="str">
        <f>'Baseline System Analysis'!C19</f>
        <v>$/kWh</v>
      </c>
      <c r="D62" s="5">
        <f>'Baseline System Analysis'!D19</f>
        <v>166.59767191406246</v>
      </c>
      <c r="E62" s="5">
        <f>'Baseline System Analysis'!E19</f>
        <v>170.76261371191401</v>
      </c>
      <c r="F62" s="5">
        <f>'Baseline System Analysis'!F19</f>
        <v>175.03167905471184</v>
      </c>
      <c r="G62" s="5">
        <f>'Baseline System Analysis'!G19</f>
        <v>179.40747103107964</v>
      </c>
      <c r="H62" s="5">
        <f>'Baseline System Analysis'!H19</f>
        <v>183.89265780685662</v>
      </c>
      <c r="I62" s="5">
        <f>'Baseline System Analysis'!I19</f>
        <v>188.48997425202802</v>
      </c>
      <c r="J62" s="5">
        <f>'Baseline System Analysis'!J19</f>
        <v>193.20222360832869</v>
      </c>
      <c r="K62" s="5">
        <f>'Baseline System Analysis'!K19</f>
        <v>198.03227919853688</v>
      </c>
      <c r="L62" s="5">
        <f>'Baseline System Analysis'!L19</f>
        <v>202.98308617850029</v>
      </c>
      <c r="M62" s="5">
        <f>'Baseline System Analysis'!M19</f>
        <v>208.05766333296279</v>
      </c>
      <c r="N62" s="5">
        <f>'Baseline System Analysis'!N19</f>
        <v>213.25910491628684</v>
      </c>
      <c r="O62" s="5">
        <f>'Baseline System Analysis'!O19</f>
        <v>218.590582539194</v>
      </c>
      <c r="P62" s="5">
        <f>'Baseline System Analysis'!P19</f>
        <v>224.05534710267384</v>
      </c>
      <c r="Q62" s="5">
        <f>'Baseline System Analysis'!Q19</f>
        <v>229.65673078024065</v>
      </c>
      <c r="R62" s="5">
        <f>'Baseline System Analysis'!R19</f>
        <v>235.39814904974665</v>
      </c>
      <c r="S62" s="5">
        <f>'Baseline System Analysis'!S19</f>
        <v>241.2831027759903</v>
      </c>
      <c r="T62" s="5">
        <f>'Baseline System Analysis'!T19</f>
        <v>247.31518034539005</v>
      </c>
      <c r="U62" s="5">
        <f>'Baseline System Analysis'!U19</f>
        <v>253.49805985402477</v>
      </c>
      <c r="V62" s="5">
        <f>'Baseline System Analysis'!V19</f>
        <v>259.83551135037538</v>
      </c>
      <c r="W62" s="5">
        <f>'Baseline System Analysis'!W19</f>
        <v>266.33139913413476</v>
      </c>
      <c r="X62" s="5">
        <f>'Baseline System Analysis'!X19</f>
        <v>272.98968411248808</v>
      </c>
      <c r="Y62" s="5">
        <f>'Baseline System Analysis'!Y19</f>
        <v>279.81442621530027</v>
      </c>
      <c r="Z62" s="5">
        <f>'Baseline System Analysis'!Z19</f>
        <v>286.80978687068273</v>
      </c>
      <c r="AA62" s="5">
        <f>'Baseline System Analysis'!AA19</f>
        <v>293.98003154244975</v>
      </c>
      <c r="AB62" s="5">
        <f>'Baseline System Analysis'!AB19</f>
        <v>301.32953233101097</v>
      </c>
      <c r="AC62" s="5">
        <f>'Baseline System Analysis'!AC19</f>
        <v>308.86277063928623</v>
      </c>
      <c r="AD62" s="5">
        <f>'Baseline System Analysis'!AD19</f>
        <v>316.58433990526834</v>
      </c>
    </row>
    <row r="63" spans="1:30" x14ac:dyDescent="0.35">
      <c r="A63" s="88" t="str">
        <f>'Baseline System Analysis'!A20</f>
        <v>Commerical</v>
      </c>
      <c r="B63" s="88" t="str">
        <f>'Baseline System Analysis'!B20</f>
        <v>Cost of Reliability (N-0)</v>
      </c>
      <c r="C63" s="88" t="str">
        <f>'Baseline System Analysis'!C20</f>
        <v>$/kWh</v>
      </c>
      <c r="D63" s="5">
        <f>'Baseline System Analysis'!D20</f>
        <v>153.83719106445315</v>
      </c>
      <c r="E63" s="5">
        <f>'Baseline System Analysis'!E20</f>
        <v>157.68312084106446</v>
      </c>
      <c r="F63" s="5">
        <f>'Baseline System Analysis'!F20</f>
        <v>161.62519886209105</v>
      </c>
      <c r="G63" s="5">
        <f>'Baseline System Analysis'!G20</f>
        <v>165.6658288336433</v>
      </c>
      <c r="H63" s="5">
        <f>'Baseline System Analysis'!H20</f>
        <v>169.80747455448437</v>
      </c>
      <c r="I63" s="5">
        <f>'Baseline System Analysis'!I20</f>
        <v>174.05266141834647</v>
      </c>
      <c r="J63" s="5">
        <f>'Baseline System Analysis'!J20</f>
        <v>178.40397795380511</v>
      </c>
      <c r="K63" s="5">
        <f>'Baseline System Analysis'!K20</f>
        <v>182.86407740265022</v>
      </c>
      <c r="L63" s="5">
        <f>'Baseline System Analysis'!L20</f>
        <v>187.43567933771646</v>
      </c>
      <c r="M63" s="5">
        <f>'Baseline System Analysis'!M20</f>
        <v>192.12157132115937</v>
      </c>
      <c r="N63" s="5">
        <f>'Baseline System Analysis'!N20</f>
        <v>196.92461060418833</v>
      </c>
      <c r="O63" s="5">
        <f>'Baseline System Analysis'!O20</f>
        <v>201.84772586929301</v>
      </c>
      <c r="P63" s="5">
        <f>'Baseline System Analysis'!P20</f>
        <v>206.89391901602534</v>
      </c>
      <c r="Q63" s="5">
        <f>'Baseline System Analysis'!Q20</f>
        <v>212.06626699142595</v>
      </c>
      <c r="R63" s="5">
        <f>'Baseline System Analysis'!R20</f>
        <v>217.36792366621157</v>
      </c>
      <c r="S63" s="5">
        <f>'Baseline System Analysis'!S20</f>
        <v>222.80212175786684</v>
      </c>
      <c r="T63" s="5">
        <f>'Baseline System Analysis'!T20</f>
        <v>228.37217480181349</v>
      </c>
      <c r="U63" s="5">
        <f>'Baseline System Analysis'!U20</f>
        <v>234.0814791718588</v>
      </c>
      <c r="V63" s="5">
        <f>'Baseline System Analysis'!V20</f>
        <v>239.93351615115526</v>
      </c>
      <c r="W63" s="5">
        <f>'Baseline System Analysis'!W20</f>
        <v>245.93185405493412</v>
      </c>
      <c r="X63" s="5">
        <f>'Baseline System Analysis'!X20</f>
        <v>252.08015040630744</v>
      </c>
      <c r="Y63" s="5">
        <f>'Baseline System Analysis'!Y20</f>
        <v>258.38215416646511</v>
      </c>
      <c r="Z63" s="5">
        <f>'Baseline System Analysis'!Z20</f>
        <v>264.8417080206267</v>
      </c>
      <c r="AA63" s="5">
        <f>'Baseline System Analysis'!AA20</f>
        <v>271.46275072114236</v>
      </c>
      <c r="AB63" s="5">
        <f>'Baseline System Analysis'!AB20</f>
        <v>278.24931948917089</v>
      </c>
      <c r="AC63" s="5">
        <f>'Baseline System Analysis'!AC20</f>
        <v>285.20555247640016</v>
      </c>
      <c r="AD63" s="5">
        <f>'Baseline System Analysis'!AD20</f>
        <v>292.33569128831016</v>
      </c>
    </row>
    <row r="65" spans="1:30" x14ac:dyDescent="0.35">
      <c r="A65" s="88" t="s">
        <v>130</v>
      </c>
      <c r="B65" s="88" t="s">
        <v>31</v>
      </c>
      <c r="C65" s="20">
        <f>NPV('Cost Assumptions'!$B$3,D65:AD65)</f>
        <v>1363590.1345869785</v>
      </c>
      <c r="D65" s="5">
        <f>'Baseline System Analysis'!D24-D34</f>
        <v>1354.9655166582397</v>
      </c>
      <c r="E65" s="5">
        <f>'Baseline System Analysis'!E24-E34</f>
        <v>3468.8297365152371</v>
      </c>
      <c r="F65" s="5">
        <f>'Baseline System Analysis'!F24-F34</f>
        <v>5582.6939563722344</v>
      </c>
      <c r="G65" s="5">
        <f>'Baseline System Analysis'!G24-G34</f>
        <v>7696.5581762292313</v>
      </c>
      <c r="H65" s="5">
        <f>'Baseline System Analysis'!H24-H34</f>
        <v>9810.4223960862291</v>
      </c>
      <c r="I65" s="5">
        <f>'Baseline System Analysis'!I24-I34</f>
        <v>11924.286615943227</v>
      </c>
      <c r="J65" s="5">
        <f>'Baseline System Analysis'!J24-J34</f>
        <v>14038.150835800225</v>
      </c>
      <c r="K65" s="5">
        <f>'Baseline System Analysis'!K24-K34</f>
        <v>20302.020367842062</v>
      </c>
      <c r="L65" s="5">
        <f>'Baseline System Analysis'!L24-L34</f>
        <v>26565.889899883899</v>
      </c>
      <c r="M65" s="5">
        <f>'Baseline System Analysis'!M24-M34</f>
        <v>32829.759431925733</v>
      </c>
      <c r="N65" s="5">
        <f>'Baseline System Analysis'!N24-N34</f>
        <v>39093.628963967574</v>
      </c>
      <c r="O65" s="5">
        <f>'Baseline System Analysis'!O24-O34</f>
        <v>78738.538578610984</v>
      </c>
      <c r="P65" s="5">
        <f>'Baseline System Analysis'!P24-P34</f>
        <v>118383.44819325439</v>
      </c>
      <c r="Q65" s="5">
        <f>'Baseline System Analysis'!Q24-Q34</f>
        <v>158028.35780789779</v>
      </c>
      <c r="R65" s="5">
        <f>'Baseline System Analysis'!R24-R34</f>
        <v>197673.26742254119</v>
      </c>
      <c r="S65" s="5">
        <f>'Baseline System Analysis'!S24-S34</f>
        <v>237318.17703718459</v>
      </c>
      <c r="T65" s="5">
        <f>'Baseline System Analysis'!T24-T34</f>
        <v>276963.08665182802</v>
      </c>
      <c r="U65" s="5">
        <f>'Baseline System Analysis'!U24-U34</f>
        <v>380936.47379795992</v>
      </c>
      <c r="V65" s="5">
        <f>'Baseline System Analysis'!V24-V34</f>
        <v>484909.86094409181</v>
      </c>
      <c r="W65" s="5">
        <f>'Baseline System Analysis'!W24-W34</f>
        <v>588883.24809022376</v>
      </c>
      <c r="X65" s="5">
        <f>'Baseline System Analysis'!X24-X34</f>
        <v>692856.63523635571</v>
      </c>
      <c r="Y65" s="5">
        <f>'Baseline System Analysis'!Y24-Y34</f>
        <v>796830.02238248754</v>
      </c>
      <c r="Z65" s="5">
        <f>'Baseline System Analysis'!Z24-Z34</f>
        <v>972770.21305320074</v>
      </c>
      <c r="AA65" s="5">
        <f>'Baseline System Analysis'!AA24-AA34</f>
        <v>1148710.4037239139</v>
      </c>
      <c r="AB65" s="5">
        <f>'Baseline System Analysis'!AB24-AB34</f>
        <v>1324650.5943946273</v>
      </c>
      <c r="AC65" s="5">
        <f>'Baseline System Analysis'!AC24-AC34</f>
        <v>1500590.7850653406</v>
      </c>
      <c r="AD65" s="5">
        <f>'Baseline System Analysis'!AD24-AD34</f>
        <v>1676530.9757360537</v>
      </c>
    </row>
    <row r="66" spans="1:30" x14ac:dyDescent="0.35">
      <c r="A66" s="88" t="s">
        <v>132</v>
      </c>
      <c r="B66" s="88" t="s">
        <v>31</v>
      </c>
      <c r="C66" s="20">
        <f>NPV('Cost Assumptions'!$B$3,D66:AD66)</f>
        <v>5658197.9399566008</v>
      </c>
      <c r="D66" s="5">
        <f>'Baseline System Analysis'!D25-D35</f>
        <v>5622.4102100812415</v>
      </c>
      <c r="E66" s="5">
        <f>'Baseline System Analysis'!E25-E35</f>
        <v>14393.85983468976</v>
      </c>
      <c r="F66" s="5">
        <f>'Baseline System Analysis'!F25-F35</f>
        <v>23165.309459298278</v>
      </c>
      <c r="G66" s="5">
        <f>'Baseline System Analysis'!G25-G35</f>
        <v>31936.759083906796</v>
      </c>
      <c r="H66" s="5">
        <f>'Baseline System Analysis'!H25-H35</f>
        <v>40708.208708515318</v>
      </c>
      <c r="I66" s="5">
        <f>'Baseline System Analysis'!I25-I35</f>
        <v>49479.658333123836</v>
      </c>
      <c r="J66" s="5">
        <f>'Baseline System Analysis'!J25-J35</f>
        <v>58251.107957732347</v>
      </c>
      <c r="K66" s="5">
        <f>'Baseline System Analysis'!K25-K35</f>
        <v>84242.945815294457</v>
      </c>
      <c r="L66" s="5">
        <f>'Baseline System Analysis'!L25-L35</f>
        <v>110234.78367285656</v>
      </c>
      <c r="M66" s="5">
        <f>'Baseline System Analysis'!M25-M35</f>
        <v>136226.62153041866</v>
      </c>
      <c r="N66" s="5">
        <f>'Baseline System Analysis'!N25-N35</f>
        <v>162218.45938798075</v>
      </c>
      <c r="O66" s="5">
        <f>'Baseline System Analysis'!O25-O35</f>
        <v>326724.45002371201</v>
      </c>
      <c r="P66" s="5">
        <f>'Baseline System Analysis'!P25-P35</f>
        <v>491230.44065944327</v>
      </c>
      <c r="Q66" s="5">
        <f>'Baseline System Analysis'!Q25-Q35</f>
        <v>655736.43129517452</v>
      </c>
      <c r="R66" s="5">
        <f>'Baseline System Analysis'!R25-R35</f>
        <v>820242.42193090578</v>
      </c>
      <c r="S66" s="5">
        <f>'Baseline System Analysis'!S25-S35</f>
        <v>984748.41256663704</v>
      </c>
      <c r="T66" s="5">
        <f>'Baseline System Analysis'!T25-T35</f>
        <v>1149254.4032023682</v>
      </c>
      <c r="U66" s="5">
        <f>'Baseline System Analysis'!U25-U35</f>
        <v>1580690.4997525578</v>
      </c>
      <c r="V66" s="5">
        <f>'Baseline System Analysis'!V25-V35</f>
        <v>2012126.5963027473</v>
      </c>
      <c r="W66" s="5">
        <f>'Baseline System Analysis'!W25-W35</f>
        <v>2443562.6928529367</v>
      </c>
      <c r="X66" s="5">
        <f>'Baseline System Analysis'!X25-X35</f>
        <v>2874998.7894031261</v>
      </c>
      <c r="Y66" s="5">
        <f>'Baseline System Analysis'!Y25-Y35</f>
        <v>3306434.885953316</v>
      </c>
      <c r="Z66" s="5">
        <f>'Baseline System Analysis'!Z25-Z35</f>
        <v>4036496.2138831578</v>
      </c>
      <c r="AA66" s="5">
        <f>'Baseline System Analysis'!AA25-AA35</f>
        <v>4766557.5418129992</v>
      </c>
      <c r="AB66" s="5">
        <f>'Baseline System Analysis'!AB25-AB35</f>
        <v>5496618.8697428405</v>
      </c>
      <c r="AC66" s="5">
        <f>'Baseline System Analysis'!AC25-AC35</f>
        <v>6226680.1976726819</v>
      </c>
      <c r="AD66" s="5">
        <f>'Baseline System Analysis'!AD25-AD35</f>
        <v>6956741.5256025251</v>
      </c>
    </row>
    <row r="67" spans="1:30" x14ac:dyDescent="0.35">
      <c r="A67" s="88" t="s">
        <v>24</v>
      </c>
      <c r="B67" s="88" t="s">
        <v>31</v>
      </c>
      <c r="C67" s="20">
        <f>NPV('Cost Assumptions'!$B$3,D67:AD67)</f>
        <v>7021788.0745435804</v>
      </c>
      <c r="D67" s="5">
        <f>SUM(D65:D66)</f>
        <v>6977.3757267394813</v>
      </c>
      <c r="E67" s="5">
        <f t="shared" ref="E67:AD67" si="17">SUM(E65:E66)</f>
        <v>17862.689571204995</v>
      </c>
      <c r="F67" s="5">
        <f t="shared" si="17"/>
        <v>28748.003415670511</v>
      </c>
      <c r="G67" s="5">
        <f t="shared" si="17"/>
        <v>39633.317260136027</v>
      </c>
      <c r="H67" s="5">
        <f t="shared" si="17"/>
        <v>50518.631104601547</v>
      </c>
      <c r="I67" s="5">
        <f t="shared" si="17"/>
        <v>61403.944949067067</v>
      </c>
      <c r="J67" s="5">
        <f t="shared" si="17"/>
        <v>72289.258793532572</v>
      </c>
      <c r="K67" s="5">
        <f t="shared" si="17"/>
        <v>104544.96618313652</v>
      </c>
      <c r="L67" s="5">
        <f t="shared" si="17"/>
        <v>136800.67357274046</v>
      </c>
      <c r="M67" s="5">
        <f t="shared" si="17"/>
        <v>169056.38096234441</v>
      </c>
      <c r="N67" s="5">
        <f t="shared" si="17"/>
        <v>201312.08835194833</v>
      </c>
      <c r="O67" s="5">
        <f t="shared" si="17"/>
        <v>405462.98860232299</v>
      </c>
      <c r="P67" s="5">
        <f t="shared" si="17"/>
        <v>609613.88885269768</v>
      </c>
      <c r="Q67" s="5">
        <f t="shared" si="17"/>
        <v>813764.78910307237</v>
      </c>
      <c r="R67" s="5">
        <f t="shared" si="17"/>
        <v>1017915.6893534469</v>
      </c>
      <c r="S67" s="5">
        <f t="shared" si="17"/>
        <v>1222066.5896038217</v>
      </c>
      <c r="T67" s="5">
        <f t="shared" si="17"/>
        <v>1426217.4898541961</v>
      </c>
      <c r="U67" s="5">
        <f t="shared" si="17"/>
        <v>1961626.9735505178</v>
      </c>
      <c r="V67" s="5">
        <f t="shared" si="17"/>
        <v>2497036.4572468391</v>
      </c>
      <c r="W67" s="5">
        <f t="shared" si="17"/>
        <v>3032445.9409431606</v>
      </c>
      <c r="X67" s="5">
        <f t="shared" si="17"/>
        <v>3567855.4246394821</v>
      </c>
      <c r="Y67" s="5">
        <f t="shared" si="17"/>
        <v>4103264.9083358035</v>
      </c>
      <c r="Z67" s="5">
        <f t="shared" si="17"/>
        <v>5009266.4269363582</v>
      </c>
      <c r="AA67" s="5">
        <f t="shared" si="17"/>
        <v>5915267.9455369134</v>
      </c>
      <c r="AB67" s="5">
        <f t="shared" si="17"/>
        <v>6821269.4641374676</v>
      </c>
      <c r="AC67" s="5">
        <f t="shared" si="17"/>
        <v>7727270.9827380227</v>
      </c>
      <c r="AD67" s="5">
        <f t="shared" si="17"/>
        <v>8633272.5013385788</v>
      </c>
    </row>
    <row r="68" spans="1:30" x14ac:dyDescent="0.35">
      <c r="A68" s="88"/>
      <c r="B68" s="88"/>
      <c r="C68" s="8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x14ac:dyDescent="0.35">
      <c r="A69" s="88" t="s">
        <v>133</v>
      </c>
      <c r="B69" s="88" t="s">
        <v>31</v>
      </c>
      <c r="C69" s="20">
        <f>NPV('Cost Assumptions'!$B$3,D69:AD69)</f>
        <v>55025530.55289489</v>
      </c>
      <c r="D69" s="5">
        <f>'Baseline System Analysis'!D28-D32</f>
        <v>160316.96625268596</v>
      </c>
      <c r="E69" s="5">
        <f>'Baseline System Analysis'!E28-E32</f>
        <v>426669.25690772623</v>
      </c>
      <c r="F69" s="5">
        <f>'Baseline System Analysis'!F28-F32</f>
        <v>622795.96524369309</v>
      </c>
      <c r="G69" s="5">
        <f>'Baseline System Analysis'!G28-G32</f>
        <v>833703.43870740035</v>
      </c>
      <c r="H69" s="5">
        <f>'Baseline System Analysis'!H28-H32</f>
        <v>1064554.7712044911</v>
      </c>
      <c r="I69" s="5">
        <f>'Baseline System Analysis'!I28-I32</f>
        <v>1155250.6032801536</v>
      </c>
      <c r="J69" s="5">
        <f>'Baseline System Analysis'!J28-J32</f>
        <v>1567814.7930424134</v>
      </c>
      <c r="K69" s="5">
        <f>'Baseline System Analysis'!K28-K32</f>
        <v>2064587.6916558424</v>
      </c>
      <c r="L69" s="5">
        <f>'Baseline System Analysis'!L28-L32</f>
        <v>2485972.1963254735</v>
      </c>
      <c r="M69" s="5">
        <f>'Baseline System Analysis'!M28-M32</f>
        <v>2907214.7827229644</v>
      </c>
      <c r="N69" s="5">
        <f>'Baseline System Analysis'!N28-N32</f>
        <v>3653487.05439856</v>
      </c>
      <c r="O69" s="5">
        <f>'Baseline System Analysis'!O28-O32</f>
        <v>4512360.7012723647</v>
      </c>
      <c r="P69" s="5">
        <f>'Baseline System Analysis'!P28-P32</f>
        <v>5845712.9395959051</v>
      </c>
      <c r="Q69" s="5">
        <f>'Baseline System Analysis'!Q28-Q32</f>
        <v>7145234.3901076168</v>
      </c>
      <c r="R69" s="5">
        <f>'Baseline System Analysis'!R28-R32</f>
        <v>9104342.6872677077</v>
      </c>
      <c r="S69" s="5">
        <f>'Baseline System Analysis'!S28-S32</f>
        <v>11402628.544698209</v>
      </c>
      <c r="T69" s="5">
        <f>'Baseline System Analysis'!T28-T32</f>
        <v>14095767.66157037</v>
      </c>
      <c r="U69" s="5">
        <f>'Baseline System Analysis'!U28-U32</f>
        <v>17191903.011561129</v>
      </c>
      <c r="V69" s="5">
        <f>'Baseline System Analysis'!V28-V32</f>
        <v>19393249.568390317</v>
      </c>
      <c r="W69" s="5">
        <f>'Baseline System Analysis'!W28-W32</f>
        <v>22204176.923500877</v>
      </c>
      <c r="X69" s="5">
        <f>'Baseline System Analysis'!X28-X32</f>
        <v>25300486.71745725</v>
      </c>
      <c r="Y69" s="5">
        <f>'Baseline System Analysis'!Y28-Y32</f>
        <v>28417067.414872523</v>
      </c>
      <c r="Z69" s="5">
        <f>'Baseline System Analysis'!Z28-Z32</f>
        <v>31752052.54955313</v>
      </c>
      <c r="AA69" s="5">
        <f>'Baseline System Analysis'!AA28-AA32</f>
        <v>35546944.482215486</v>
      </c>
      <c r="AB69" s="5">
        <f>'Baseline System Analysis'!AB28-AB32</f>
        <v>39903552.597625397</v>
      </c>
      <c r="AC69" s="5">
        <f>'Baseline System Analysis'!AC28-AC32</f>
        <v>43253166.677575208</v>
      </c>
      <c r="AD69" s="5">
        <f>'Baseline System Analysis'!AD28-AD32</f>
        <v>46546673.239923745</v>
      </c>
    </row>
    <row r="70" spans="1:30" x14ac:dyDescent="0.35">
      <c r="A70" s="88" t="s">
        <v>134</v>
      </c>
      <c r="B70" s="88" t="s">
        <v>31</v>
      </c>
      <c r="C70" s="20">
        <f>NPV('Cost Assumptions'!$B$3,D70:AD70)</f>
        <v>242736972.29884523</v>
      </c>
      <c r="D70" s="5">
        <f>'Baseline System Analysis'!D29-D33</f>
        <v>903378.82566768141</v>
      </c>
      <c r="E70" s="5">
        <f>'Baseline System Analysis'!E29-E33</f>
        <v>2253314.5961599764</v>
      </c>
      <c r="F70" s="5">
        <f>'Baseline System Analysis'!F29-F33</f>
        <v>3310509.516156707</v>
      </c>
      <c r="G70" s="5">
        <f>'Baseline System Analysis'!G29-G33</f>
        <v>4447440.2170750583</v>
      </c>
      <c r="H70" s="5">
        <f>'Baseline System Analysis'!H29-H33</f>
        <v>5587242.1815372296</v>
      </c>
      <c r="I70" s="5">
        <f>'Baseline System Analysis'!I29-I33</f>
        <v>5454561.6522228802</v>
      </c>
      <c r="J70" s="5">
        <f>'Baseline System Analysis'!J29-J33</f>
        <v>7543245.1947770724</v>
      </c>
      <c r="K70" s="5">
        <f>'Baseline System Analysis'!K29-K33</f>
        <v>10054559.779896669</v>
      </c>
      <c r="L70" s="5">
        <f>'Baseline System Analysis'!L29-L33</f>
        <v>11610814.214658689</v>
      </c>
      <c r="M70" s="5">
        <f>'Baseline System Analysis'!M29-M33</f>
        <v>12826351.057208685</v>
      </c>
      <c r="N70" s="5">
        <f>'Baseline System Analysis'!N29-N33</f>
        <v>16062284.122916382</v>
      </c>
      <c r="O70" s="5">
        <f>'Baseline System Analysis'!O29-O33</f>
        <v>19403643.120637149</v>
      </c>
      <c r="P70" s="5">
        <f>'Baseline System Analysis'!P29-P33</f>
        <v>25219740.504592769</v>
      </c>
      <c r="Q70" s="5">
        <f>'Baseline System Analysis'!Q29-Q33</f>
        <v>31071411.196852271</v>
      </c>
      <c r="R70" s="5">
        <f>'Baseline System Analysis'!R29-R33</f>
        <v>39644741.256940469</v>
      </c>
      <c r="S70" s="5">
        <f>'Baseline System Analysis'!S29-S33</f>
        <v>50251518.164887004</v>
      </c>
      <c r="T70" s="5">
        <f>'Baseline System Analysis'!T29-T33</f>
        <v>62975375.307628401</v>
      </c>
      <c r="U70" s="5">
        <f>'Baseline System Analysis'!U29-U33</f>
        <v>77967536.623126328</v>
      </c>
      <c r="V70" s="5">
        <f>'Baseline System Analysis'!V29-V33</f>
        <v>85493629.625678569</v>
      </c>
      <c r="W70" s="5">
        <f>'Baseline System Analysis'!W29-W33</f>
        <v>96889943.264270231</v>
      </c>
      <c r="X70" s="5">
        <f>'Baseline System Analysis'!X29-X33</f>
        <v>109044932.47197554</v>
      </c>
      <c r="Y70" s="5">
        <f>'Baseline System Analysis'!Y29-Y33</f>
        <v>122534152.53852251</v>
      </c>
      <c r="Z70" s="5">
        <f>'Baseline System Analysis'!Z29-Z33</f>
        <v>136516549.22112581</v>
      </c>
      <c r="AA70" s="5">
        <f>'Baseline System Analysis'!AA29-AA33</f>
        <v>152312518.58134991</v>
      </c>
      <c r="AB70" s="5">
        <f>'Baseline System Analysis'!AB29-AB33</f>
        <v>170666427.51783419</v>
      </c>
      <c r="AC70" s="5">
        <f>'Baseline System Analysis'!AC29-AC33</f>
        <v>185761195.95831525</v>
      </c>
      <c r="AD70" s="5">
        <f>'Baseline System Analysis'!AD29-AD33</f>
        <v>198274570.28534347</v>
      </c>
    </row>
    <row r="71" spans="1:30" x14ac:dyDescent="0.35">
      <c r="A71" s="88" t="s">
        <v>24</v>
      </c>
      <c r="B71" s="88" t="s">
        <v>31</v>
      </c>
      <c r="C71" s="20">
        <f>NPV('Cost Assumptions'!$B$3,D71:AD71)</f>
        <v>297762502.85174012</v>
      </c>
      <c r="D71" s="5">
        <f>SUM(D69:D70)</f>
        <v>1063695.7919203674</v>
      </c>
      <c r="E71" s="5">
        <f t="shared" ref="E71:AD71" si="18">SUM(E69:E70)</f>
        <v>2679983.8530677026</v>
      </c>
      <c r="F71" s="5">
        <f t="shared" si="18"/>
        <v>3933305.4814003999</v>
      </c>
      <c r="G71" s="5">
        <f t="shared" si="18"/>
        <v>5281143.6557824584</v>
      </c>
      <c r="H71" s="5">
        <f t="shared" si="18"/>
        <v>6651796.9527417207</v>
      </c>
      <c r="I71" s="5">
        <f t="shared" si="18"/>
        <v>6609812.2555030342</v>
      </c>
      <c r="J71" s="5">
        <f t="shared" si="18"/>
        <v>9111059.9878194854</v>
      </c>
      <c r="K71" s="5">
        <f t="shared" si="18"/>
        <v>12119147.471552512</v>
      </c>
      <c r="L71" s="5">
        <f t="shared" si="18"/>
        <v>14096786.410984162</v>
      </c>
      <c r="M71" s="5">
        <f t="shared" si="18"/>
        <v>15733565.83993165</v>
      </c>
      <c r="N71" s="5">
        <f t="shared" si="18"/>
        <v>19715771.177314941</v>
      </c>
      <c r="O71" s="5">
        <f t="shared" si="18"/>
        <v>23916003.821909513</v>
      </c>
      <c r="P71" s="5">
        <f t="shared" si="18"/>
        <v>31065453.444188673</v>
      </c>
      <c r="Q71" s="5">
        <f t="shared" si="18"/>
        <v>38216645.586959884</v>
      </c>
      <c r="R71" s="5">
        <f t="shared" si="18"/>
        <v>48749083.944208175</v>
      </c>
      <c r="S71" s="5">
        <f t="shared" si="18"/>
        <v>61654146.709585212</v>
      </c>
      <c r="T71" s="5">
        <f t="shared" si="18"/>
        <v>77071142.969198763</v>
      </c>
      <c r="U71" s="5">
        <f t="shared" si="18"/>
        <v>95159439.634687454</v>
      </c>
      <c r="V71" s="5">
        <f t="shared" si="18"/>
        <v>104886879.19406888</v>
      </c>
      <c r="W71" s="5">
        <f t="shared" si="18"/>
        <v>119094120.18777111</v>
      </c>
      <c r="X71" s="5">
        <f t="shared" si="18"/>
        <v>134345419.1894328</v>
      </c>
      <c r="Y71" s="5">
        <f t="shared" si="18"/>
        <v>150951219.95339504</v>
      </c>
      <c r="Z71" s="5">
        <f t="shared" si="18"/>
        <v>168268601.77067894</v>
      </c>
      <c r="AA71" s="5">
        <f t="shared" si="18"/>
        <v>187859463.0635654</v>
      </c>
      <c r="AB71" s="5">
        <f t="shared" si="18"/>
        <v>210569980.11545959</v>
      </c>
      <c r="AC71" s="5">
        <f t="shared" si="18"/>
        <v>229014362.63589045</v>
      </c>
      <c r="AD71" s="5">
        <f t="shared" si="18"/>
        <v>244821243.52526721</v>
      </c>
    </row>
    <row r="73" spans="1:30" x14ac:dyDescent="0.35">
      <c r="A73" s="88" t="s">
        <v>130</v>
      </c>
      <c r="B73" s="88" t="s">
        <v>157</v>
      </c>
      <c r="C73" s="20">
        <f>NPV('Cost Assumptions'!$B$3,D73:AD73)</f>
        <v>649398508.21725881</v>
      </c>
      <c r="D73" s="63">
        <f>ABS((D49*D60*1000*'Cost Assumptions'!$B$6)/'Cost Assumptions'!$B$14)</f>
        <v>14468227.097277695</v>
      </c>
      <c r="E73" s="63">
        <f>ABS((E49*E60*1000*'Cost Assumptions'!$B$6)/'Cost Assumptions'!$B$14)</f>
        <v>19719304.846050847</v>
      </c>
      <c r="F73" s="63">
        <f>ABS((F49*F60*1000*'Cost Assumptions'!$B$6)/'Cost Assumptions'!$B$14)</f>
        <v>25223893.840326857</v>
      </c>
      <c r="G73" s="63">
        <f>ABS((G49*G60*1000*'Cost Assumptions'!$B$6)/'Cost Assumptions'!$B$14)</f>
        <v>30991387.71878789</v>
      </c>
      <c r="H73" s="63">
        <f>ABS((H49*H60*1000*'Cost Assumptions'!$B$6)/'Cost Assumptions'!$B$14)</f>
        <v>37031491.357521757</v>
      </c>
      <c r="I73" s="63">
        <f>ABS((I49*I60*1000*'Cost Assumptions'!$B$6)/'Cost Assumptions'!$B$14)</f>
        <v>43354230.560868092</v>
      </c>
      <c r="J73" s="63">
        <f>ABS((J49*J60*1000*'Cost Assumptions'!$B$6)/'Cost Assumptions'!$B$14)</f>
        <v>49969962.042283267</v>
      </c>
      <c r="K73" s="63">
        <f>ABS((K49*K60*1000*'Cost Assumptions'!$B$6)/'Cost Assumptions'!$B$14)</f>
        <v>56889383.703668676</v>
      </c>
      <c r="L73" s="63">
        <f>ABS((L49*L60*1000*'Cost Assumptions'!$B$6)/'Cost Assumptions'!$B$14)</f>
        <v>64616266.564017549</v>
      </c>
      <c r="M73" s="63">
        <f>ABS((M49*M60*1000*'Cost Assumptions'!$B$6)/'Cost Assumptions'!$B$14)</f>
        <v>71683858.951119289</v>
      </c>
      <c r="N73" s="63">
        <f>ABS((N49*N60*1000*'Cost Assumptions'!$B$6)/'Cost Assumptions'!$B$14)</f>
        <v>79582111.151091605</v>
      </c>
      <c r="O73" s="63">
        <f>ABS((O49*O60*1000*'Cost Assumptions'!$B$6)/'Cost Assumptions'!$B$14)</f>
        <v>87830473.549218088</v>
      </c>
      <c r="P73" s="63">
        <f>ABS((P49*P60*1000*'Cost Assumptions'!$B$6)/'Cost Assumptions'!$B$14)</f>
        <v>96441515.24778147</v>
      </c>
      <c r="Q73" s="63">
        <f>ABS((Q49*Q60*1000*'Cost Assumptions'!$B$6)/'Cost Assumptions'!$B$14)</f>
        <v>105428214.98530476</v>
      </c>
      <c r="R73" s="63">
        <f>ABS((R49*R60*1000*'Cost Assumptions'!$B$6)/'Cost Assumptions'!$B$14)</f>
        <v>114803973.76267432</v>
      </c>
      <c r="S73" s="63">
        <f>ABS((S49*S60*1000*'Cost Assumptions'!$B$6)/'Cost Assumptions'!$B$14)</f>
        <v>124582627.84454656</v>
      </c>
      <c r="T73" s="63">
        <f>ABS((T49*T60*1000*'Cost Assumptions'!$B$6)/'Cost Assumptions'!$B$14)</f>
        <v>134778462.14691073</v>
      </c>
      <c r="U73" s="63">
        <f>ABS((U49*U60*1000*'Cost Assumptions'!$B$6)/'Cost Assumptions'!$B$14)</f>
        <v>145406224.0219903</v>
      </c>
      <c r="V73" s="63">
        <f>ABS((V49*V60*1000*'Cost Assumptions'!$B$6)/'Cost Assumptions'!$B$14)</f>
        <v>156481137.45198199</v>
      </c>
      <c r="W73" s="63">
        <f>ABS((W49*W60*1000*'Cost Assumptions'!$B$6)/'Cost Assumptions'!$B$14)</f>
        <v>168018917.66345957</v>
      </c>
      <c r="X73" s="63">
        <f>ABS((X49*X60*1000*'Cost Assumptions'!$B$6)/'Cost Assumptions'!$B$14)</f>
        <v>180035786.17460349</v>
      </c>
      <c r="Y73" s="63">
        <f>ABS((Y49*Y60*1000*'Cost Assumptions'!$B$6)/'Cost Assumptions'!$B$14)</f>
        <v>192548486.28776494</v>
      </c>
      <c r="Z73" s="63">
        <f>ABS((Z49*Z60*1000*'Cost Assumptions'!$B$6)/'Cost Assumptions'!$B$14)</f>
        <v>205574299.04022536</v>
      </c>
      <c r="AA73" s="63">
        <f>ABS((AA49*AA60*1000*'Cost Assumptions'!$B$6)/'Cost Assumptions'!$B$14)</f>
        <v>219131059.62637892</v>
      </c>
      <c r="AB73" s="63">
        <f>ABS((AB49*AB60*1000*'Cost Assumptions'!$B$6)/'Cost Assumptions'!$B$14)</f>
        <v>233237174.30494004</v>
      </c>
      <c r="AC73" s="63">
        <f>ABS((AC49*AC60*1000*'Cost Assumptions'!$B$6)/'Cost Assumptions'!$B$14)</f>
        <v>247911637.80516276</v>
      </c>
      <c r="AD73" s="63">
        <f>ABS((AD49*AD60*1000*'Cost Assumptions'!$B$6)/'Cost Assumptions'!$B$14)</f>
        <v>263174051.24645612</v>
      </c>
    </row>
    <row r="74" spans="1:30" x14ac:dyDescent="0.35">
      <c r="A74" s="88" t="s">
        <v>132</v>
      </c>
      <c r="B74" s="88" t="s">
        <v>157</v>
      </c>
      <c r="C74" s="20">
        <f>NPV('Cost Assumptions'!$B$3,D74:AD74)</f>
        <v>2675283209.3064494</v>
      </c>
      <c r="D74" s="63">
        <f>ABS((D49*D62*1000*'Cost Assumptions'!$B$7)/'Cost Assumptions'!$B$14)</f>
        <v>59603778.776821814</v>
      </c>
      <c r="E74" s="63">
        <f>ABS((E49*E62*1000*'Cost Assumptions'!$B$7)/'Cost Assumptions'!$B$14)</f>
        <v>81236289.4067287</v>
      </c>
      <c r="F74" s="63">
        <f>ABS((F49*F62*1000*'Cost Assumptions'!$B$7)/'Cost Assumptions'!$B$14)</f>
        <v>103913173.2063954</v>
      </c>
      <c r="G74" s="63">
        <f>ABS((G49*G62*1000*'Cost Assumptions'!$B$7)/'Cost Assumptions'!$B$14)</f>
        <v>127673128.51516622</v>
      </c>
      <c r="H74" s="63">
        <f>ABS((H49*H62*1000*'Cost Assumptions'!$B$7)/'Cost Assumptions'!$B$14)</f>
        <v>152556135.8561216</v>
      </c>
      <c r="I74" s="63">
        <f>ABS((I49*I62*1000*'Cost Assumptions'!$B$7)/'Cost Assumptions'!$B$14)</f>
        <v>178603497.85880277</v>
      </c>
      <c r="J74" s="63">
        <f>ABS((J49*J62*1000*'Cost Assumptions'!$B$7)/'Cost Assumptions'!$B$14)</f>
        <v>205857880.37670788</v>
      </c>
      <c r="K74" s="63">
        <f>ABS((K49*K62*1000*'Cost Assumptions'!$B$7)/'Cost Assumptions'!$B$14)</f>
        <v>234363354.83434653</v>
      </c>
      <c r="L74" s="63">
        <f>ABS((L49*L62*1000*'Cost Assumptions'!$B$7)/'Cost Assumptions'!$B$14)</f>
        <v>266195272.70141581</v>
      </c>
      <c r="M74" s="63">
        <f>ABS((M49*M62*1000*'Cost Assumptions'!$B$7)/'Cost Assumptions'!$B$14)</f>
        <v>295311156.09840953</v>
      </c>
      <c r="N74" s="63">
        <f>ABS((N49*N62*1000*'Cost Assumptions'!$B$7)/'Cost Assumptions'!$B$14)</f>
        <v>327849052.66897655</v>
      </c>
      <c r="O74" s="63">
        <f>ABS((O49*O62*1000*'Cost Assumptions'!$B$7)/'Cost Assumptions'!$B$14)</f>
        <v>361829274.59551042</v>
      </c>
      <c r="P74" s="63">
        <f>ABS((P49*P62*1000*'Cost Assumptions'!$B$7)/'Cost Assumptions'!$B$14)</f>
        <v>397303601.96045291</v>
      </c>
      <c r="Q74" s="63">
        <f>ABS((Q49*Q62*1000*'Cost Assumptions'!$B$7)/'Cost Assumptions'!$B$14)</f>
        <v>434325502.39702016</v>
      </c>
      <c r="R74" s="63">
        <f>ABS((R49*R62*1000*'Cost Assumptions'!$B$7)/'Cost Assumptions'!$B$14)</f>
        <v>472950183.10419065</v>
      </c>
      <c r="S74" s="63">
        <f>ABS((S49*S62*1000*'Cost Assumptions'!$B$7)/'Cost Assumptions'!$B$14)</f>
        <v>513234644.4077214</v>
      </c>
      <c r="T74" s="63">
        <f>ABS((T49*T62*1000*'Cost Assumptions'!$B$7)/'Cost Assumptions'!$B$14)</f>
        <v>555237734.9119885</v>
      </c>
      <c r="U74" s="63">
        <f>ABS((U49*U62*1000*'Cost Assumptions'!$B$7)/'Cost Assumptions'!$B$14)</f>
        <v>599020208.28871441</v>
      </c>
      <c r="V74" s="63">
        <f>ABS((V49*V62*1000*'Cost Assumptions'!$B$7)/'Cost Assumptions'!$B$14)</f>
        <v>644644781.74995637</v>
      </c>
      <c r="W74" s="63">
        <f>ABS((W49*W62*1000*'Cost Assumptions'!$B$7)/'Cost Assumptions'!$B$14)</f>
        <v>692176196.25408018</v>
      </c>
      <c r="X74" s="63">
        <f>ABS((X49*X62*1000*'Cost Assumptions'!$B$7)/'Cost Assumptions'!$B$14)</f>
        <v>741681278.49481618</v>
      </c>
      <c r="Y74" s="63">
        <f>ABS((Y49*Y62*1000*'Cost Assumptions'!$B$7)/'Cost Assumptions'!$B$14)</f>
        <v>793229004.72493029</v>
      </c>
      <c r="Z74" s="63">
        <f>ABS((Z49*Z62*1000*'Cost Assumptions'!$B$7)/'Cost Assumptions'!$B$14)</f>
        <v>846890566.46749079</v>
      </c>
      <c r="AA74" s="63">
        <f>ABS((AA49*AA62*1000*'Cost Assumptions'!$B$7)/'Cost Assumptions'!$B$14)</f>
        <v>902739438.16922629</v>
      </c>
      <c r="AB74" s="63">
        <f>ABS((AB49*AB62*1000*'Cost Assumptions'!$B$7)/'Cost Assumptions'!$B$14)</f>
        <v>960851446.85200632</v>
      </c>
      <c r="AC74" s="63">
        <f>ABS((AC49*AC62*1000*'Cost Assumptions'!$B$7)/'Cost Assumptions'!$B$14)</f>
        <v>1021304843.8200697</v>
      </c>
      <c r="AD74" s="63">
        <f>ABS((AD49*AD62*1000*'Cost Assumptions'!$B$7)/'Cost Assumptions'!$B$14)</f>
        <v>1084180378.4822543</v>
      </c>
    </row>
    <row r="75" spans="1:30" x14ac:dyDescent="0.35">
      <c r="A75" s="88" t="s">
        <v>24</v>
      </c>
      <c r="B75" s="88" t="s">
        <v>157</v>
      </c>
      <c r="C75" s="20">
        <f>NPV('Cost Assumptions'!$B$3,D75:AD75)</f>
        <v>3324681717.5237079</v>
      </c>
      <c r="D75" s="63">
        <f>SUM(D73:D74)</f>
        <v>74072005.874099508</v>
      </c>
      <c r="E75" s="63">
        <f t="shared" ref="E75:AD75" si="19">SUM(E73:E74)</f>
        <v>100955594.25277954</v>
      </c>
      <c r="F75" s="63">
        <f t="shared" si="19"/>
        <v>129137067.04672226</v>
      </c>
      <c r="G75" s="63">
        <f t="shared" si="19"/>
        <v>158664516.2339541</v>
      </c>
      <c r="H75" s="63">
        <f t="shared" si="19"/>
        <v>189587627.21364337</v>
      </c>
      <c r="I75" s="63">
        <f t="shared" si="19"/>
        <v>221957728.41967085</v>
      </c>
      <c r="J75" s="63">
        <f t="shared" si="19"/>
        <v>255827842.41899115</v>
      </c>
      <c r="K75" s="63">
        <f t="shared" si="19"/>
        <v>291252738.53801519</v>
      </c>
      <c r="L75" s="63">
        <f t="shared" si="19"/>
        <v>330811539.26543337</v>
      </c>
      <c r="M75" s="63">
        <f t="shared" si="19"/>
        <v>366995015.04952884</v>
      </c>
      <c r="N75" s="63">
        <f t="shared" si="19"/>
        <v>407431163.82006812</v>
      </c>
      <c r="O75" s="63">
        <f t="shared" si="19"/>
        <v>449659748.14472854</v>
      </c>
      <c r="P75" s="63">
        <f t="shared" si="19"/>
        <v>493745117.20823437</v>
      </c>
      <c r="Q75" s="63">
        <f t="shared" si="19"/>
        <v>539753717.38232493</v>
      </c>
      <c r="R75" s="63">
        <f t="shared" si="19"/>
        <v>587754156.86686492</v>
      </c>
      <c r="S75" s="63">
        <f t="shared" si="19"/>
        <v>637817272.25226796</v>
      </c>
      <c r="T75" s="63">
        <f t="shared" si="19"/>
        <v>690016197.05889916</v>
      </c>
      <c r="U75" s="63">
        <f t="shared" si="19"/>
        <v>744426432.31070471</v>
      </c>
      <c r="V75" s="63">
        <f t="shared" si="19"/>
        <v>801125919.20193839</v>
      </c>
      <c r="W75" s="63">
        <f t="shared" si="19"/>
        <v>860195113.91753972</v>
      </c>
      <c r="X75" s="63">
        <f t="shared" si="19"/>
        <v>921717064.66941965</v>
      </c>
      <c r="Y75" s="63">
        <f t="shared" si="19"/>
        <v>985777491.01269519</v>
      </c>
      <c r="Z75" s="63">
        <f t="shared" si="19"/>
        <v>1052464865.5077162</v>
      </c>
      <c r="AA75" s="63">
        <f t="shared" si="19"/>
        <v>1121870497.7956052</v>
      </c>
      <c r="AB75" s="63">
        <f t="shared" si="19"/>
        <v>1194088621.1569464</v>
      </c>
      <c r="AC75" s="63">
        <f t="shared" si="19"/>
        <v>1269216481.6252325</v>
      </c>
      <c r="AD75" s="63">
        <f t="shared" si="19"/>
        <v>1347354429.7287104</v>
      </c>
    </row>
    <row r="76" spans="1:30" x14ac:dyDescent="0.35">
      <c r="A76" s="88"/>
      <c r="B76" s="88"/>
      <c r="C76" s="20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x14ac:dyDescent="0.35">
      <c r="A77" s="88" t="s">
        <v>130</v>
      </c>
      <c r="B77" s="88" t="s">
        <v>164</v>
      </c>
      <c r="C77" s="20">
        <f>NPV('Cost Assumptions'!$B$3,D77:AD77)</f>
        <v>0</v>
      </c>
      <c r="D77" s="63">
        <f>ABS(((MIN(ABS(D50),'Baseline System Analysis'!D14)*D61*1000*'Cost Assumptions'!$B$6)*'Cost Assumptions'!$B$13))</f>
        <v>0</v>
      </c>
      <c r="E77" s="63">
        <f>ABS(((MIN(ABS(E50),'Baseline System Analysis'!E14)*E61*1000*'Cost Assumptions'!$B$6)*'Cost Assumptions'!$B$13))</f>
        <v>0</v>
      </c>
      <c r="F77" s="63">
        <f>ABS(((MIN(ABS(F50),'Baseline System Analysis'!F14)*F61*1000*'Cost Assumptions'!$B$6)*'Cost Assumptions'!$B$13))</f>
        <v>0</v>
      </c>
      <c r="G77" s="63">
        <f>ABS(((MIN(ABS(G50),'Baseline System Analysis'!G14)*G61*1000*'Cost Assumptions'!$B$6)*'Cost Assumptions'!$B$13))</f>
        <v>0</v>
      </c>
      <c r="H77" s="63">
        <f>ABS(((MIN(ABS(H50),'Baseline System Analysis'!H14)*H61*1000*'Cost Assumptions'!$B$6)*'Cost Assumptions'!$B$13))</f>
        <v>0</v>
      </c>
      <c r="I77" s="63">
        <f>ABS(((MIN(ABS(I50),'Baseline System Analysis'!I14)*I61*1000*'Cost Assumptions'!$B$6)*'Cost Assumptions'!$B$13))</f>
        <v>0</v>
      </c>
      <c r="J77" s="63">
        <f>ABS(((MIN(ABS(J50),'Baseline System Analysis'!J14)*J61*1000*'Cost Assumptions'!$B$6)*'Cost Assumptions'!$B$13))</f>
        <v>0</v>
      </c>
      <c r="K77" s="63">
        <f>ABS(((MIN(ABS(K50),'Baseline System Analysis'!K14)*K61*1000*'Cost Assumptions'!$B$6)*'Cost Assumptions'!$B$13))</f>
        <v>0</v>
      </c>
      <c r="L77" s="63">
        <f>ABS(((MIN(ABS(L50),'Baseline System Analysis'!L14)*L61*1000*'Cost Assumptions'!$B$6)*'Cost Assumptions'!$B$13))</f>
        <v>0</v>
      </c>
      <c r="M77" s="63">
        <f>ABS(((MIN(ABS(M50),'Baseline System Analysis'!M14)*M61*1000*'Cost Assumptions'!$B$6)*'Cost Assumptions'!$B$13))</f>
        <v>0</v>
      </c>
      <c r="N77" s="63">
        <f>ABS(((MIN(ABS(N50),'Baseline System Analysis'!N14)*N61*1000*'Cost Assumptions'!$B$6)*'Cost Assumptions'!$B$13))</f>
        <v>0</v>
      </c>
      <c r="O77" s="63">
        <f>ABS(((MIN(ABS(O50),'Baseline System Analysis'!O14)*O61*1000*'Cost Assumptions'!$B$6)*'Cost Assumptions'!$B$13))</f>
        <v>0</v>
      </c>
      <c r="P77" s="63">
        <f>ABS(((MIN(ABS(P50),'Baseline System Analysis'!P14)*P61*1000*'Cost Assumptions'!$B$6)*'Cost Assumptions'!$B$13))</f>
        <v>0</v>
      </c>
      <c r="Q77" s="63">
        <f>ABS(((MIN(ABS(Q50),'Baseline System Analysis'!Q14)*Q61*1000*'Cost Assumptions'!$B$6)*'Cost Assumptions'!$B$13))</f>
        <v>0</v>
      </c>
      <c r="R77" s="63">
        <f>ABS(((MIN(ABS(R50),'Baseline System Analysis'!R14)*R61*1000*'Cost Assumptions'!$B$6)*'Cost Assumptions'!$B$13))</f>
        <v>0</v>
      </c>
      <c r="S77" s="63">
        <f>ABS(((MIN(ABS(S50),'Baseline System Analysis'!S14)*S61*1000*'Cost Assumptions'!$B$6)*'Cost Assumptions'!$B$13))</f>
        <v>0</v>
      </c>
      <c r="T77" s="63">
        <f>ABS(((MIN(ABS(T50),'Baseline System Analysis'!T14)*T61*1000*'Cost Assumptions'!$B$6)*'Cost Assumptions'!$B$13))</f>
        <v>0</v>
      </c>
      <c r="U77" s="63">
        <f>ABS(((MIN(ABS(U50),'Baseline System Analysis'!U14)*U61*1000*'Cost Assumptions'!$B$6)*'Cost Assumptions'!$B$13))</f>
        <v>0</v>
      </c>
      <c r="V77" s="63">
        <f>ABS(((MIN(ABS(V50),'Baseline System Analysis'!V14)*V61*1000*'Cost Assumptions'!$B$6)*'Cost Assumptions'!$B$13))</f>
        <v>0</v>
      </c>
      <c r="W77" s="63">
        <f>ABS(((MIN(ABS(W50),'Baseline System Analysis'!W14)*W61*1000*'Cost Assumptions'!$B$6)*'Cost Assumptions'!$B$13))</f>
        <v>0</v>
      </c>
      <c r="X77" s="63">
        <f>ABS(((MIN(ABS(X50),'Baseline System Analysis'!X14)*X61*1000*'Cost Assumptions'!$B$6)*'Cost Assumptions'!$B$13))</f>
        <v>0</v>
      </c>
      <c r="Y77" s="63">
        <f>ABS(((MIN(ABS(Y50),'Baseline System Analysis'!Y14)*Y61*1000*'Cost Assumptions'!$B$6)*'Cost Assumptions'!$B$13))</f>
        <v>0</v>
      </c>
      <c r="Z77" s="63">
        <f>ABS(((MIN(ABS(Z50),'Baseline System Analysis'!Z14)*Z61*1000*'Cost Assumptions'!$B$6)*'Cost Assumptions'!$B$13))</f>
        <v>0</v>
      </c>
      <c r="AA77" s="63">
        <f>ABS(((MIN(ABS(AA50),'Baseline System Analysis'!AA14)*AA61*1000*'Cost Assumptions'!$B$6)*'Cost Assumptions'!$B$13))</f>
        <v>0</v>
      </c>
      <c r="AB77" s="63">
        <f>ABS(((MIN(ABS(AB50),'Baseline System Analysis'!AB14)*AB61*1000*'Cost Assumptions'!$B$6)*'Cost Assumptions'!$B$13))</f>
        <v>0</v>
      </c>
      <c r="AC77" s="63">
        <f>ABS(((MIN(ABS(AC50),'Baseline System Analysis'!AC14)*AC61*1000*'Cost Assumptions'!$B$6)*'Cost Assumptions'!$B$13))</f>
        <v>0</v>
      </c>
      <c r="AD77" s="63">
        <f>ABS(((MIN(ABS(AD50),'Baseline System Analysis'!AD14)*AD61*1000*'Cost Assumptions'!$B$6)*'Cost Assumptions'!$B$13))</f>
        <v>0</v>
      </c>
    </row>
    <row r="78" spans="1:30" x14ac:dyDescent="0.35">
      <c r="A78" s="88" t="s">
        <v>132</v>
      </c>
      <c r="B78" s="88" t="s">
        <v>164</v>
      </c>
      <c r="C78" s="20">
        <f>NPV('Cost Assumptions'!$B$3,D78:AD78)</f>
        <v>0</v>
      </c>
      <c r="D78" s="63">
        <f>ABS(((MIN(ABS(D50),'Baseline System Analysis'!D14)*D63*1000*'Cost Assumptions'!$B$6)*'Cost Assumptions'!$B$13))</f>
        <v>0</v>
      </c>
      <c r="E78" s="63">
        <f>ABS(((MIN(ABS(E50),'Baseline System Analysis'!E14)*E63*1000*'Cost Assumptions'!$B$6)*'Cost Assumptions'!$B$13))</f>
        <v>0</v>
      </c>
      <c r="F78" s="63">
        <f>ABS(((MIN(ABS(F50),'Baseline System Analysis'!F14)*F63*1000*'Cost Assumptions'!$B$6)*'Cost Assumptions'!$B$13))</f>
        <v>0</v>
      </c>
      <c r="G78" s="63">
        <f>ABS(((MIN(ABS(G50),'Baseline System Analysis'!G14)*G63*1000*'Cost Assumptions'!$B$6)*'Cost Assumptions'!$B$13))</f>
        <v>0</v>
      </c>
      <c r="H78" s="63">
        <f>ABS(((MIN(ABS(H50),'Baseline System Analysis'!H14)*H63*1000*'Cost Assumptions'!$B$6)*'Cost Assumptions'!$B$13))</f>
        <v>0</v>
      </c>
      <c r="I78" s="63">
        <f>ABS(((MIN(ABS(I50),'Baseline System Analysis'!I14)*I63*1000*'Cost Assumptions'!$B$6)*'Cost Assumptions'!$B$13))</f>
        <v>0</v>
      </c>
      <c r="J78" s="63">
        <f>ABS(((MIN(ABS(J50),'Baseline System Analysis'!J14)*J63*1000*'Cost Assumptions'!$B$6)*'Cost Assumptions'!$B$13))</f>
        <v>0</v>
      </c>
      <c r="K78" s="63">
        <f>ABS(((MIN(ABS(K50),'Baseline System Analysis'!K14)*K63*1000*'Cost Assumptions'!$B$6)*'Cost Assumptions'!$B$13))</f>
        <v>0</v>
      </c>
      <c r="L78" s="63">
        <f>ABS(((MIN(ABS(L50),'Baseline System Analysis'!L14)*L63*1000*'Cost Assumptions'!$B$6)*'Cost Assumptions'!$B$13))</f>
        <v>0</v>
      </c>
      <c r="M78" s="63">
        <f>ABS(((MIN(ABS(M50),'Baseline System Analysis'!M14)*M63*1000*'Cost Assumptions'!$B$6)*'Cost Assumptions'!$B$13))</f>
        <v>0</v>
      </c>
      <c r="N78" s="63">
        <f>ABS(((MIN(ABS(N50),'Baseline System Analysis'!N14)*N63*1000*'Cost Assumptions'!$B$6)*'Cost Assumptions'!$B$13))</f>
        <v>0</v>
      </c>
      <c r="O78" s="63">
        <f>ABS(((MIN(ABS(O50),'Baseline System Analysis'!O14)*O63*1000*'Cost Assumptions'!$B$6)*'Cost Assumptions'!$B$13))</f>
        <v>0</v>
      </c>
      <c r="P78" s="63">
        <f>ABS(((MIN(ABS(P50),'Baseline System Analysis'!P14)*P63*1000*'Cost Assumptions'!$B$6)*'Cost Assumptions'!$B$13))</f>
        <v>0</v>
      </c>
      <c r="Q78" s="63">
        <f>ABS(((MIN(ABS(Q50),'Baseline System Analysis'!Q14)*Q63*1000*'Cost Assumptions'!$B$6)*'Cost Assumptions'!$B$13))</f>
        <v>0</v>
      </c>
      <c r="R78" s="63">
        <f>ABS(((MIN(ABS(R50),'Baseline System Analysis'!R14)*R63*1000*'Cost Assumptions'!$B$6)*'Cost Assumptions'!$B$13))</f>
        <v>0</v>
      </c>
      <c r="S78" s="63">
        <f>ABS(((MIN(ABS(S50),'Baseline System Analysis'!S14)*S63*1000*'Cost Assumptions'!$B$6)*'Cost Assumptions'!$B$13))</f>
        <v>0</v>
      </c>
      <c r="T78" s="63">
        <f>ABS(((MIN(ABS(T50),'Baseline System Analysis'!T14)*T63*1000*'Cost Assumptions'!$B$6)*'Cost Assumptions'!$B$13))</f>
        <v>0</v>
      </c>
      <c r="U78" s="63">
        <f>ABS(((MIN(ABS(U50),'Baseline System Analysis'!U14)*U63*1000*'Cost Assumptions'!$B$6)*'Cost Assumptions'!$B$13))</f>
        <v>0</v>
      </c>
      <c r="V78" s="63">
        <f>ABS(((MIN(ABS(V50),'Baseline System Analysis'!V14)*V63*1000*'Cost Assumptions'!$B$6)*'Cost Assumptions'!$B$13))</f>
        <v>0</v>
      </c>
      <c r="W78" s="63">
        <f>ABS(((MIN(ABS(W50),'Baseline System Analysis'!W14)*W63*1000*'Cost Assumptions'!$B$6)*'Cost Assumptions'!$B$13))</f>
        <v>0</v>
      </c>
      <c r="X78" s="63">
        <f>ABS(((MIN(ABS(X50),'Baseline System Analysis'!X14)*X63*1000*'Cost Assumptions'!$B$6)*'Cost Assumptions'!$B$13))</f>
        <v>0</v>
      </c>
      <c r="Y78" s="63">
        <f>ABS(((MIN(ABS(Y50),'Baseline System Analysis'!Y14)*Y63*1000*'Cost Assumptions'!$B$6)*'Cost Assumptions'!$B$13))</f>
        <v>0</v>
      </c>
      <c r="Z78" s="63">
        <f>ABS(((MIN(ABS(Z50),'Baseline System Analysis'!Z14)*Z63*1000*'Cost Assumptions'!$B$6)*'Cost Assumptions'!$B$13))</f>
        <v>0</v>
      </c>
      <c r="AA78" s="63">
        <f>ABS(((MIN(ABS(AA50),'Baseline System Analysis'!AA14)*AA63*1000*'Cost Assumptions'!$B$6)*'Cost Assumptions'!$B$13))</f>
        <v>0</v>
      </c>
      <c r="AB78" s="63">
        <f>ABS(((MIN(ABS(AB50),'Baseline System Analysis'!AB14)*AB63*1000*'Cost Assumptions'!$B$6)*'Cost Assumptions'!$B$13))</f>
        <v>0</v>
      </c>
      <c r="AC78" s="63">
        <f>ABS(((MIN(ABS(AC50),'Baseline System Analysis'!AC14)*AC63*1000*'Cost Assumptions'!$B$6)*'Cost Assumptions'!$B$13))</f>
        <v>0</v>
      </c>
      <c r="AD78" s="63">
        <f>ABS(((MIN(ABS(AD50),'Baseline System Analysis'!AD14)*AD63*1000*'Cost Assumptions'!$B$6)*'Cost Assumptions'!$B$13))</f>
        <v>0</v>
      </c>
    </row>
    <row r="79" spans="1:30" ht="29" x14ac:dyDescent="0.35">
      <c r="A79" s="3" t="s">
        <v>159</v>
      </c>
      <c r="B79" s="88" t="s">
        <v>164</v>
      </c>
      <c r="C79" s="20">
        <f>NPV('Cost Assumptions'!$B$3,D79:AD79)</f>
        <v>0</v>
      </c>
      <c r="D79" s="63">
        <f>SUM(D77:D78)</f>
        <v>0</v>
      </c>
      <c r="E79" s="63">
        <f t="shared" ref="E79:AD79" si="20">SUM(E77:E78)</f>
        <v>0</v>
      </c>
      <c r="F79" s="63">
        <f t="shared" si="20"/>
        <v>0</v>
      </c>
      <c r="G79" s="63">
        <f t="shared" si="20"/>
        <v>0</v>
      </c>
      <c r="H79" s="63">
        <f t="shared" si="20"/>
        <v>0</v>
      </c>
      <c r="I79" s="63">
        <f t="shared" si="20"/>
        <v>0</v>
      </c>
      <c r="J79" s="63">
        <f t="shared" si="20"/>
        <v>0</v>
      </c>
      <c r="K79" s="63">
        <f t="shared" si="20"/>
        <v>0</v>
      </c>
      <c r="L79" s="63">
        <f t="shared" si="20"/>
        <v>0</v>
      </c>
      <c r="M79" s="63">
        <f t="shared" si="20"/>
        <v>0</v>
      </c>
      <c r="N79" s="63">
        <f t="shared" si="20"/>
        <v>0</v>
      </c>
      <c r="O79" s="63">
        <f t="shared" si="20"/>
        <v>0</v>
      </c>
      <c r="P79" s="63">
        <f t="shared" si="20"/>
        <v>0</v>
      </c>
      <c r="Q79" s="63">
        <f t="shared" si="20"/>
        <v>0</v>
      </c>
      <c r="R79" s="63">
        <f t="shared" si="20"/>
        <v>0</v>
      </c>
      <c r="S79" s="63">
        <f t="shared" si="20"/>
        <v>0</v>
      </c>
      <c r="T79" s="63">
        <f t="shared" si="20"/>
        <v>0</v>
      </c>
      <c r="U79" s="63">
        <f t="shared" si="20"/>
        <v>0</v>
      </c>
      <c r="V79" s="63">
        <f t="shared" si="20"/>
        <v>0</v>
      </c>
      <c r="W79" s="63">
        <f t="shared" si="20"/>
        <v>0</v>
      </c>
      <c r="X79" s="63">
        <f t="shared" si="20"/>
        <v>0</v>
      </c>
      <c r="Y79" s="63">
        <f t="shared" si="20"/>
        <v>0</v>
      </c>
      <c r="Z79" s="63">
        <f t="shared" si="20"/>
        <v>0</v>
      </c>
      <c r="AA79" s="63">
        <f t="shared" si="20"/>
        <v>0</v>
      </c>
      <c r="AB79" s="63">
        <f t="shared" si="20"/>
        <v>0</v>
      </c>
      <c r="AC79" s="63">
        <f t="shared" si="20"/>
        <v>0</v>
      </c>
      <c r="AD79" s="63">
        <f t="shared" si="20"/>
        <v>0</v>
      </c>
    </row>
    <row r="80" spans="1:30" s="62" customFormat="1" x14ac:dyDescent="0.35">
      <c r="A80" s="3"/>
      <c r="B80" s="88"/>
      <c r="C80" s="2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2" customFormat="1" ht="29" x14ac:dyDescent="0.35">
      <c r="A81" s="3" t="s">
        <v>160</v>
      </c>
      <c r="B81" s="88" t="s">
        <v>161</v>
      </c>
      <c r="C81" s="20">
        <f>NPV('Cost Assumptions'!$B$3,D81:AD81)</f>
        <v>3087133.3630665937</v>
      </c>
      <c r="D81" s="63">
        <f>('Baseline System Analysis'!D42-D36)</f>
        <v>5288.7717676609755</v>
      </c>
      <c r="E81" s="63">
        <f>('Baseline System Analysis'!E42-E36)</f>
        <v>16546.573415368795</v>
      </c>
      <c r="F81" s="63">
        <f>('Baseline System Analysis'!F42-F36)</f>
        <v>23772.345637124032</v>
      </c>
      <c r="G81" s="63">
        <f>('Baseline System Analysis'!G42-G36)</f>
        <v>31541.574995525181</v>
      </c>
      <c r="H81" s="63">
        <f>('Baseline System Analysis'!H42-H36)</f>
        <v>41756.115596991032</v>
      </c>
      <c r="I81" s="63">
        <f>('Baseline System Analysis'!I42-I36)</f>
        <v>55450.539624083787</v>
      </c>
      <c r="J81" s="63">
        <f>('Baseline System Analysis'!J42-J36)</f>
        <v>72889.893182028085</v>
      </c>
      <c r="K81" s="63">
        <f>('Baseline System Analysis'!K42-K36)</f>
        <v>97282.665215533227</v>
      </c>
      <c r="L81" s="63">
        <f>('Baseline System Analysis'!L42-L36)</f>
        <v>125560.8980227001</v>
      </c>
      <c r="M81" s="63">
        <f>('Baseline System Analysis'!M42-M36)</f>
        <v>159537.70226578042</v>
      </c>
      <c r="N81" s="63">
        <f>('Baseline System Analysis'!N42-N36)</f>
        <v>200635.76500834525</v>
      </c>
      <c r="O81" s="63">
        <f>('Baseline System Analysis'!O42-O36)</f>
        <v>255240.14893409982</v>
      </c>
      <c r="P81" s="63">
        <f>('Baseline System Analysis'!P42-P36)</f>
        <v>327635.48203804344</v>
      </c>
      <c r="Q81" s="63">
        <f>('Baseline System Analysis'!Q42-Q36)</f>
        <v>421626.63624536246</v>
      </c>
      <c r="R81" s="63">
        <f>('Baseline System Analysis'!R42-R36)</f>
        <v>528905.16244835407</v>
      </c>
      <c r="S81" s="63">
        <f>('Baseline System Analysis'!S42-S36)</f>
        <v>649400.01786951721</v>
      </c>
      <c r="T81" s="63">
        <f>('Baseline System Analysis'!T42-T36)</f>
        <v>774629.65684711933</v>
      </c>
      <c r="U81" s="63">
        <f>('Baseline System Analysis'!U42-U36)</f>
        <v>916559.83114985377</v>
      </c>
      <c r="V81" s="63">
        <f>('Baseline System Analysis'!V42-V36)</f>
        <v>1074848.257425189</v>
      </c>
      <c r="W81" s="63">
        <f>('Baseline System Analysis'!W42-W36)</f>
        <v>1251193.4543008432</v>
      </c>
      <c r="X81" s="63">
        <f>('Baseline System Analysis'!X42-X36)</f>
        <v>1451965.4099532068</v>
      </c>
      <c r="Y81" s="63">
        <f>('Baseline System Analysis'!Y42-Y36)</f>
        <v>1649247.6008473188</v>
      </c>
      <c r="Z81" s="63">
        <f>('Baseline System Analysis'!Z42-Z36)</f>
        <v>1866128.1801749617</v>
      </c>
      <c r="AA81" s="63">
        <f>('Baseline System Analysis'!AA42-AA36)</f>
        <v>2100670.9883362353</v>
      </c>
      <c r="AB81" s="63">
        <f>('Baseline System Analysis'!AB42-AB36)</f>
        <v>2359457.1258809268</v>
      </c>
      <c r="AC81" s="63">
        <f>('Baseline System Analysis'!AC42-AC36)</f>
        <v>2582274.6912296712</v>
      </c>
      <c r="AD81" s="63">
        <f>('Baseline System Analysis'!AD42-AD36)</f>
        <v>2808043.5457232594</v>
      </c>
    </row>
    <row r="83" spans="1:30" ht="20" thickBot="1" x14ac:dyDescent="0.5">
      <c r="A83" s="142" t="s">
        <v>74</v>
      </c>
      <c r="B83" s="142"/>
      <c r="C83" s="20">
        <f>NPV('Cost Assumptions'!$B$3,D83:AD83)/1000000</f>
        <v>3632.5531418130581</v>
      </c>
      <c r="D83" s="63">
        <f>SUM(D67,D71,D75,D79,D81)</f>
        <v>75147967.813514277</v>
      </c>
      <c r="E83" s="63">
        <f t="shared" ref="E83:AD83" si="21">SUM(E67,E71,E75,E79,E81)</f>
        <v>103669987.36883382</v>
      </c>
      <c r="F83" s="63">
        <f t="shared" si="21"/>
        <v>133122892.87717547</v>
      </c>
      <c r="G83" s="63">
        <f t="shared" si="21"/>
        <v>164016834.78199223</v>
      </c>
      <c r="H83" s="63">
        <f t="shared" si="21"/>
        <v>196331698.91308668</v>
      </c>
      <c r="I83" s="63">
        <f t="shared" si="21"/>
        <v>228684395.15974703</v>
      </c>
      <c r="J83" s="63">
        <f t="shared" si="21"/>
        <v>265084081.55878621</v>
      </c>
      <c r="K83" s="63">
        <f t="shared" si="21"/>
        <v>303573713.64096642</v>
      </c>
      <c r="L83" s="63">
        <f t="shared" si="21"/>
        <v>345170687.24801296</v>
      </c>
      <c r="M83" s="63">
        <f t="shared" si="21"/>
        <v>383057174.97268862</v>
      </c>
      <c r="N83" s="63">
        <f t="shared" si="21"/>
        <v>427548882.85074335</v>
      </c>
      <c r="O83" s="63">
        <f t="shared" si="21"/>
        <v>474236455.10417449</v>
      </c>
      <c r="P83" s="63">
        <f t="shared" si="21"/>
        <v>525747820.02331376</v>
      </c>
      <c r="Q83" s="63">
        <f t="shared" si="21"/>
        <v>579205754.39463329</v>
      </c>
      <c r="R83" s="63">
        <f t="shared" si="21"/>
        <v>638050061.66287494</v>
      </c>
      <c r="S83" s="63">
        <f t="shared" si="21"/>
        <v>701342885.5693264</v>
      </c>
      <c r="T83" s="63">
        <f t="shared" si="21"/>
        <v>769288187.1747992</v>
      </c>
      <c r="U83" s="63">
        <f t="shared" si="21"/>
        <v>842464058.75009251</v>
      </c>
      <c r="V83" s="63">
        <f t="shared" si="21"/>
        <v>909584683.11067927</v>
      </c>
      <c r="W83" s="63">
        <f t="shared" si="21"/>
        <v>983572873.50055492</v>
      </c>
      <c r="X83" s="63">
        <f t="shared" si="21"/>
        <v>1061082304.6934452</v>
      </c>
      <c r="Y83" s="63">
        <f t="shared" si="21"/>
        <v>1142481223.4752734</v>
      </c>
      <c r="Z83" s="63">
        <f t="shared" si="21"/>
        <v>1227608861.8855066</v>
      </c>
      <c r="AA83" s="63">
        <f t="shared" si="21"/>
        <v>1317745899.7930439</v>
      </c>
      <c r="AB83" s="63">
        <f t="shared" si="21"/>
        <v>1413839327.8624244</v>
      </c>
      <c r="AC83" s="63">
        <f t="shared" si="21"/>
        <v>1508540389.9350905</v>
      </c>
      <c r="AD83" s="63">
        <f t="shared" si="21"/>
        <v>1603616989.3010395</v>
      </c>
    </row>
    <row r="84" spans="1:30" s="62" customFormat="1" ht="20.5" thickTop="1" thickBot="1" x14ac:dyDescent="0.5">
      <c r="A84" s="142" t="s">
        <v>162</v>
      </c>
      <c r="B84" s="142"/>
      <c r="C84" s="20">
        <f>NPV('Cost Assumptions'!$B$3,D84:AD84)/1000000</f>
        <v>3633.3020719380224</v>
      </c>
      <c r="D84" s="63">
        <f>D83+D43</f>
        <v>75193389.813514277</v>
      </c>
      <c r="E84" s="63">
        <f t="shared" ref="E84:AD84" si="22">E83+E43</f>
        <v>103718896.97844921</v>
      </c>
      <c r="F84" s="63">
        <f t="shared" si="22"/>
        <v>133175436.088137</v>
      </c>
      <c r="G84" s="63">
        <f t="shared" si="22"/>
        <v>164073162.70586121</v>
      </c>
      <c r="H84" s="63">
        <f t="shared" si="22"/>
        <v>196391967.94600165</v>
      </c>
      <c r="I84" s="63">
        <f t="shared" si="22"/>
        <v>228748767.15220785</v>
      </c>
      <c r="J84" s="63">
        <f t="shared" si="22"/>
        <v>265152723.99062461</v>
      </c>
      <c r="K84" s="63">
        <f t="shared" si="22"/>
        <v>303646799.80165595</v>
      </c>
      <c r="L84" s="63">
        <f t="shared" si="22"/>
        <v>345248396.42247635</v>
      </c>
      <c r="M84" s="63">
        <f t="shared" si="22"/>
        <v>383139692.63276404</v>
      </c>
      <c r="N84" s="63">
        <f t="shared" si="22"/>
        <v>427636400.85247743</v>
      </c>
      <c r="O84" s="63">
        <f t="shared" si="22"/>
        <v>474329171.89111263</v>
      </c>
      <c r="P84" s="63">
        <f t="shared" si="22"/>
        <v>525845940.83596504</v>
      </c>
      <c r="Q84" s="63">
        <f t="shared" si="22"/>
        <v>579309491.48629153</v>
      </c>
      <c r="R84" s="63">
        <f t="shared" si="22"/>
        <v>638159634.52198267</v>
      </c>
      <c r="S84" s="63">
        <f t="shared" si="22"/>
        <v>701458521.14857364</v>
      </c>
      <c r="T84" s="63">
        <f t="shared" si="22"/>
        <v>769410120.12715614</v>
      </c>
      <c r="U84" s="63">
        <f t="shared" si="22"/>
        <v>842592531.67197752</v>
      </c>
      <c r="V84" s="63">
        <f t="shared" si="22"/>
        <v>909719946.79247355</v>
      </c>
      <c r="W84" s="63">
        <f t="shared" si="22"/>
        <v>983715187.18467772</v>
      </c>
      <c r="X84" s="63">
        <f t="shared" si="22"/>
        <v>1061231936.3402119</v>
      </c>
      <c r="Y84" s="63">
        <f t="shared" si="22"/>
        <v>1142638450.0367634</v>
      </c>
      <c r="Z84" s="63">
        <f t="shared" si="22"/>
        <v>1227773969.5876772</v>
      </c>
      <c r="AA84" s="63">
        <f t="shared" si="22"/>
        <v>1317919184.4263279</v>
      </c>
      <c r="AB84" s="63">
        <f t="shared" si="22"/>
        <v>1414021095.0810637</v>
      </c>
      <c r="AC84" s="63">
        <f t="shared" si="22"/>
        <v>1508730955.5654573</v>
      </c>
      <c r="AD84" s="63">
        <f t="shared" si="22"/>
        <v>1603816679.6592083</v>
      </c>
    </row>
    <row r="85" spans="1:30" ht="15" thickTop="1" x14ac:dyDescent="0.3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</row>
    <row r="86" spans="1:30" ht="20" thickBot="1" x14ac:dyDescent="0.5">
      <c r="A86" s="142" t="s">
        <v>163</v>
      </c>
      <c r="B86" s="142"/>
      <c r="C86" s="20">
        <f>Summary!$D$10</f>
        <v>575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15" thickTop="1" x14ac:dyDescent="0.3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20" thickBot="1" x14ac:dyDescent="0.5">
      <c r="A88" s="142" t="s">
        <v>7</v>
      </c>
      <c r="B88" s="142"/>
      <c r="C88" s="53">
        <f>C84/C86</f>
        <v>6.3187862120661258</v>
      </c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15" thickTop="1" x14ac:dyDescent="0.3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ht="42.65" customHeight="1" thickBot="1" x14ac:dyDescent="0.5">
      <c r="A90" s="170" t="s">
        <v>168</v>
      </c>
      <c r="B90" s="170"/>
      <c r="C90" s="88"/>
      <c r="D90" s="63">
        <v>3072.8851537311793</v>
      </c>
      <c r="E90" s="63">
        <v>3766.4829588813673</v>
      </c>
      <c r="F90" s="63">
        <v>4460.0807640315552</v>
      </c>
      <c r="G90" s="63">
        <v>5153.6785691817431</v>
      </c>
      <c r="H90" s="63">
        <v>5847.276374331931</v>
      </c>
      <c r="I90" s="63">
        <v>6540.874179482119</v>
      </c>
      <c r="J90" s="63">
        <v>7456.1979273020434</v>
      </c>
      <c r="K90" s="63">
        <v>8371.5216751219687</v>
      </c>
      <c r="L90" s="63">
        <v>9286.845422941893</v>
      </c>
      <c r="M90" s="63">
        <v>10202.169170761817</v>
      </c>
      <c r="N90" s="63">
        <v>11117.492918581742</v>
      </c>
      <c r="O90" s="63">
        <v>12072.008607245149</v>
      </c>
      <c r="P90" s="63">
        <v>13026.524295908555</v>
      </c>
      <c r="Q90" s="63">
        <v>13981.039984571962</v>
      </c>
      <c r="R90" s="63">
        <v>14935.555673235369</v>
      </c>
      <c r="S90" s="63">
        <v>15890.071361898777</v>
      </c>
      <c r="T90" s="63">
        <v>16646.573096929758</v>
      </c>
      <c r="U90" s="63">
        <v>17403.074831960741</v>
      </c>
      <c r="V90" s="63">
        <v>18159.576566991724</v>
      </c>
      <c r="W90" s="63">
        <v>18916.078302022706</v>
      </c>
      <c r="X90" s="63">
        <v>19672.580037053689</v>
      </c>
      <c r="Y90" s="63">
        <v>19901.555206846089</v>
      </c>
      <c r="Z90" s="63">
        <v>20130.53037663849</v>
      </c>
      <c r="AA90" s="63">
        <v>20359.50554643089</v>
      </c>
      <c r="AB90" s="63">
        <v>20588.48071622329</v>
      </c>
      <c r="AC90" s="63">
        <v>20817.45588601569</v>
      </c>
      <c r="AD90" s="63">
        <v>21046.431055808098</v>
      </c>
    </row>
    <row r="91" spans="1:30" ht="15" thickTop="1" x14ac:dyDescent="0.35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</row>
    <row r="94" spans="1:30" x14ac:dyDescent="0.35">
      <c r="A94" s="88"/>
      <c r="B94" s="88"/>
      <c r="C94" s="7">
        <v>21.683800000000002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  <row r="95" spans="1:30" x14ac:dyDescent="0.35">
      <c r="A95" s="88"/>
      <c r="B95" s="88"/>
      <c r="C95" s="7">
        <v>510.72246357329499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</row>
    <row r="96" spans="1:30" x14ac:dyDescent="0.35">
      <c r="A96" s="88"/>
      <c r="B96" s="88"/>
      <c r="C96" s="7">
        <v>0</v>
      </c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</row>
    <row r="97" spans="3:3" x14ac:dyDescent="0.35">
      <c r="C97" s="7">
        <v>55.025367996180833</v>
      </c>
    </row>
    <row r="98" spans="3:3" x14ac:dyDescent="0.35">
      <c r="C98" s="7">
        <v>56.580700000000007</v>
      </c>
    </row>
  </sheetData>
  <mergeCells count="9">
    <mergeCell ref="B18:B31"/>
    <mergeCell ref="B2:B15"/>
    <mergeCell ref="A90:B90"/>
    <mergeCell ref="B40:AD40"/>
    <mergeCell ref="A58:AD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97"/>
  <sheetViews>
    <sheetView zoomScale="85" zoomScaleNormal="85" workbookViewId="0"/>
  </sheetViews>
  <sheetFormatPr defaultRowHeight="14.5" x14ac:dyDescent="0.35"/>
  <cols>
    <col min="1" max="1" width="18.1796875" customWidth="1"/>
    <col min="2" max="2" width="26.7265625" bestFit="1" customWidth="1"/>
    <col min="3" max="3" width="22.81640625" customWidth="1"/>
    <col min="4" max="4" width="14" bestFit="1" customWidth="1"/>
    <col min="5" max="10" width="14.81640625" bestFit="1" customWidth="1"/>
    <col min="11" max="11" width="13" bestFit="1" customWidth="1"/>
    <col min="12" max="28" width="13.81640625" bestFit="1" customWidth="1"/>
    <col min="29" max="30" width="14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8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9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9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9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9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9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9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9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9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9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9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9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9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9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6" spans="1:30" s="62" customFormat="1" x14ac:dyDescent="0.35">
      <c r="A16" s="88"/>
      <c r="B16" s="88"/>
      <c r="C16" s="88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1:30" ht="15" customHeight="1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49.75" customHeight="1" thickTop="1" x14ac:dyDescent="0.35">
      <c r="A18" s="88"/>
      <c r="B18" s="168" t="s">
        <v>16</v>
      </c>
      <c r="C18" s="88" t="s">
        <v>120</v>
      </c>
      <c r="D18" s="63">
        <v>48453.299999999697</v>
      </c>
      <c r="E18" s="63">
        <v>48868.542307692027</v>
      </c>
      <c r="F18" s="63">
        <v>49283.784615384357</v>
      </c>
      <c r="G18" s="63">
        <v>49699.026923076686</v>
      </c>
      <c r="H18" s="63">
        <v>50114.269230769016</v>
      </c>
      <c r="I18" s="63">
        <v>50529.511538461345</v>
      </c>
      <c r="J18" s="63">
        <v>50944.753846153675</v>
      </c>
      <c r="K18" s="63">
        <f>J18+($AD18-$J18)/(COLUMN($AD18)-COLUMN($J18))</f>
        <v>51355.213653846004</v>
      </c>
      <c r="L18" s="63">
        <f t="shared" ref="L18:AC18" si="0">K18+($AD18-$J18)/(COLUMN($AD18)-COLUMN($J18))</f>
        <v>51765.673461538332</v>
      </c>
      <c r="M18" s="63">
        <f t="shared" si="0"/>
        <v>52176.133269230661</v>
      </c>
      <c r="N18" s="63">
        <f t="shared" si="0"/>
        <v>52586.593076922989</v>
      </c>
      <c r="O18" s="63">
        <f t="shared" si="0"/>
        <v>52997.052884615317</v>
      </c>
      <c r="P18" s="63">
        <f t="shared" si="0"/>
        <v>53407.512692307646</v>
      </c>
      <c r="Q18" s="63">
        <f t="shared" si="0"/>
        <v>53817.972499999974</v>
      </c>
      <c r="R18" s="63">
        <f t="shared" si="0"/>
        <v>54228.432307692303</v>
      </c>
      <c r="S18" s="63">
        <f t="shared" si="0"/>
        <v>54638.892115384631</v>
      </c>
      <c r="T18" s="63">
        <f t="shared" si="0"/>
        <v>55049.35192307696</v>
      </c>
      <c r="U18" s="63">
        <f t="shared" si="0"/>
        <v>55459.811730769288</v>
      </c>
      <c r="V18" s="63">
        <f t="shared" si="0"/>
        <v>55870.271538461617</v>
      </c>
      <c r="W18" s="63">
        <f t="shared" si="0"/>
        <v>56280.731346153945</v>
      </c>
      <c r="X18" s="63">
        <f t="shared" si="0"/>
        <v>56691.191153846274</v>
      </c>
      <c r="Y18" s="63">
        <f t="shared" si="0"/>
        <v>57101.650961538602</v>
      </c>
      <c r="Z18" s="63">
        <f t="shared" si="0"/>
        <v>57512.110769230931</v>
      </c>
      <c r="AA18" s="63">
        <f t="shared" si="0"/>
        <v>57922.570576923259</v>
      </c>
      <c r="AB18" s="63">
        <f t="shared" si="0"/>
        <v>58333.030384615588</v>
      </c>
      <c r="AC18" s="63">
        <f t="shared" si="0"/>
        <v>58743.490192307916</v>
      </c>
      <c r="AD18" s="63">
        <v>59153.950000000201</v>
      </c>
    </row>
    <row r="19" spans="1:30" x14ac:dyDescent="0.35">
      <c r="A19" s="88" t="s">
        <v>30</v>
      </c>
      <c r="B19" s="169"/>
      <c r="C19" s="88" t="s">
        <v>31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24.400000000000006</v>
      </c>
      <c r="K19" s="63">
        <f>J19+($O19-$J19)/(COLUMN($O19)-COLUMN($J19))</f>
        <v>34.240000000000009</v>
      </c>
      <c r="L19" s="63">
        <f>K19+($O19-$J19)/(COLUMN($O19)-COLUMN($J19))</f>
        <v>44.080000000000013</v>
      </c>
      <c r="M19" s="63">
        <f t="shared" ref="M19:N19" si="1">L19+($O19-$J19)/(COLUMN($O19)-COLUMN($J19))</f>
        <v>53.920000000000016</v>
      </c>
      <c r="N19" s="63">
        <f t="shared" si="1"/>
        <v>63.760000000000019</v>
      </c>
      <c r="O19" s="63">
        <v>73.600000000000023</v>
      </c>
      <c r="P19" s="63">
        <f>O19+($T19-$O19)/(COLUMN($T19)-COLUMN($O19))</f>
        <v>87.460000000000008</v>
      </c>
      <c r="Q19" s="63">
        <f t="shared" ref="Q19:S19" si="2">P19+($T19-$O19)/(COLUMN($T19)-COLUMN($O19))</f>
        <v>101.32</v>
      </c>
      <c r="R19" s="63">
        <f t="shared" si="2"/>
        <v>115.17999999999998</v>
      </c>
      <c r="S19" s="63">
        <f t="shared" si="2"/>
        <v>129.03999999999996</v>
      </c>
      <c r="T19" s="63">
        <v>142.89999999999992</v>
      </c>
      <c r="U19" s="63">
        <f>T19+($Y19-$T19)/(COLUMN($Y19)-COLUMN($T19))</f>
        <v>170.43999999999994</v>
      </c>
      <c r="V19" s="63">
        <f t="shared" ref="V19:X19" si="3">U19+($Y19-$T19)/(COLUMN($Y19)-COLUMN($T19))</f>
        <v>197.97999999999996</v>
      </c>
      <c r="W19" s="63">
        <f t="shared" si="3"/>
        <v>225.51999999999998</v>
      </c>
      <c r="X19" s="63">
        <f t="shared" si="3"/>
        <v>253.06</v>
      </c>
      <c r="Y19" s="63">
        <v>280.60000000000002</v>
      </c>
      <c r="Z19" s="63">
        <f>Y19+($AD19-$Y19)/(COLUMN($AD19)-COLUMN($Y19))</f>
        <v>273.24</v>
      </c>
      <c r="AA19" s="63">
        <f t="shared" ref="AA19:AC19" si="4">Z19+($AD19-$Y19)/(COLUMN($AD19)-COLUMN($Y19))</f>
        <v>265.88</v>
      </c>
      <c r="AB19" s="63">
        <f t="shared" si="4"/>
        <v>258.52</v>
      </c>
      <c r="AC19" s="63">
        <f t="shared" si="4"/>
        <v>251.15999999999997</v>
      </c>
      <c r="AD19" s="63">
        <v>243.79999999999993</v>
      </c>
    </row>
    <row r="20" spans="1:30" x14ac:dyDescent="0.35">
      <c r="A20" s="88" t="s">
        <v>30</v>
      </c>
      <c r="B20" s="169"/>
      <c r="C20" s="88" t="s">
        <v>32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10</v>
      </c>
      <c r="K20" s="63">
        <f t="shared" ref="K20:N20" si="5">J20+($O20-$J20)/(COLUMN($O20)-COLUMN($J20))</f>
        <v>10.660000000000002</v>
      </c>
      <c r="L20" s="63">
        <f t="shared" si="5"/>
        <v>11.320000000000004</v>
      </c>
      <c r="M20" s="63">
        <f t="shared" si="5"/>
        <v>11.980000000000006</v>
      </c>
      <c r="N20" s="63">
        <f t="shared" si="5"/>
        <v>12.640000000000008</v>
      </c>
      <c r="O20" s="63">
        <v>13.300000000000011</v>
      </c>
      <c r="P20" s="63">
        <f t="shared" ref="P20:S20" si="6">O20+($T20-$O20)/(COLUMN($T20)-COLUMN($O20))</f>
        <v>13.660000000000014</v>
      </c>
      <c r="Q20" s="63">
        <f t="shared" si="6"/>
        <v>14.020000000000017</v>
      </c>
      <c r="R20" s="63">
        <f t="shared" si="6"/>
        <v>14.38000000000002</v>
      </c>
      <c r="S20" s="63">
        <f t="shared" si="6"/>
        <v>14.740000000000023</v>
      </c>
      <c r="T20" s="63">
        <v>15.100000000000023</v>
      </c>
      <c r="U20" s="63">
        <f t="shared" ref="U20:X20" si="7">T20+($Y20-$T20)/(COLUMN($Y20)-COLUMN($T20))</f>
        <v>18.120000000000026</v>
      </c>
      <c r="V20" s="63">
        <f t="shared" si="7"/>
        <v>21.140000000000029</v>
      </c>
      <c r="W20" s="63">
        <f t="shared" si="7"/>
        <v>24.160000000000032</v>
      </c>
      <c r="X20" s="63">
        <f t="shared" si="7"/>
        <v>27.180000000000035</v>
      </c>
      <c r="Y20" s="63">
        <v>30.200000000000045</v>
      </c>
      <c r="Z20" s="63">
        <f t="shared" ref="Z20:AC20" si="8">Y20+($AD20-$Y20)/(COLUMN($AD20)-COLUMN($Y20))</f>
        <v>29.640000000000033</v>
      </c>
      <c r="AA20" s="63">
        <f t="shared" si="8"/>
        <v>29.08000000000002</v>
      </c>
      <c r="AB20" s="63">
        <f t="shared" si="8"/>
        <v>28.520000000000007</v>
      </c>
      <c r="AC20" s="63">
        <f t="shared" si="8"/>
        <v>27.959999999999994</v>
      </c>
      <c r="AD20" s="63">
        <v>27.399999999999977</v>
      </c>
    </row>
    <row r="21" spans="1:30" x14ac:dyDescent="0.35">
      <c r="A21" s="88" t="s">
        <v>30</v>
      </c>
      <c r="B21" s="169"/>
      <c r="C21" s="88" t="s">
        <v>33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0.12570028158781968</v>
      </c>
      <c r="K21" s="63">
        <f t="shared" ref="K21:N21" si="9">J21+($O21-$J21)/(COLUMN($O21)-COLUMN($J21))</f>
        <v>0.28255774772658748</v>
      </c>
      <c r="L21" s="63">
        <f t="shared" si="9"/>
        <v>0.43941521386535531</v>
      </c>
      <c r="M21" s="63">
        <f t="shared" si="9"/>
        <v>0.59627268000412315</v>
      </c>
      <c r="N21" s="63">
        <f t="shared" si="9"/>
        <v>0.75313014614289098</v>
      </c>
      <c r="O21" s="63">
        <v>0.9099876122816587</v>
      </c>
      <c r="P21" s="63">
        <f t="shared" ref="P21:S21" si="10">O21+($T21-$O21)/(COLUMN($T21)-COLUMN($O21))</f>
        <v>1.5819483470844795</v>
      </c>
      <c r="Q21" s="63">
        <f t="shared" si="10"/>
        <v>2.2539090818873007</v>
      </c>
      <c r="R21" s="63">
        <f t="shared" si="10"/>
        <v>2.9258698166901214</v>
      </c>
      <c r="S21" s="63">
        <f t="shared" si="10"/>
        <v>3.5978305514929421</v>
      </c>
      <c r="T21" s="63">
        <v>4.2697912862957637</v>
      </c>
      <c r="U21" s="63">
        <f t="shared" ref="U21:X21" si="11">T21+($Y21-$T21)/(COLUMN($Y21)-COLUMN($T21))</f>
        <v>5.8601954970776147</v>
      </c>
      <c r="V21" s="63">
        <f t="shared" si="11"/>
        <v>7.4505997078594657</v>
      </c>
      <c r="W21" s="63">
        <f t="shared" si="11"/>
        <v>9.0410039186413176</v>
      </c>
      <c r="X21" s="63">
        <f t="shared" si="11"/>
        <v>10.631408129423169</v>
      </c>
      <c r="Y21" s="63">
        <v>12.22181234020502</v>
      </c>
      <c r="Z21" s="63">
        <f t="shared" ref="Z21:AC21" si="12">Y21+($AD21-$Y21)/(COLUMN($AD21)-COLUMN($Y21))</f>
        <v>12.573641241504497</v>
      </c>
      <c r="AA21" s="63">
        <f t="shared" si="12"/>
        <v>12.925470142803974</v>
      </c>
      <c r="AB21" s="63">
        <f t="shared" si="12"/>
        <v>13.277299044103451</v>
      </c>
      <c r="AC21" s="63">
        <f t="shared" si="12"/>
        <v>13.629127945402928</v>
      </c>
      <c r="AD21" s="63">
        <v>13.980956846702407</v>
      </c>
    </row>
    <row r="22" spans="1:30" x14ac:dyDescent="0.35">
      <c r="A22" s="88" t="s">
        <v>30</v>
      </c>
      <c r="B22" s="169"/>
      <c r="C22" s="88" t="s">
        <v>34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2.5140056317563938E-2</v>
      </c>
      <c r="K22" s="63">
        <f t="shared" ref="K22:N22" si="13">J22+($O22-$J22)/(COLUMN($O22)-COLUMN($J22))</f>
        <v>3.5278505258745457E-2</v>
      </c>
      <c r="L22" s="63">
        <f t="shared" si="13"/>
        <v>4.541695419992698E-2</v>
      </c>
      <c r="M22" s="63">
        <f t="shared" si="13"/>
        <v>5.5555403141108503E-2</v>
      </c>
      <c r="N22" s="63">
        <f t="shared" si="13"/>
        <v>6.5693852082290019E-2</v>
      </c>
      <c r="O22" s="63">
        <v>7.5832301023471549E-2</v>
      </c>
      <c r="P22" s="63">
        <f t="shared" ref="P22:S22" si="14">O22+($T22-$O22)/(COLUMN($T22)-COLUMN($O22))</f>
        <v>9.01126772759894E-2</v>
      </c>
      <c r="Q22" s="63">
        <f t="shared" si="14"/>
        <v>0.10439305352850725</v>
      </c>
      <c r="R22" s="63">
        <f t="shared" si="14"/>
        <v>0.1186734297810251</v>
      </c>
      <c r="S22" s="63">
        <f t="shared" si="14"/>
        <v>0.13295380603354295</v>
      </c>
      <c r="T22" s="63">
        <v>0.14723418228606081</v>
      </c>
      <c r="U22" s="63">
        <f t="shared" ref="U22:X22" si="15">T22+($Y22-$T22)/(COLUMN($Y22)-COLUMN($T22))</f>
        <v>0.1757366931036726</v>
      </c>
      <c r="V22" s="63">
        <f t="shared" si="15"/>
        <v>0.20423920392128439</v>
      </c>
      <c r="W22" s="63">
        <f t="shared" si="15"/>
        <v>0.23274171473889618</v>
      </c>
      <c r="X22" s="63">
        <f t="shared" si="15"/>
        <v>0.26124422555650795</v>
      </c>
      <c r="Y22" s="63">
        <v>0.28974673637411974</v>
      </c>
      <c r="Z22" s="63">
        <f t="shared" ref="Z22:AC22" si="16">Y22+($AD22-$Y22)/(COLUMN($AD22)-COLUMN($Y22))</f>
        <v>0.28240469824435266</v>
      </c>
      <c r="AA22" s="63">
        <f t="shared" si="16"/>
        <v>0.27506266011458558</v>
      </c>
      <c r="AB22" s="63">
        <f t="shared" si="16"/>
        <v>0.2677206219848185</v>
      </c>
      <c r="AC22" s="63">
        <f t="shared" si="16"/>
        <v>0.26037858385505142</v>
      </c>
      <c r="AD22" s="63">
        <v>0.25303654572528428</v>
      </c>
    </row>
    <row r="23" spans="1:30" x14ac:dyDescent="0.35">
      <c r="A23" s="88" t="s">
        <v>30</v>
      </c>
      <c r="B23" s="169"/>
      <c r="C23" s="88" t="s">
        <v>35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5</v>
      </c>
      <c r="K23" s="63">
        <f t="shared" ref="K23:N23" si="17">J23+($O23-$J23)/(COLUMN($O23)-COLUMN($J23))</f>
        <v>6.4</v>
      </c>
      <c r="L23" s="63">
        <f t="shared" si="17"/>
        <v>7.8000000000000007</v>
      </c>
      <c r="M23" s="63">
        <f t="shared" si="17"/>
        <v>9.2000000000000011</v>
      </c>
      <c r="N23" s="63">
        <f t="shared" si="17"/>
        <v>10.600000000000001</v>
      </c>
      <c r="O23" s="63">
        <v>12</v>
      </c>
      <c r="P23" s="63">
        <f t="shared" ref="P23:S23" si="18">O23+($T23-$O23)/(COLUMN($T23)-COLUMN($O23))</f>
        <v>15.4</v>
      </c>
      <c r="Q23" s="63">
        <f t="shared" si="18"/>
        <v>18.8</v>
      </c>
      <c r="R23" s="63">
        <f t="shared" si="18"/>
        <v>22.2</v>
      </c>
      <c r="S23" s="63">
        <f t="shared" si="18"/>
        <v>25.599999999999998</v>
      </c>
      <c r="T23" s="63">
        <v>29</v>
      </c>
      <c r="U23" s="63">
        <f t="shared" ref="U23:X23" si="19">T23+($Y23-$T23)/(COLUMN($Y23)-COLUMN($T23))</f>
        <v>31.8</v>
      </c>
      <c r="V23" s="63">
        <f t="shared" si="19"/>
        <v>34.6</v>
      </c>
      <c r="W23" s="63">
        <f t="shared" si="19"/>
        <v>37.4</v>
      </c>
      <c r="X23" s="63">
        <f t="shared" si="19"/>
        <v>40.199999999999996</v>
      </c>
      <c r="Y23" s="63">
        <v>43</v>
      </c>
      <c r="Z23" s="63">
        <f t="shared" ref="Z23:AC23" si="20">Y23+($AD23-$Y23)/(COLUMN($AD23)-COLUMN($Y23))</f>
        <v>46.2</v>
      </c>
      <c r="AA23" s="63">
        <f t="shared" si="20"/>
        <v>49.400000000000006</v>
      </c>
      <c r="AB23" s="63">
        <f t="shared" si="20"/>
        <v>52.600000000000009</v>
      </c>
      <c r="AC23" s="63">
        <f t="shared" si="20"/>
        <v>55.800000000000011</v>
      </c>
      <c r="AD23" s="63">
        <v>59</v>
      </c>
    </row>
    <row r="24" spans="1:30" x14ac:dyDescent="0.35">
      <c r="A24" s="88" t="s">
        <v>30</v>
      </c>
      <c r="B24" s="169"/>
      <c r="C24" s="88" t="s">
        <v>121</v>
      </c>
      <c r="D24" s="63">
        <v>2180.0835094911145</v>
      </c>
      <c r="E24" s="63">
        <v>2898.8486978724959</v>
      </c>
      <c r="F24" s="63">
        <v>3617.6138862538755</v>
      </c>
      <c r="G24" s="63">
        <v>4336.3790746352552</v>
      </c>
      <c r="H24" s="63">
        <v>5055.1442630166348</v>
      </c>
      <c r="I24" s="63">
        <v>5773.9094513980144</v>
      </c>
      <c r="J24" s="63">
        <v>6492.6746397793941</v>
      </c>
      <c r="K24" s="63">
        <v>7211.4398281607755</v>
      </c>
      <c r="L24" s="63">
        <v>7930.2050165421551</v>
      </c>
      <c r="M24" s="63">
        <v>8450.86370137841</v>
      </c>
      <c r="N24" s="63">
        <v>9032.4782334593201</v>
      </c>
      <c r="O24" s="63">
        <v>9614.0927655402302</v>
      </c>
      <c r="P24" s="63">
        <v>10195.707297621138</v>
      </c>
      <c r="Q24" s="63">
        <v>10777.321829702047</v>
      </c>
      <c r="R24" s="63">
        <v>11358.936361782955</v>
      </c>
      <c r="S24" s="63">
        <v>11940.550893863863</v>
      </c>
      <c r="T24" s="63">
        <v>12522.165425944771</v>
      </c>
      <c r="U24" s="63">
        <v>13103.779958025683</v>
      </c>
      <c r="V24" s="63">
        <v>13685.394490106595</v>
      </c>
      <c r="W24" s="63">
        <v>14267.009022187507</v>
      </c>
      <c r="X24" s="63">
        <v>14848.623554268419</v>
      </c>
      <c r="Y24" s="63">
        <v>15430.238086349331</v>
      </c>
      <c r="Z24" s="63">
        <v>16011.852618430243</v>
      </c>
      <c r="AA24" s="63">
        <v>16593.467150511155</v>
      </c>
      <c r="AB24" s="63">
        <v>17175.081682592066</v>
      </c>
      <c r="AC24" s="63">
        <v>17756.696214672978</v>
      </c>
      <c r="AD24" s="63">
        <v>17302.061343594774</v>
      </c>
    </row>
    <row r="25" spans="1:30" x14ac:dyDescent="0.35">
      <c r="A25" s="88" t="s">
        <v>30</v>
      </c>
      <c r="B25" s="169"/>
      <c r="C25" s="88" t="s">
        <v>122</v>
      </c>
      <c r="D25" s="63">
        <v>139482.77680371277</v>
      </c>
      <c r="E25" s="63">
        <v>141661.07387414237</v>
      </c>
      <c r="F25" s="63">
        <v>142695.39803724739</v>
      </c>
      <c r="G25" s="63">
        <v>143758.23926917702</v>
      </c>
      <c r="H25" s="63">
        <v>144876.06430300316</v>
      </c>
      <c r="I25" s="63">
        <v>146157.60381672592</v>
      </c>
      <c r="J25" s="63">
        <v>147438.92070630915</v>
      </c>
      <c r="K25" s="63">
        <v>149022.84807733318</v>
      </c>
      <c r="L25" s="63">
        <v>150634.15730357741</v>
      </c>
      <c r="M25" s="63">
        <v>152318.80301519096</v>
      </c>
      <c r="N25" s="63">
        <v>154025.56481109976</v>
      </c>
      <c r="O25" s="63">
        <v>155755.05437378879</v>
      </c>
      <c r="P25" s="63">
        <v>157510.13556845629</v>
      </c>
      <c r="Q25" s="63">
        <v>159223.97987594476</v>
      </c>
      <c r="R25" s="63">
        <v>160952.81329554354</v>
      </c>
      <c r="S25" s="63">
        <v>162692.92868944438</v>
      </c>
      <c r="T25" s="63">
        <v>164452.81054665314</v>
      </c>
      <c r="U25" s="63">
        <v>166064.75346248405</v>
      </c>
      <c r="V25" s="63">
        <v>167672.31977376982</v>
      </c>
      <c r="W25" s="63">
        <v>169270.55917001388</v>
      </c>
      <c r="X25" s="63">
        <v>170870.06387020877</v>
      </c>
      <c r="Y25" s="63">
        <v>172235.24672820666</v>
      </c>
      <c r="Z25" s="63">
        <v>173567.29900135833</v>
      </c>
      <c r="AA25" s="63">
        <v>174856.22081746548</v>
      </c>
      <c r="AB25" s="63">
        <v>176110.38930241938</v>
      </c>
      <c r="AC25" s="63">
        <v>177059.66175021513</v>
      </c>
      <c r="AD25" s="63">
        <v>177925.17129618154</v>
      </c>
    </row>
    <row r="26" spans="1:30" s="82" customFormat="1" x14ac:dyDescent="0.35">
      <c r="A26" s="88" t="s">
        <v>30</v>
      </c>
      <c r="B26" s="169"/>
      <c r="C26" s="88" t="s">
        <v>123</v>
      </c>
      <c r="D26" s="63">
        <v>18207.50985422064</v>
      </c>
      <c r="E26" s="63">
        <v>20177.88620599392</v>
      </c>
      <c r="F26" s="63">
        <v>21154.98497198613</v>
      </c>
      <c r="G26" s="63">
        <v>22187.794001180777</v>
      </c>
      <c r="H26" s="63">
        <v>23306.049462374769</v>
      </c>
      <c r="I26" s="63">
        <v>24628.621247964646</v>
      </c>
      <c r="J26" s="63">
        <v>25977.719180346361</v>
      </c>
      <c r="K26" s="63">
        <v>27718.015544212965</v>
      </c>
      <c r="L26" s="63">
        <v>29564.03640350197</v>
      </c>
      <c r="M26" s="63">
        <v>31547.824075071028</v>
      </c>
      <c r="N26" s="63">
        <v>33624.141341979695</v>
      </c>
      <c r="O26" s="63">
        <v>35786.258055167629</v>
      </c>
      <c r="P26" s="63">
        <v>38068.606657417797</v>
      </c>
      <c r="Q26" s="63">
        <v>40360.448325667814</v>
      </c>
      <c r="R26" s="63">
        <v>42747.961751533774</v>
      </c>
      <c r="S26" s="63">
        <v>45229.51040734753</v>
      </c>
      <c r="T26" s="63">
        <v>47823.061687779002</v>
      </c>
      <c r="U26" s="63">
        <v>50258.759528615105</v>
      </c>
      <c r="V26" s="63">
        <v>52732.508131920498</v>
      </c>
      <c r="W26" s="63">
        <v>55275.091261205584</v>
      </c>
      <c r="X26" s="63">
        <v>57883.660008354302</v>
      </c>
      <c r="Y26" s="63">
        <v>60169.624621373456</v>
      </c>
      <c r="Z26" s="63">
        <v>62452.878239699668</v>
      </c>
      <c r="AA26" s="63">
        <v>64731.517638623562</v>
      </c>
      <c r="AB26" s="63">
        <v>66984.826624762456</v>
      </c>
      <c r="AC26" s="63">
        <v>68722.748622852785</v>
      </c>
      <c r="AD26" s="63">
        <v>70326.370134328929</v>
      </c>
    </row>
    <row r="27" spans="1:30" x14ac:dyDescent="0.35">
      <c r="A27" s="88" t="s">
        <v>39</v>
      </c>
      <c r="B27" s="169"/>
      <c r="C27" s="88" t="s">
        <v>31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</row>
    <row r="28" spans="1:30" x14ac:dyDescent="0.35">
      <c r="A28" s="88" t="s">
        <v>39</v>
      </c>
      <c r="B28" s="169"/>
      <c r="C28" s="88" t="s">
        <v>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</row>
    <row r="29" spans="1:30" x14ac:dyDescent="0.35">
      <c r="A29" s="88" t="s">
        <v>39</v>
      </c>
      <c r="B29" s="169"/>
      <c r="C29" s="88" t="s">
        <v>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</row>
    <row r="30" spans="1:30" x14ac:dyDescent="0.35">
      <c r="A30" s="88" t="s">
        <v>39</v>
      </c>
      <c r="B30" s="169"/>
      <c r="C30" s="88" t="s">
        <v>34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</row>
    <row r="31" spans="1:30" x14ac:dyDescent="0.35">
      <c r="A31" s="88" t="s">
        <v>39</v>
      </c>
      <c r="B31" s="169"/>
      <c r="C31" s="88" t="s">
        <v>35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</row>
    <row r="32" spans="1:30" x14ac:dyDescent="0.35">
      <c r="A32" s="88" t="s">
        <v>143</v>
      </c>
      <c r="B32" s="88" t="s">
        <v>124</v>
      </c>
      <c r="C32" s="88" t="s">
        <v>144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</row>
    <row r="33" spans="1:30" x14ac:dyDescent="0.35">
      <c r="A33" s="88" t="s">
        <v>143</v>
      </c>
      <c r="B33" s="88" t="s">
        <v>145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</row>
    <row r="34" spans="1:30" x14ac:dyDescent="0.35">
      <c r="A34" s="88" t="s">
        <v>146</v>
      </c>
      <c r="B34" s="88" t="s">
        <v>124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6193.5151440193222</v>
      </c>
      <c r="K34" s="63">
        <f>J34+($O$34-$J$34)/(COLUMN($O$34)-COLUMN($J$34))</f>
        <v>9182.2235175482092</v>
      </c>
      <c r="L34" s="63">
        <f t="shared" ref="L34:N35" si="21">K34+($O$34-$J$34)/(COLUMN($O$34)-COLUMN($J$34))</f>
        <v>12170.931891077096</v>
      </c>
      <c r="M34" s="63">
        <f t="shared" si="21"/>
        <v>15159.640264605983</v>
      </c>
      <c r="N34" s="63">
        <f t="shared" si="21"/>
        <v>18148.34863813487</v>
      </c>
      <c r="O34" s="63">
        <v>21137.057011663761</v>
      </c>
      <c r="P34" s="63">
        <f>O34+($T$34-$O$34)/(COLUMN($T$34)-COLUMN($O$34))</f>
        <v>26196.064200675548</v>
      </c>
      <c r="Q34" s="63">
        <f t="shared" ref="Q34:S35" si="22">P34+($T$34-$O$34)/(COLUMN($T$34)-COLUMN($O$34))</f>
        <v>31255.071389687335</v>
      </c>
      <c r="R34" s="63">
        <f t="shared" si="22"/>
        <v>36314.078578699118</v>
      </c>
      <c r="S34" s="63">
        <f t="shared" si="22"/>
        <v>41373.085767710902</v>
      </c>
      <c r="T34" s="63">
        <v>46432.092956722692</v>
      </c>
      <c r="U34" s="63">
        <f>T34+($Y$34-$T$34)/(COLUMN($Y$34)-COLUMN($T$34))</f>
        <v>57573.297761295922</v>
      </c>
      <c r="V34" s="63">
        <f t="shared" ref="V34:W34" si="23">U34+($Y$34-$T$34)/(COLUMN($Y$34)-COLUMN($T$34))</f>
        <v>68714.502565869159</v>
      </c>
      <c r="W34" s="63">
        <f t="shared" si="23"/>
        <v>79855.707370442396</v>
      </c>
      <c r="X34" s="63">
        <f>W34+($Y$34-$T$34)/(COLUMN($Y$34)-COLUMN($T$34))</f>
        <v>90996.912175015634</v>
      </c>
      <c r="Y34" s="63">
        <v>102138.11697958884</v>
      </c>
      <c r="Z34" s="63">
        <f>Y34+($AD$34-$Y$34)/(COLUMN($AD$34)-COLUMN($Y$34))</f>
        <v>102254.08046023735</v>
      </c>
      <c r="AA34" s="63">
        <f t="shared" ref="AA34:AC34" si="24">Z34+($AD$34-$Y$34)/(COLUMN($AD$34)-COLUMN($Y$34))</f>
        <v>102370.04394088587</v>
      </c>
      <c r="AB34" s="63">
        <f t="shared" si="24"/>
        <v>102486.00742153438</v>
      </c>
      <c r="AC34" s="63">
        <f t="shared" si="24"/>
        <v>102601.97090218289</v>
      </c>
      <c r="AD34" s="63">
        <v>102717.93438283142</v>
      </c>
    </row>
    <row r="35" spans="1:30" x14ac:dyDescent="0.35">
      <c r="A35" s="88" t="s">
        <v>146</v>
      </c>
      <c r="B35" s="88" t="s">
        <v>145</v>
      </c>
      <c r="C35" s="88" t="s">
        <v>144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25699.903321458652</v>
      </c>
      <c r="K35" s="63">
        <f>J35+($O$34-$J$34)/(COLUMN($O$34)-COLUMN($J$34))</f>
        <v>28688.61169498754</v>
      </c>
      <c r="L35" s="63">
        <f t="shared" si="21"/>
        <v>31677.320068516427</v>
      </c>
      <c r="M35" s="63">
        <f t="shared" si="21"/>
        <v>34666.028442045317</v>
      </c>
      <c r="N35" s="63">
        <f t="shared" si="21"/>
        <v>37654.736815574208</v>
      </c>
      <c r="O35" s="63">
        <v>87707.918535481615</v>
      </c>
      <c r="P35" s="63">
        <f>O35+($T$35-$O$35)/(COLUMN($T$35)-COLUMN($O$35))</f>
        <v>108700.19717481219</v>
      </c>
      <c r="Q35" s="63">
        <f t="shared" si="22"/>
        <v>113759.20436382397</v>
      </c>
      <c r="R35" s="63">
        <f t="shared" si="22"/>
        <v>118818.21155283575</v>
      </c>
      <c r="S35" s="63">
        <f t="shared" si="22"/>
        <v>123877.21874184754</v>
      </c>
      <c r="T35" s="63">
        <v>192669.31173213446</v>
      </c>
      <c r="U35" s="63">
        <f>T35+($Y$35-$T$35)/(COLUMN($Y$35)-COLUMN($T$35))</f>
        <v>238899.58318607465</v>
      </c>
      <c r="V35" s="63">
        <f t="shared" ref="V35:W35" si="25">U35+($Y$35-$T$35)/(COLUMN($Y$35)-COLUMN($T$35))</f>
        <v>285129.85464001482</v>
      </c>
      <c r="W35" s="63">
        <f t="shared" si="25"/>
        <v>331360.12609395501</v>
      </c>
      <c r="X35" s="63">
        <f>W35+($Y$35-$T$35)/(COLUMN($Y$35)-COLUMN($T$35))</f>
        <v>377590.39754789521</v>
      </c>
      <c r="Y35" s="63">
        <v>423820.6690018354</v>
      </c>
      <c r="Z35" s="63">
        <f>Y35+($AD$35-$Y$35)/(COLUMN($AD$35)-COLUMN($Y$35))</f>
        <v>424301.8578214614</v>
      </c>
      <c r="AA35" s="63">
        <f t="shared" ref="AA35:AB35" si="26">Z35+($AD$35-$Y$35)/(COLUMN($AD$35)-COLUMN($Y$35))</f>
        <v>424783.04664108739</v>
      </c>
      <c r="AB35" s="63">
        <f t="shared" si="26"/>
        <v>425264.23546071339</v>
      </c>
      <c r="AC35" s="63">
        <f>AB35+($AD$35-$Y$35)/(COLUMN($AD$35)-COLUMN($Y$35))</f>
        <v>425745.42428033939</v>
      </c>
      <c r="AD35" s="63">
        <v>426226.61309996544</v>
      </c>
    </row>
    <row r="36" spans="1:30" ht="29" x14ac:dyDescent="0.35">
      <c r="A36" s="3" t="s">
        <v>147</v>
      </c>
      <c r="B36" s="3" t="s">
        <v>148</v>
      </c>
      <c r="C36" s="88" t="s">
        <v>144</v>
      </c>
      <c r="D36" s="63">
        <v>5590054.3418959305</v>
      </c>
      <c r="E36" s="63">
        <v>6282456.9923428306</v>
      </c>
      <c r="F36" s="63">
        <v>6730597.3402729668</v>
      </c>
      <c r="G36" s="63">
        <v>7226569.5109210191</v>
      </c>
      <c r="H36" s="63">
        <v>7694684.7641902706</v>
      </c>
      <c r="I36" s="63">
        <v>8351451.0883265948</v>
      </c>
      <c r="J36" s="63">
        <v>9003257.1196458619</v>
      </c>
      <c r="K36" s="63">
        <v>9704412.1476969309</v>
      </c>
      <c r="L36" s="63">
        <v>10564905.990847401</v>
      </c>
      <c r="M36" s="63">
        <v>11512383.673333859</v>
      </c>
      <c r="N36" s="63">
        <v>12536728.505879074</v>
      </c>
      <c r="O36" s="63">
        <v>13628830.881289395</v>
      </c>
      <c r="P36" s="63">
        <v>14710784.181667754</v>
      </c>
      <c r="Q36" s="63">
        <v>15982540.224545714</v>
      </c>
      <c r="R36" s="63">
        <v>17272297.524117678</v>
      </c>
      <c r="S36" s="63">
        <v>18697647.969629459</v>
      </c>
      <c r="T36" s="63">
        <v>20070638.430694714</v>
      </c>
      <c r="U36" s="63">
        <v>21650413.288073339</v>
      </c>
      <c r="V36" s="63">
        <v>23038108.34514913</v>
      </c>
      <c r="W36" s="63">
        <v>24645199.03635399</v>
      </c>
      <c r="X36" s="63">
        <v>26374139.928983424</v>
      </c>
      <c r="Y36" s="63">
        <v>28142166.04267912</v>
      </c>
      <c r="Z36" s="63">
        <v>29843340.902931482</v>
      </c>
      <c r="AA36" s="63">
        <v>31697458.432588127</v>
      </c>
      <c r="AB36" s="63">
        <v>33565384.096462734</v>
      </c>
      <c r="AC36" s="63">
        <v>35192189.281806603</v>
      </c>
      <c r="AD36" s="63">
        <v>36906160.698085859</v>
      </c>
    </row>
    <row r="37" spans="1:30" x14ac:dyDescent="0.35">
      <c r="A37" s="88"/>
      <c r="B37" s="88"/>
      <c r="C37" s="88"/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</row>
    <row r="38" spans="1:30" x14ac:dyDescent="0.35">
      <c r="A38" s="88"/>
      <c r="B38" s="88"/>
      <c r="C38" s="88" t="s">
        <v>149</v>
      </c>
      <c r="D38" s="63">
        <f>'Cost Assumptions'!$B$4</f>
        <v>40</v>
      </c>
      <c r="E38" s="63">
        <f>D38*'Cost Assumptions'!$B$5</f>
        <v>41</v>
      </c>
      <c r="F38" s="63">
        <f>E38*'Cost Assumptions'!$B$5</f>
        <v>42.024999999999999</v>
      </c>
      <c r="G38" s="63">
        <f>F38*'Cost Assumptions'!$B$5</f>
        <v>43.075624999999995</v>
      </c>
      <c r="H38" s="10">
        <f>G38*'Cost Assumptions'!$B$5</f>
        <v>44.152515624999992</v>
      </c>
      <c r="I38" s="10">
        <f>H38*'Cost Assumptions'!$B$5</f>
        <v>45.256328515624986</v>
      </c>
      <c r="J38" s="10">
        <f>I38*'Cost Assumptions'!$B$5</f>
        <v>46.387736728515605</v>
      </c>
      <c r="K38" s="10">
        <f>J38*'Cost Assumptions'!$B$5</f>
        <v>47.547430146728495</v>
      </c>
      <c r="L38" s="10">
        <f>K38*'Cost Assumptions'!$B$5</f>
        <v>48.736115900396705</v>
      </c>
      <c r="M38" s="10">
        <f>L38*'Cost Assumptions'!$B$5</f>
        <v>49.954518797906616</v>
      </c>
      <c r="N38" s="10">
        <f>M38*'Cost Assumptions'!$B$5</f>
        <v>51.203381767854275</v>
      </c>
      <c r="O38" s="10">
        <f>N38*'Cost Assumptions'!$B$5</f>
        <v>52.483466312050624</v>
      </c>
      <c r="P38" s="10">
        <f>O38*'Cost Assumptions'!$B$5</f>
        <v>53.795552969851883</v>
      </c>
      <c r="Q38" s="10">
        <f>P38*'Cost Assumptions'!$B$5</f>
        <v>55.140441794098173</v>
      </c>
      <c r="R38" s="10">
        <f>Q38*'Cost Assumptions'!$B$5</f>
        <v>56.518952838950625</v>
      </c>
      <c r="S38" s="10">
        <f>R38*'Cost Assumptions'!$B$5</f>
        <v>57.931926659924386</v>
      </c>
      <c r="T38" s="10">
        <f>S38*'Cost Assumptions'!$B$5</f>
        <v>59.380224826422491</v>
      </c>
      <c r="U38" s="10">
        <f>T38*'Cost Assumptions'!$B$5</f>
        <v>60.864730447083048</v>
      </c>
      <c r="V38" s="10">
        <f>U38*'Cost Assumptions'!$B$5</f>
        <v>62.386348708260115</v>
      </c>
      <c r="W38" s="10">
        <f>V38*'Cost Assumptions'!$B$5</f>
        <v>63.946007425966613</v>
      </c>
      <c r="X38" s="10">
        <f>W38*'Cost Assumptions'!$B$5</f>
        <v>65.544657611615776</v>
      </c>
      <c r="Y38" s="10">
        <f>X38*'Cost Assumptions'!$B$5</f>
        <v>67.183274051906167</v>
      </c>
      <c r="Z38" s="10">
        <f>Y38*'Cost Assumptions'!$B$5</f>
        <v>68.862855903203823</v>
      </c>
      <c r="AA38" s="10">
        <f>Z38*'Cost Assumptions'!$B$5</f>
        <v>70.584427300783915</v>
      </c>
      <c r="AB38" s="10">
        <f>AA38*'Cost Assumptions'!$B$5</f>
        <v>72.349037983303504</v>
      </c>
      <c r="AC38" s="10">
        <f>AB38*'Cost Assumptions'!$B$5</f>
        <v>74.157763932886084</v>
      </c>
      <c r="AD38" s="10">
        <f>AC38*'Cost Assumptions'!$B$5</f>
        <v>76.011708031208229</v>
      </c>
    </row>
    <row r="39" spans="1:30" x14ac:dyDescent="0.35">
      <c r="A39" s="88"/>
      <c r="B39" s="88"/>
      <c r="C39" s="8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3.5" x14ac:dyDescent="0.55000000000000004">
      <c r="A40" s="88"/>
      <c r="B40" s="167" t="s">
        <v>150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</row>
    <row r="41" spans="1:30" ht="20" thickBot="1" x14ac:dyDescent="0.5">
      <c r="A41" s="117"/>
      <c r="B41" s="128" t="s">
        <v>151</v>
      </c>
      <c r="C41" s="117" t="s">
        <v>118</v>
      </c>
      <c r="D41" s="117">
        <v>2022</v>
      </c>
      <c r="E41" s="117">
        <v>2023</v>
      </c>
      <c r="F41" s="117">
        <v>2024</v>
      </c>
      <c r="G41" s="117">
        <v>2025</v>
      </c>
      <c r="H41" s="117">
        <v>2026</v>
      </c>
      <c r="I41" s="117">
        <v>2027</v>
      </c>
      <c r="J41" s="117">
        <v>2028</v>
      </c>
      <c r="K41" s="117">
        <v>2029</v>
      </c>
      <c r="L41" s="117">
        <v>2030</v>
      </c>
      <c r="M41" s="117">
        <v>2031</v>
      </c>
      <c r="N41" s="117">
        <v>2032</v>
      </c>
      <c r="O41" s="117">
        <v>2033</v>
      </c>
      <c r="P41" s="117">
        <v>2034</v>
      </c>
      <c r="Q41" s="117">
        <v>2035</v>
      </c>
      <c r="R41" s="117">
        <v>2036</v>
      </c>
      <c r="S41" s="117">
        <v>2037</v>
      </c>
      <c r="T41" s="117">
        <v>2038</v>
      </c>
      <c r="U41" s="117">
        <v>2039</v>
      </c>
      <c r="V41" s="117">
        <v>2040</v>
      </c>
      <c r="W41" s="117">
        <v>2041</v>
      </c>
      <c r="X41" s="117">
        <v>2042</v>
      </c>
      <c r="Y41" s="117">
        <v>2043</v>
      </c>
      <c r="Z41" s="117">
        <v>2044</v>
      </c>
      <c r="AA41" s="117">
        <v>2045</v>
      </c>
      <c r="AB41" s="117">
        <v>2046</v>
      </c>
      <c r="AC41" s="117">
        <v>2047</v>
      </c>
      <c r="AD41" s="117">
        <v>2048</v>
      </c>
    </row>
    <row r="42" spans="1:30" ht="15" thickTop="1" x14ac:dyDescent="0.35">
      <c r="A42" s="5">
        <f t="shared" ref="A42:A56" si="27">SUM(D42:AD42)/1000</f>
        <v>41.337599999993799</v>
      </c>
      <c r="B42" s="11">
        <f>NPV('Cost Assumptions'!$B$3,'MiraLoma &amp; Centralized BESS VS'!D42:'MiraLoma &amp; Centralized BESS VS'!AD42)</f>
        <v>12914.751862837747</v>
      </c>
      <c r="C42" s="88" t="s">
        <v>120</v>
      </c>
      <c r="D42" s="63">
        <f t="shared" ref="D42:AD42" si="28">D2-D18</f>
        <v>1213.699999999837</v>
      </c>
      <c r="E42" s="63">
        <f t="shared" si="28"/>
        <v>1235.2480769229078</v>
      </c>
      <c r="F42" s="63">
        <f t="shared" si="28"/>
        <v>1256.7961538459786</v>
      </c>
      <c r="G42" s="63">
        <f t="shared" si="28"/>
        <v>1278.3442307690493</v>
      </c>
      <c r="H42" s="63">
        <f t="shared" si="28"/>
        <v>1299.8923076921201</v>
      </c>
      <c r="I42" s="63">
        <f t="shared" si="28"/>
        <v>1321.4403846151909</v>
      </c>
      <c r="J42" s="63">
        <f t="shared" si="28"/>
        <v>1342.9884615382616</v>
      </c>
      <c r="K42" s="63">
        <f t="shared" si="28"/>
        <v>1369.3190384613335</v>
      </c>
      <c r="L42" s="63">
        <f t="shared" si="28"/>
        <v>1395.6496153844055</v>
      </c>
      <c r="M42" s="63">
        <f t="shared" si="28"/>
        <v>1421.9801923074774</v>
      </c>
      <c r="N42" s="63">
        <f t="shared" si="28"/>
        <v>1448.3107692305493</v>
      </c>
      <c r="O42" s="63">
        <f t="shared" si="28"/>
        <v>1474.6413461536213</v>
      </c>
      <c r="P42" s="63">
        <f t="shared" si="28"/>
        <v>1500.9719230766932</v>
      </c>
      <c r="Q42" s="63">
        <f t="shared" si="28"/>
        <v>1527.3024999997651</v>
      </c>
      <c r="R42" s="63">
        <f t="shared" si="28"/>
        <v>1553.6330769228371</v>
      </c>
      <c r="S42" s="63">
        <f t="shared" si="28"/>
        <v>1579.963653845909</v>
      </c>
      <c r="T42" s="63">
        <f t="shared" si="28"/>
        <v>1606.2942307689809</v>
      </c>
      <c r="U42" s="63">
        <f t="shared" si="28"/>
        <v>1632.6248076920529</v>
      </c>
      <c r="V42" s="63">
        <f t="shared" si="28"/>
        <v>1658.9553846151248</v>
      </c>
      <c r="W42" s="63">
        <f t="shared" si="28"/>
        <v>1685.2859615381967</v>
      </c>
      <c r="X42" s="63">
        <f t="shared" si="28"/>
        <v>1711.6165384612686</v>
      </c>
      <c r="Y42" s="63">
        <f t="shared" si="28"/>
        <v>1737.9471153843406</v>
      </c>
      <c r="Z42" s="63">
        <f t="shared" si="28"/>
        <v>1764.2776923074125</v>
      </c>
      <c r="AA42" s="63">
        <f t="shared" si="28"/>
        <v>1790.6082692304844</v>
      </c>
      <c r="AB42" s="63">
        <f t="shared" si="28"/>
        <v>1816.9388461535564</v>
      </c>
      <c r="AC42" s="63">
        <f t="shared" si="28"/>
        <v>1843.2694230766283</v>
      </c>
      <c r="AD42" s="63">
        <f t="shared" si="28"/>
        <v>1869.5999999998166</v>
      </c>
    </row>
    <row r="43" spans="1:30" x14ac:dyDescent="0.35">
      <c r="A43" s="5">
        <f t="shared" si="27"/>
        <v>2379.6891587701652</v>
      </c>
      <c r="B43" s="11">
        <f>NPV('Cost Assumptions'!$B$3,'MiraLoma &amp; Centralized BESS VS'!D43:'MiraLoma &amp; Centralized BESS VS'!AD43)</f>
        <v>648441.00593162002</v>
      </c>
      <c r="C43" s="88" t="s">
        <v>152</v>
      </c>
      <c r="D43" s="63">
        <f t="shared" ref="D43:AD43" si="29">D42*D38</f>
        <v>48547.999999993481</v>
      </c>
      <c r="E43" s="63">
        <f t="shared" si="29"/>
        <v>50645.171153839219</v>
      </c>
      <c r="F43" s="63">
        <f t="shared" si="29"/>
        <v>52816.858365377244</v>
      </c>
      <c r="G43" s="63">
        <f t="shared" si="29"/>
        <v>55065.476705521025</v>
      </c>
      <c r="H43" s="63">
        <f t="shared" si="29"/>
        <v>57393.515426193633</v>
      </c>
      <c r="I43" s="63">
        <f t="shared" si="29"/>
        <v>59803.540159958909</v>
      </c>
      <c r="J43" s="63">
        <f t="shared" si="29"/>
        <v>62298.195183271084</v>
      </c>
      <c r="K43" s="63">
        <f t="shared" si="29"/>
        <v>65107.601329825688</v>
      </c>
      <c r="L43" s="63">
        <f t="shared" si="29"/>
        <v>68018.54141171847</v>
      </c>
      <c r="M43" s="63">
        <f t="shared" si="29"/>
        <v>71034.336246874751</v>
      </c>
      <c r="N43" s="63">
        <f t="shared" si="29"/>
        <v>74158.409235406507</v>
      </c>
      <c r="O43" s="63">
        <f t="shared" si="29"/>
        <v>77394.289413210558</v>
      </c>
      <c r="P43" s="63">
        <f t="shared" si="29"/>
        <v>80745.614594132698</v>
      </c>
      <c r="Q43" s="63">
        <f t="shared" si="29"/>
        <v>84216.134603217681</v>
      </c>
      <c r="R43" s="63">
        <f t="shared" si="29"/>
        <v>87809.71460363557</v>
      </c>
      <c r="S43" s="63">
        <f t="shared" si="29"/>
        <v>91530.338519947356</v>
      </c>
      <c r="T43" s="63">
        <f t="shared" si="29"/>
        <v>95382.112560447466</v>
      </c>
      <c r="U43" s="63">
        <f t="shared" si="29"/>
        <v>99369.268841397599</v>
      </c>
      <c r="V43" s="63">
        <f t="shared" si="29"/>
        <v>103496.16911604496</v>
      </c>
      <c r="W43" s="63">
        <f t="shared" si="29"/>
        <v>107767.30861139881</v>
      </c>
      <c r="X43" s="63">
        <f t="shared" si="29"/>
        <v>112187.31997582284</v>
      </c>
      <c r="Y43" s="63">
        <f t="shared" si="29"/>
        <v>116760.97734058595</v>
      </c>
      <c r="Z43" s="63">
        <f t="shared" si="29"/>
        <v>121493.20049860232</v>
      </c>
      <c r="AA43" s="63">
        <f t="shared" si="29"/>
        <v>126389.05920368164</v>
      </c>
      <c r="AB43" s="63">
        <f t="shared" si="29"/>
        <v>131453.7775937033</v>
      </c>
      <c r="AC43" s="63">
        <f t="shared" si="29"/>
        <v>136692.73874122373</v>
      </c>
      <c r="AD43" s="63">
        <f t="shared" si="29"/>
        <v>142111.48933513297</v>
      </c>
    </row>
    <row r="44" spans="1:30" x14ac:dyDescent="0.35">
      <c r="A44" s="5">
        <f t="shared" si="27"/>
        <v>18.393699999999999</v>
      </c>
      <c r="B44" s="11">
        <f>NPV('Cost Assumptions'!$B$3,'MiraLoma &amp; Centralized BESS VS'!D44:'MiraLoma &amp; Centralized BESS VS'!AD44)</f>
        <v>2518.1150277664724</v>
      </c>
      <c r="C44" s="88" t="s">
        <v>31</v>
      </c>
      <c r="D44" s="63">
        <f t="shared" ref="D44:AD44" si="30">D3-D19</f>
        <v>10</v>
      </c>
      <c r="E44" s="63">
        <f t="shared" si="30"/>
        <v>20.5</v>
      </c>
      <c r="F44" s="63">
        <f t="shared" si="30"/>
        <v>29.879999999999995</v>
      </c>
      <c r="G44" s="63">
        <f t="shared" si="30"/>
        <v>39.259999999999991</v>
      </c>
      <c r="H44" s="63">
        <f t="shared" si="30"/>
        <v>48.639999999999986</v>
      </c>
      <c r="I44" s="63">
        <f t="shared" si="30"/>
        <v>58.019999999999982</v>
      </c>
      <c r="J44" s="63">
        <f t="shared" si="30"/>
        <v>42.999999999999972</v>
      </c>
      <c r="K44" s="63">
        <f t="shared" si="30"/>
        <v>57.20999999999998</v>
      </c>
      <c r="L44" s="63">
        <f t="shared" si="30"/>
        <v>71.419999999999987</v>
      </c>
      <c r="M44" s="63">
        <f t="shared" si="30"/>
        <v>85.63</v>
      </c>
      <c r="N44" s="63">
        <f t="shared" si="30"/>
        <v>99.839999999999975</v>
      </c>
      <c r="O44" s="63">
        <f t="shared" si="30"/>
        <v>175.86666666666667</v>
      </c>
      <c r="P44" s="63">
        <f t="shared" si="30"/>
        <v>247.87333333333336</v>
      </c>
      <c r="Q44" s="63">
        <f t="shared" si="30"/>
        <v>319.88000000000005</v>
      </c>
      <c r="R44" s="63">
        <f t="shared" si="30"/>
        <v>391.88666666666677</v>
      </c>
      <c r="S44" s="63">
        <f t="shared" si="30"/>
        <v>463.89333333333343</v>
      </c>
      <c r="T44" s="63">
        <f t="shared" si="30"/>
        <v>535.90000000000032</v>
      </c>
      <c r="U44" s="63">
        <f t="shared" si="30"/>
        <v>722.7800000000002</v>
      </c>
      <c r="V44" s="63">
        <f t="shared" si="30"/>
        <v>909.66000000000008</v>
      </c>
      <c r="W44" s="63">
        <f t="shared" si="30"/>
        <v>1096.5400000000002</v>
      </c>
      <c r="X44" s="63">
        <f t="shared" si="30"/>
        <v>1283.4200000000003</v>
      </c>
      <c r="Y44" s="63">
        <f t="shared" si="30"/>
        <v>1315</v>
      </c>
      <c r="Z44" s="63">
        <f t="shared" si="30"/>
        <v>1567.84</v>
      </c>
      <c r="AA44" s="63">
        <f t="shared" si="30"/>
        <v>1820.6799999999998</v>
      </c>
      <c r="AB44" s="63">
        <f t="shared" si="30"/>
        <v>2073.52</v>
      </c>
      <c r="AC44" s="63">
        <f t="shared" si="30"/>
        <v>2326.36</v>
      </c>
      <c r="AD44" s="63">
        <f t="shared" si="30"/>
        <v>2579.2000000000003</v>
      </c>
    </row>
    <row r="45" spans="1:30" x14ac:dyDescent="0.35">
      <c r="A45" s="5">
        <f t="shared" si="27"/>
        <v>0.37484999999999979</v>
      </c>
      <c r="B45" s="11">
        <f>NPV('Cost Assumptions'!$B$3,'MiraLoma &amp; Centralized BESS VS'!D45:'MiraLoma &amp; Centralized BESS VS'!AD45)</f>
        <v>77.193163784298719</v>
      </c>
      <c r="C45" s="88" t="s">
        <v>32</v>
      </c>
      <c r="D45" s="63">
        <f t="shared" ref="D45:AD45" si="31">D4-D20</f>
        <v>2</v>
      </c>
      <c r="E45" s="63">
        <f t="shared" si="31"/>
        <v>3</v>
      </c>
      <c r="F45" s="63">
        <f t="shared" si="31"/>
        <v>4.6799999999999953</v>
      </c>
      <c r="G45" s="63">
        <f t="shared" si="31"/>
        <v>6.3599999999999905</v>
      </c>
      <c r="H45" s="63">
        <f t="shared" si="31"/>
        <v>8.0399999999999867</v>
      </c>
      <c r="I45" s="63">
        <f t="shared" si="31"/>
        <v>9.7199999999999829</v>
      </c>
      <c r="J45" s="63">
        <f t="shared" si="31"/>
        <v>1.3999999999999773</v>
      </c>
      <c r="K45" s="63">
        <f t="shared" si="31"/>
        <v>2.5399999999999867</v>
      </c>
      <c r="L45" s="63">
        <f t="shared" si="31"/>
        <v>3.6799999999999962</v>
      </c>
      <c r="M45" s="63">
        <f t="shared" si="31"/>
        <v>4.8200000000000056</v>
      </c>
      <c r="N45" s="63">
        <f t="shared" si="31"/>
        <v>5.9600000000000151</v>
      </c>
      <c r="O45" s="63">
        <f t="shared" si="31"/>
        <v>8.0500000000000114</v>
      </c>
      <c r="P45" s="63">
        <f t="shared" si="31"/>
        <v>10.440000000000008</v>
      </c>
      <c r="Q45" s="63">
        <f t="shared" si="31"/>
        <v>12.830000000000005</v>
      </c>
      <c r="R45" s="63">
        <f t="shared" si="31"/>
        <v>15.220000000000002</v>
      </c>
      <c r="S45" s="63">
        <f t="shared" si="31"/>
        <v>17.61</v>
      </c>
      <c r="T45" s="63">
        <f t="shared" si="31"/>
        <v>20</v>
      </c>
      <c r="U45" s="63">
        <f t="shared" si="31"/>
        <v>19.019999999999989</v>
      </c>
      <c r="V45" s="63">
        <f t="shared" si="31"/>
        <v>18.039999999999978</v>
      </c>
      <c r="W45" s="63">
        <f t="shared" si="31"/>
        <v>17.059999999999967</v>
      </c>
      <c r="X45" s="63">
        <f t="shared" si="31"/>
        <v>16.079999999999956</v>
      </c>
      <c r="Y45" s="63">
        <f t="shared" si="31"/>
        <v>15.099999999999952</v>
      </c>
      <c r="Z45" s="63">
        <f t="shared" si="31"/>
        <v>20.279999999999969</v>
      </c>
      <c r="AA45" s="63">
        <f t="shared" si="31"/>
        <v>25.459999999999987</v>
      </c>
      <c r="AB45" s="63">
        <f t="shared" si="31"/>
        <v>30.640000000000004</v>
      </c>
      <c r="AC45" s="63">
        <f t="shared" si="31"/>
        <v>35.820000000000022</v>
      </c>
      <c r="AD45" s="63">
        <f t="shared" si="31"/>
        <v>41.000000000000028</v>
      </c>
    </row>
    <row r="46" spans="1:30" x14ac:dyDescent="0.35">
      <c r="A46" s="5">
        <f t="shared" si="27"/>
        <v>1.249862316133638</v>
      </c>
      <c r="B46" s="11">
        <f>NPV('Cost Assumptions'!$B$3,'MiraLoma &amp; Centralized BESS VS'!D46:'MiraLoma &amp; Centralized BESS VS'!AD46)</f>
        <v>142.1259685784722</v>
      </c>
      <c r="C46" s="88" t="s">
        <v>33</v>
      </c>
      <c r="D46" s="63">
        <f t="shared" ref="D46:AD46" si="32">D5-D21</f>
        <v>8.4812112193331513E-2</v>
      </c>
      <c r="E46" s="63">
        <f t="shared" si="32"/>
        <v>0.24283371212350299</v>
      </c>
      <c r="F46" s="63">
        <f t="shared" si="32"/>
        <v>0.34046276046663143</v>
      </c>
      <c r="G46" s="63">
        <f t="shared" si="32"/>
        <v>0.43809180880975984</v>
      </c>
      <c r="H46" s="63">
        <f t="shared" si="32"/>
        <v>0.53572085715288831</v>
      </c>
      <c r="I46" s="63">
        <f t="shared" si="32"/>
        <v>0.63334990549601677</v>
      </c>
      <c r="J46" s="63">
        <f t="shared" si="32"/>
        <v>0.60527867225132548</v>
      </c>
      <c r="K46" s="63">
        <f t="shared" si="32"/>
        <v>0.88289530883839684</v>
      </c>
      <c r="L46" s="63">
        <f t="shared" si="32"/>
        <v>1.1605119454254682</v>
      </c>
      <c r="M46" s="63">
        <f t="shared" si="32"/>
        <v>1.4381285820125393</v>
      </c>
      <c r="N46" s="63">
        <f t="shared" si="32"/>
        <v>1.7157452185996107</v>
      </c>
      <c r="O46" s="63">
        <f t="shared" si="32"/>
        <v>5.2088369944196673</v>
      </c>
      <c r="P46" s="63">
        <f t="shared" si="32"/>
        <v>8.1868255015756706</v>
      </c>
      <c r="Q46" s="63">
        <f t="shared" si="32"/>
        <v>11.164814008731673</v>
      </c>
      <c r="R46" s="63">
        <f t="shared" si="32"/>
        <v>14.142802515887677</v>
      </c>
      <c r="S46" s="63">
        <f t="shared" si="32"/>
        <v>17.12079102304368</v>
      </c>
      <c r="T46" s="63">
        <f t="shared" si="32"/>
        <v>20.098779530199685</v>
      </c>
      <c r="U46" s="63">
        <f t="shared" si="32"/>
        <v>32.317358795246591</v>
      </c>
      <c r="V46" s="63">
        <f t="shared" si="32"/>
        <v>44.535938060293489</v>
      </c>
      <c r="W46" s="63">
        <f t="shared" si="32"/>
        <v>56.754517325340395</v>
      </c>
      <c r="X46" s="63">
        <f t="shared" si="32"/>
        <v>68.9730965903873</v>
      </c>
      <c r="Y46" s="63">
        <f t="shared" si="32"/>
        <v>81.191675855434198</v>
      </c>
      <c r="Z46" s="63">
        <f t="shared" si="32"/>
        <v>112.93372050693671</v>
      </c>
      <c r="AA46" s="63">
        <f t="shared" si="32"/>
        <v>144.67576515843922</v>
      </c>
      <c r="AB46" s="63">
        <f t="shared" si="32"/>
        <v>176.4178098099417</v>
      </c>
      <c r="AC46" s="63">
        <f t="shared" si="32"/>
        <v>208.15985446144421</v>
      </c>
      <c r="AD46" s="63">
        <f t="shared" si="32"/>
        <v>239.90189911294672</v>
      </c>
    </row>
    <row r="47" spans="1:30" x14ac:dyDescent="0.35">
      <c r="A47" s="5">
        <f t="shared" si="27"/>
        <v>1.5493444968462805E-2</v>
      </c>
      <c r="B47" s="11">
        <f>NPV('Cost Assumptions'!$B$3,'MiraLoma &amp; Centralized BESS VS'!D47:'MiraLoma &amp; Centralized BESS VS'!AD47)</f>
        <v>2.0721606730691895</v>
      </c>
      <c r="C47" s="88" t="s">
        <v>34</v>
      </c>
      <c r="D47" s="63">
        <f t="shared" ref="D47:AD47" si="33">D6-D22</f>
        <v>6.0580080138093939E-3</v>
      </c>
      <c r="E47" s="63">
        <f t="shared" si="33"/>
        <v>1.7771756236396739E-2</v>
      </c>
      <c r="F47" s="63">
        <f t="shared" si="33"/>
        <v>2.504677784712513E-2</v>
      </c>
      <c r="G47" s="63">
        <f t="shared" si="33"/>
        <v>3.2321799457853517E-2</v>
      </c>
      <c r="H47" s="63">
        <f t="shared" si="33"/>
        <v>3.9596821068581908E-2</v>
      </c>
      <c r="I47" s="63">
        <f t="shared" si="33"/>
        <v>4.6871842679310299E-2</v>
      </c>
      <c r="J47" s="63">
        <f t="shared" si="33"/>
        <v>2.9006807972474753E-2</v>
      </c>
      <c r="K47" s="63">
        <f t="shared" si="33"/>
        <v>3.8520295173832098E-2</v>
      </c>
      <c r="L47" s="63">
        <f t="shared" si="33"/>
        <v>4.8033782375189439E-2</v>
      </c>
      <c r="M47" s="63">
        <f t="shared" si="33"/>
        <v>5.7547269576546781E-2</v>
      </c>
      <c r="N47" s="63">
        <f t="shared" si="33"/>
        <v>6.7060756777904143E-2</v>
      </c>
      <c r="O47" s="63">
        <f t="shared" si="33"/>
        <v>0.13354475533980148</v>
      </c>
      <c r="P47" s="63">
        <f t="shared" si="33"/>
        <v>0.19588682659036252</v>
      </c>
      <c r="Q47" s="63">
        <f t="shared" si="33"/>
        <v>0.25822889784092357</v>
      </c>
      <c r="R47" s="63">
        <f t="shared" si="33"/>
        <v>0.32057096909148464</v>
      </c>
      <c r="S47" s="63">
        <f t="shared" si="33"/>
        <v>0.3829130403420456</v>
      </c>
      <c r="T47" s="63">
        <f t="shared" si="33"/>
        <v>0.44525511159260667</v>
      </c>
      <c r="U47" s="63">
        <f t="shared" si="33"/>
        <v>0.58073732585890347</v>
      </c>
      <c r="V47" s="63">
        <f t="shared" si="33"/>
        <v>0.71621954012520028</v>
      </c>
      <c r="W47" s="63">
        <f t="shared" si="33"/>
        <v>0.85170175439149709</v>
      </c>
      <c r="X47" s="63">
        <f t="shared" si="33"/>
        <v>0.9871839686577939</v>
      </c>
      <c r="Y47" s="63">
        <f t="shared" si="33"/>
        <v>1.1226661829240907</v>
      </c>
      <c r="Z47" s="63">
        <f t="shared" si="33"/>
        <v>1.354490833851332</v>
      </c>
      <c r="AA47" s="63">
        <f t="shared" si="33"/>
        <v>1.5863154847785732</v>
      </c>
      <c r="AB47" s="63">
        <f t="shared" si="33"/>
        <v>1.8181401357058142</v>
      </c>
      <c r="AC47" s="63">
        <f t="shared" si="33"/>
        <v>2.0499647866330557</v>
      </c>
      <c r="AD47" s="63">
        <f t="shared" si="33"/>
        <v>2.2817894375602967</v>
      </c>
    </row>
    <row r="48" spans="1:30" ht="15.65" customHeight="1" x14ac:dyDescent="0.35">
      <c r="A48" s="5">
        <f t="shared" si="27"/>
        <v>1.387</v>
      </c>
      <c r="B48" s="11">
        <f>NPV('Cost Assumptions'!$B$3,'MiraLoma &amp; Centralized BESS VS'!D48:'MiraLoma &amp; Centralized BESS VS'!AD48)</f>
        <v>333.35250724763148</v>
      </c>
      <c r="C48" s="88" t="s">
        <v>35</v>
      </c>
      <c r="D48" s="63">
        <f t="shared" ref="D48:AD48" si="34">D7-D23</f>
        <v>14</v>
      </c>
      <c r="E48" s="63">
        <f t="shared" si="34"/>
        <v>21</v>
      </c>
      <c r="F48" s="63">
        <f t="shared" si="34"/>
        <v>23.2</v>
      </c>
      <c r="G48" s="63">
        <f t="shared" si="34"/>
        <v>25.4</v>
      </c>
      <c r="H48" s="63">
        <f t="shared" si="34"/>
        <v>27.599999999999998</v>
      </c>
      <c r="I48" s="63">
        <f t="shared" si="34"/>
        <v>29.799999999999997</v>
      </c>
      <c r="J48" s="63">
        <f t="shared" si="34"/>
        <v>27</v>
      </c>
      <c r="K48" s="63">
        <f t="shared" si="34"/>
        <v>29.35</v>
      </c>
      <c r="L48" s="63">
        <f t="shared" si="34"/>
        <v>31.7</v>
      </c>
      <c r="M48" s="63">
        <f t="shared" si="34"/>
        <v>34.049999999999997</v>
      </c>
      <c r="N48" s="63">
        <f t="shared" si="34"/>
        <v>36.4</v>
      </c>
      <c r="O48" s="63">
        <f t="shared" si="34"/>
        <v>41.833333333333336</v>
      </c>
      <c r="P48" s="63">
        <f t="shared" si="34"/>
        <v>45.266666666666673</v>
      </c>
      <c r="Q48" s="63">
        <f t="shared" si="34"/>
        <v>48.7</v>
      </c>
      <c r="R48" s="63">
        <f t="shared" si="34"/>
        <v>52.133333333333326</v>
      </c>
      <c r="S48" s="63">
        <f t="shared" si="34"/>
        <v>55.566666666666663</v>
      </c>
      <c r="T48" s="63">
        <f t="shared" si="34"/>
        <v>59</v>
      </c>
      <c r="U48" s="63">
        <f t="shared" si="34"/>
        <v>62.600000000000009</v>
      </c>
      <c r="V48" s="63">
        <f t="shared" si="34"/>
        <v>66.200000000000017</v>
      </c>
      <c r="W48" s="63">
        <f t="shared" si="34"/>
        <v>69.800000000000011</v>
      </c>
      <c r="X48" s="63">
        <f t="shared" si="34"/>
        <v>73.400000000000034</v>
      </c>
      <c r="Y48" s="63">
        <f t="shared" si="34"/>
        <v>77</v>
      </c>
      <c r="Z48" s="63">
        <f t="shared" si="34"/>
        <v>80.399999999999991</v>
      </c>
      <c r="AA48" s="63">
        <f t="shared" si="34"/>
        <v>83.799999999999983</v>
      </c>
      <c r="AB48" s="63">
        <f t="shared" si="34"/>
        <v>87.199999999999974</v>
      </c>
      <c r="AC48" s="63">
        <f t="shared" si="34"/>
        <v>90.599999999999966</v>
      </c>
      <c r="AD48" s="63">
        <f t="shared" si="34"/>
        <v>94</v>
      </c>
    </row>
    <row r="49" spans="1:30" s="62" customFormat="1" x14ac:dyDescent="0.35">
      <c r="A49" s="5">
        <f t="shared" si="27"/>
        <v>491.78390013498898</v>
      </c>
      <c r="B49" s="11">
        <f>NPV('Cost Assumptions'!$B$3,'MiraLoma &amp; Centralized BESS VS'!D49:'MiraLoma &amp; Centralized BESS VS'!AD49)</f>
        <v>111146.95809377151</v>
      </c>
      <c r="C49" s="86" t="s">
        <v>153</v>
      </c>
      <c r="D49" s="63">
        <f>D13-D24</f>
        <v>3265.7421655023345</v>
      </c>
      <c r="E49" s="63">
        <f>E13-E24</f>
        <v>4342.4448571988651</v>
      </c>
      <c r="F49" s="63">
        <f t="shared" ref="F49:AD49" si="35">F13-F24</f>
        <v>5419.1475488953965</v>
      </c>
      <c r="G49" s="63">
        <f t="shared" si="35"/>
        <v>6495.850240591928</v>
      </c>
      <c r="H49" s="63">
        <f t="shared" si="35"/>
        <v>7572.5529322884595</v>
      </c>
      <c r="I49" s="63">
        <f t="shared" si="35"/>
        <v>8649.255623984991</v>
      </c>
      <c r="J49" s="63">
        <f t="shared" si="35"/>
        <v>9725.9583156815224</v>
      </c>
      <c r="K49" s="63">
        <f t="shared" si="35"/>
        <v>10802.661007378054</v>
      </c>
      <c r="L49" s="63">
        <f t="shared" si="35"/>
        <v>11979.363699074545</v>
      </c>
      <c r="M49" s="63">
        <f t="shared" si="35"/>
        <v>13154.172894316242</v>
      </c>
      <c r="N49" s="63">
        <f t="shared" si="35"/>
        <v>14368.026242313243</v>
      </c>
      <c r="O49" s="63">
        <f t="shared" si="35"/>
        <v>15581.879590310244</v>
      </c>
      <c r="P49" s="63">
        <f t="shared" si="35"/>
        <v>16795.732938307247</v>
      </c>
      <c r="Q49" s="63">
        <f t="shared" si="35"/>
        <v>18009.586286304249</v>
      </c>
      <c r="R49" s="63">
        <f t="shared" si="35"/>
        <v>19223.439634301252</v>
      </c>
      <c r="S49" s="63">
        <f t="shared" si="35"/>
        <v>20437.292982298255</v>
      </c>
      <c r="T49" s="63">
        <f t="shared" si="35"/>
        <v>21651.146330295258</v>
      </c>
      <c r="U49" s="63">
        <f t="shared" si="35"/>
        <v>22864.999678292261</v>
      </c>
      <c r="V49" s="63">
        <f t="shared" si="35"/>
        <v>24078.853026289264</v>
      </c>
      <c r="W49" s="63">
        <f t="shared" si="35"/>
        <v>25292.706374286267</v>
      </c>
      <c r="X49" s="63">
        <f t="shared" si="35"/>
        <v>26506.559722283269</v>
      </c>
      <c r="Y49" s="63">
        <f t="shared" si="35"/>
        <v>27720.413070280272</v>
      </c>
      <c r="Z49" s="63">
        <f t="shared" si="35"/>
        <v>28934.266418277275</v>
      </c>
      <c r="AA49" s="63">
        <f t="shared" si="35"/>
        <v>30148.119766274278</v>
      </c>
      <c r="AB49" s="63">
        <f t="shared" si="35"/>
        <v>31361.973114271281</v>
      </c>
      <c r="AC49" s="63">
        <f t="shared" si="35"/>
        <v>32575.826462268284</v>
      </c>
      <c r="AD49" s="63">
        <f t="shared" si="35"/>
        <v>34825.929213424381</v>
      </c>
    </row>
    <row r="50" spans="1:30" s="62" customFormat="1" x14ac:dyDescent="0.35">
      <c r="A50" s="5">
        <f t="shared" si="27"/>
        <v>1489.2707202164102</v>
      </c>
      <c r="B50" s="11">
        <f>NPV('Cost Assumptions'!$B$3,'MiraLoma &amp; Centralized BESS VS'!D50:'MiraLoma &amp; Centralized BESS VS'!AD50)</f>
        <v>502763.63150252239</v>
      </c>
      <c r="C50" s="86" t="s">
        <v>154</v>
      </c>
      <c r="D50" s="63">
        <f>D14-D25</f>
        <v>53381.8894002288</v>
      </c>
      <c r="E50" s="63">
        <f t="shared" ref="E50:AD50" si="36">E14-E25</f>
        <v>53578.168090881227</v>
      </c>
      <c r="F50" s="63">
        <f t="shared" si="36"/>
        <v>53671.367404785822</v>
      </c>
      <c r="G50" s="63">
        <f t="shared" si="36"/>
        <v>53767.136291503062</v>
      </c>
      <c r="H50" s="63">
        <f t="shared" si="36"/>
        <v>53867.859575299401</v>
      </c>
      <c r="I50" s="63">
        <f t="shared" si="36"/>
        <v>53983.334595299326</v>
      </c>
      <c r="J50" s="63">
        <f t="shared" si="36"/>
        <v>54098.789555420459</v>
      </c>
      <c r="K50" s="63">
        <f t="shared" si="36"/>
        <v>54241.511682119162</v>
      </c>
      <c r="L50" s="63">
        <f t="shared" si="36"/>
        <v>54386.701091523573</v>
      </c>
      <c r="M50" s="63">
        <f t="shared" si="36"/>
        <v>54538.498593791417</v>
      </c>
      <c r="N50" s="63">
        <f t="shared" si="36"/>
        <v>54692.288898660714</v>
      </c>
      <c r="O50" s="63">
        <f t="shared" si="36"/>
        <v>54848.127122688718</v>
      </c>
      <c r="P50" s="63">
        <f t="shared" si="36"/>
        <v>55006.271318700805</v>
      </c>
      <c r="Q50" s="63">
        <f t="shared" si="36"/>
        <v>55160.699803787662</v>
      </c>
      <c r="R50" s="63">
        <f t="shared" si="36"/>
        <v>55316.478905068827</v>
      </c>
      <c r="S50" s="63">
        <f t="shared" si="36"/>
        <v>55473.274585389998</v>
      </c>
      <c r="T50" s="63">
        <f t="shared" si="36"/>
        <v>55631.851352225349</v>
      </c>
      <c r="U50" s="63">
        <f t="shared" si="36"/>
        <v>55777.097861170623</v>
      </c>
      <c r="V50" s="63">
        <f t="shared" si="36"/>
        <v>55921.950009667926</v>
      </c>
      <c r="W50" s="63">
        <f t="shared" si="36"/>
        <v>56065.961742641317</v>
      </c>
      <c r="X50" s="63">
        <f t="shared" si="36"/>
        <v>56210.087487705547</v>
      </c>
      <c r="Y50" s="63">
        <f t="shared" si="36"/>
        <v>56333.099315387954</v>
      </c>
      <c r="Z50" s="63">
        <f t="shared" si="36"/>
        <v>56453.125862549117</v>
      </c>
      <c r="AA50" s="63">
        <f t="shared" si="36"/>
        <v>56569.266075861873</v>
      </c>
      <c r="AB50" s="63">
        <f t="shared" si="36"/>
        <v>56682.274788688956</v>
      </c>
      <c r="AC50" s="63">
        <f t="shared" si="36"/>
        <v>56767.810391548672</v>
      </c>
      <c r="AD50" s="63">
        <f t="shared" si="36"/>
        <v>56845.798413814016</v>
      </c>
    </row>
    <row r="51" spans="1:30" s="82" customFormat="1" x14ac:dyDescent="0.35">
      <c r="A51" s="5">
        <f t="shared" si="27"/>
        <v>1735.711140347782</v>
      </c>
      <c r="B51" s="11">
        <f>NPV('Cost Assumptions'!$B$3,'MiraLoma &amp; Centralized BESS VS'!D51:'MiraLoma &amp; Centralized BESS VS'!AD51)</f>
        <v>496841.42324199079</v>
      </c>
      <c r="C51" s="86" t="s">
        <v>155</v>
      </c>
      <c r="D51" s="63">
        <f>D15-D26</f>
        <v>39606.65394158486</v>
      </c>
      <c r="E51" s="63">
        <f t="shared" ref="E51:AD51" si="37">E15-E26</f>
        <v>42013.860688029439</v>
      </c>
      <c r="F51" s="63">
        <f t="shared" si="37"/>
        <v>43206.120267581733</v>
      </c>
      <c r="G51" s="63">
        <f t="shared" si="37"/>
        <v>44440.706999924703</v>
      </c>
      <c r="H51" s="63">
        <f t="shared" si="37"/>
        <v>45762.177259159595</v>
      </c>
      <c r="I51" s="63">
        <f t="shared" si="37"/>
        <v>47290.339768676902</v>
      </c>
      <c r="J51" s="63">
        <f t="shared" si="37"/>
        <v>48842.960024909931</v>
      </c>
      <c r="K51" s="63">
        <f t="shared" si="37"/>
        <v>50778.823763078311</v>
      </c>
      <c r="L51" s="63">
        <f t="shared" si="37"/>
        <v>52745.179619612565</v>
      </c>
      <c r="M51" s="63">
        <f t="shared" si="37"/>
        <v>54800.523228481572</v>
      </c>
      <c r="N51" s="63">
        <f t="shared" si="37"/>
        <v>56920.607137643652</v>
      </c>
      <c r="O51" s="63">
        <f t="shared" si="37"/>
        <v>59126.948959612469</v>
      </c>
      <c r="P51" s="63">
        <f t="shared" si="37"/>
        <v>61397.127860260269</v>
      </c>
      <c r="Q51" s="63">
        <f t="shared" si="37"/>
        <v>63676.95945052879</v>
      </c>
      <c r="R51" s="63">
        <f t="shared" si="37"/>
        <v>66012.620793131457</v>
      </c>
      <c r="S51" s="63">
        <f t="shared" si="37"/>
        <v>68374.486942790973</v>
      </c>
      <c r="T51" s="63">
        <f t="shared" si="37"/>
        <v>70752.821333053507</v>
      </c>
      <c r="U51" s="63">
        <f t="shared" si="37"/>
        <v>72963.955518085961</v>
      </c>
      <c r="V51" s="63">
        <f t="shared" si="37"/>
        <v>75206.630257774494</v>
      </c>
      <c r="W51" s="63">
        <f t="shared" si="37"/>
        <v>77415.603642662172</v>
      </c>
      <c r="X51" s="63">
        <f t="shared" si="37"/>
        <v>79625.562099524817</v>
      </c>
      <c r="Y51" s="63">
        <f t="shared" si="37"/>
        <v>81526.922110211221</v>
      </c>
      <c r="Z51" s="63">
        <f t="shared" si="37"/>
        <v>83386.546406302892</v>
      </c>
      <c r="AA51" s="63">
        <f t="shared" si="37"/>
        <v>85166.256527438905</v>
      </c>
      <c r="AB51" s="63">
        <f t="shared" si="37"/>
        <v>86910.337748661477</v>
      </c>
      <c r="AC51" s="63">
        <f t="shared" si="37"/>
        <v>88264.27181796552</v>
      </c>
      <c r="AD51" s="63">
        <f t="shared" si="37"/>
        <v>89496.136181093869</v>
      </c>
    </row>
    <row r="52" spans="1:30" x14ac:dyDescent="0.35">
      <c r="A52" s="5">
        <f t="shared" si="27"/>
        <v>56.580700000000007</v>
      </c>
      <c r="B52" s="11">
        <f>NPV('Cost Assumptions'!$B$3,'MiraLoma &amp; Centralized BESS VS'!D52:'MiraLoma &amp; Centralized BESS VS'!AD52)</f>
        <v>8657.5452529435206</v>
      </c>
      <c r="C52" s="88" t="s">
        <v>31</v>
      </c>
      <c r="D52" s="63">
        <f t="shared" ref="D52:AD52" si="38">D8-D27</f>
        <v>22.2</v>
      </c>
      <c r="E52" s="63">
        <f t="shared" si="38"/>
        <v>65.8</v>
      </c>
      <c r="F52" s="63">
        <f t="shared" si="38"/>
        <v>102.72</v>
      </c>
      <c r="G52" s="63">
        <f t="shared" si="38"/>
        <v>139.63999999999999</v>
      </c>
      <c r="H52" s="63">
        <f t="shared" si="38"/>
        <v>176.56</v>
      </c>
      <c r="I52" s="63">
        <f t="shared" si="38"/>
        <v>213.48000000000002</v>
      </c>
      <c r="J52" s="63">
        <f t="shared" si="38"/>
        <v>250.4</v>
      </c>
      <c r="K52" s="63">
        <f t="shared" si="38"/>
        <v>348.67500000000001</v>
      </c>
      <c r="L52" s="63">
        <f t="shared" si="38"/>
        <v>446.95000000000005</v>
      </c>
      <c r="M52" s="63">
        <f t="shared" si="38"/>
        <v>545.22500000000002</v>
      </c>
      <c r="N52" s="63">
        <f t="shared" si="38"/>
        <v>643.5</v>
      </c>
      <c r="O52" s="63">
        <f t="shared" si="38"/>
        <v>904.91666666666674</v>
      </c>
      <c r="P52" s="63">
        <f t="shared" si="38"/>
        <v>1166.3333333333335</v>
      </c>
      <c r="Q52" s="63">
        <f t="shared" si="38"/>
        <v>1427.7500000000002</v>
      </c>
      <c r="R52" s="63">
        <f t="shared" si="38"/>
        <v>1689.166666666667</v>
      </c>
      <c r="S52" s="63">
        <f t="shared" si="38"/>
        <v>1950.5833333333337</v>
      </c>
      <c r="T52" s="63">
        <f t="shared" si="38"/>
        <v>2212</v>
      </c>
      <c r="U52" s="63">
        <f t="shared" si="38"/>
        <v>2606.48</v>
      </c>
      <c r="V52" s="63">
        <f t="shared" si="38"/>
        <v>3000.96</v>
      </c>
      <c r="W52" s="63">
        <f t="shared" si="38"/>
        <v>3395.44</v>
      </c>
      <c r="X52" s="63">
        <f t="shared" si="38"/>
        <v>3789.92</v>
      </c>
      <c r="Y52" s="63">
        <f t="shared" si="38"/>
        <v>4184.4000000000005</v>
      </c>
      <c r="Z52" s="63">
        <f t="shared" si="38"/>
        <v>4609.4400000000005</v>
      </c>
      <c r="AA52" s="63">
        <f t="shared" si="38"/>
        <v>5034.4800000000005</v>
      </c>
      <c r="AB52" s="63">
        <f t="shared" si="38"/>
        <v>5459.52</v>
      </c>
      <c r="AC52" s="63">
        <f t="shared" si="38"/>
        <v>5884.56</v>
      </c>
      <c r="AD52" s="63">
        <f t="shared" si="38"/>
        <v>6309.5999999999985</v>
      </c>
    </row>
    <row r="53" spans="1:30" x14ac:dyDescent="0.35">
      <c r="A53" s="5">
        <f t="shared" si="27"/>
        <v>4.0564</v>
      </c>
      <c r="B53" s="11">
        <f>NPV('Cost Assumptions'!$B$3,'MiraLoma &amp; Centralized BESS VS'!D53:'MiraLoma &amp; Centralized BESS VS'!AD53)</f>
        <v>853.05258349278347</v>
      </c>
      <c r="C53" s="88" t="s">
        <v>32</v>
      </c>
      <c r="D53" s="63">
        <f t="shared" ref="D53:AD53" si="39">D9-D28</f>
        <v>13</v>
      </c>
      <c r="E53" s="63">
        <f t="shared" si="39"/>
        <v>27</v>
      </c>
      <c r="F53" s="63">
        <f t="shared" si="39"/>
        <v>34.519999999999982</v>
      </c>
      <c r="G53" s="63">
        <f t="shared" si="39"/>
        <v>42.039999999999964</v>
      </c>
      <c r="H53" s="63">
        <f t="shared" si="39"/>
        <v>49.559999999999945</v>
      </c>
      <c r="I53" s="63">
        <f t="shared" si="39"/>
        <v>57.079999999999927</v>
      </c>
      <c r="J53" s="63">
        <f t="shared" si="39"/>
        <v>64.599999999999909</v>
      </c>
      <c r="K53" s="63">
        <f t="shared" si="39"/>
        <v>75.024999999999935</v>
      </c>
      <c r="L53" s="63">
        <f t="shared" si="39"/>
        <v>85.44999999999996</v>
      </c>
      <c r="M53" s="63">
        <f t="shared" si="39"/>
        <v>95.874999999999986</v>
      </c>
      <c r="N53" s="63">
        <f t="shared" si="39"/>
        <v>106.3</v>
      </c>
      <c r="O53" s="63">
        <f t="shared" si="39"/>
        <v>120.25</v>
      </c>
      <c r="P53" s="63">
        <f t="shared" si="39"/>
        <v>134.19999999999999</v>
      </c>
      <c r="Q53" s="63">
        <f t="shared" si="39"/>
        <v>148.14999999999998</v>
      </c>
      <c r="R53" s="63">
        <f t="shared" si="39"/>
        <v>162.09999999999997</v>
      </c>
      <c r="S53" s="63">
        <f t="shared" si="39"/>
        <v>176.04999999999995</v>
      </c>
      <c r="T53" s="63">
        <f t="shared" si="39"/>
        <v>190</v>
      </c>
      <c r="U53" s="63">
        <f t="shared" si="39"/>
        <v>201.2</v>
      </c>
      <c r="V53" s="63">
        <f t="shared" si="39"/>
        <v>212.39999999999998</v>
      </c>
      <c r="W53" s="63">
        <f t="shared" si="39"/>
        <v>223.59999999999997</v>
      </c>
      <c r="X53" s="63">
        <f t="shared" si="39"/>
        <v>234.79999999999995</v>
      </c>
      <c r="Y53" s="63">
        <f t="shared" si="39"/>
        <v>246</v>
      </c>
      <c r="Z53" s="63">
        <f t="shared" si="39"/>
        <v>254.48000000000002</v>
      </c>
      <c r="AA53" s="63">
        <f t="shared" si="39"/>
        <v>262.96000000000004</v>
      </c>
      <c r="AB53" s="63">
        <f t="shared" si="39"/>
        <v>271.44000000000005</v>
      </c>
      <c r="AC53" s="63">
        <f t="shared" si="39"/>
        <v>279.92000000000007</v>
      </c>
      <c r="AD53" s="63">
        <f t="shared" si="39"/>
        <v>288.40000000000009</v>
      </c>
    </row>
    <row r="54" spans="1:30" x14ac:dyDescent="0.35">
      <c r="A54" s="5">
        <f t="shared" si="27"/>
        <v>3.2676158609236081</v>
      </c>
      <c r="B54" s="11">
        <f>NPV('Cost Assumptions'!$B$3,'MiraLoma &amp; Centralized BESS VS'!D54:'MiraLoma &amp; Centralized BESS VS'!AD54)</f>
        <v>404.2317418308055</v>
      </c>
      <c r="C54" s="88" t="s">
        <v>33</v>
      </c>
      <c r="D54" s="63">
        <f t="shared" ref="D54:AD54" si="40">D10-D29</f>
        <v>4.7253529883901121E-2</v>
      </c>
      <c r="E54" s="63">
        <f t="shared" si="40"/>
        <v>0.28011551949195379</v>
      </c>
      <c r="F54" s="63">
        <f t="shared" si="40"/>
        <v>0.59718244793816533</v>
      </c>
      <c r="G54" s="63">
        <f t="shared" si="40"/>
        <v>0.91424937638437687</v>
      </c>
      <c r="H54" s="63">
        <f t="shared" si="40"/>
        <v>1.2313163048305884</v>
      </c>
      <c r="I54" s="63">
        <f t="shared" si="40"/>
        <v>1.5483832332767999</v>
      </c>
      <c r="J54" s="63">
        <f t="shared" si="40"/>
        <v>1.8654501617230115</v>
      </c>
      <c r="K54" s="63">
        <f t="shared" si="40"/>
        <v>3.796086780774603</v>
      </c>
      <c r="L54" s="63">
        <f t="shared" si="40"/>
        <v>5.726723399826195</v>
      </c>
      <c r="M54" s="63">
        <f t="shared" si="40"/>
        <v>7.6573600188777871</v>
      </c>
      <c r="N54" s="63">
        <f t="shared" si="40"/>
        <v>9.5879966379293773</v>
      </c>
      <c r="O54" s="63">
        <f t="shared" si="40"/>
        <v>22.507331657050738</v>
      </c>
      <c r="P54" s="63">
        <f t="shared" si="40"/>
        <v>35.426666676172097</v>
      </c>
      <c r="Q54" s="63">
        <f t="shared" si="40"/>
        <v>48.346001695293459</v>
      </c>
      <c r="R54" s="63">
        <f t="shared" si="40"/>
        <v>61.265336714414822</v>
      </c>
      <c r="S54" s="63">
        <f t="shared" si="40"/>
        <v>74.184671733536177</v>
      </c>
      <c r="T54" s="63">
        <f t="shared" si="40"/>
        <v>87.10400675265754</v>
      </c>
      <c r="U54" s="63">
        <f t="shared" si="40"/>
        <v>116.88846005819971</v>
      </c>
      <c r="V54" s="63">
        <f t="shared" si="40"/>
        <v>146.67291336374188</v>
      </c>
      <c r="W54" s="63">
        <f t="shared" si="40"/>
        <v>176.45736666928406</v>
      </c>
      <c r="X54" s="63">
        <f t="shared" si="40"/>
        <v>206.24181997482623</v>
      </c>
      <c r="Y54" s="63">
        <f t="shared" si="40"/>
        <v>236.02627328036843</v>
      </c>
      <c r="Z54" s="63">
        <f t="shared" si="40"/>
        <v>292.23370851605404</v>
      </c>
      <c r="AA54" s="63">
        <f t="shared" si="40"/>
        <v>348.44114375173962</v>
      </c>
      <c r="AB54" s="63">
        <f t="shared" si="40"/>
        <v>404.6485789874252</v>
      </c>
      <c r="AC54" s="63">
        <f t="shared" si="40"/>
        <v>460.85601422311078</v>
      </c>
      <c r="AD54" s="63">
        <f t="shared" si="40"/>
        <v>517.06344945879641</v>
      </c>
    </row>
    <row r="55" spans="1:30" x14ac:dyDescent="0.35">
      <c r="A55" s="5">
        <f t="shared" si="27"/>
        <v>6.0217067529325194E-2</v>
      </c>
      <c r="B55" s="11">
        <f>NPV('Cost Assumptions'!$B$3,'MiraLoma &amp; Centralized BESS VS'!D55:'MiraLoma &amp; Centralized BESS VS'!AD55)</f>
        <v>9.2139543543061269</v>
      </c>
      <c r="C55" s="88" t="s">
        <v>34</v>
      </c>
      <c r="D55" s="63">
        <f t="shared" ref="D55:AD55" si="41">D11-D30</f>
        <v>2.3626764941950561E-2</v>
      </c>
      <c r="E55" s="63">
        <f t="shared" si="41"/>
        <v>7.0028879872988448E-2</v>
      </c>
      <c r="F55" s="63">
        <f t="shared" si="41"/>
        <v>0.10932167994761965</v>
      </c>
      <c r="G55" s="63">
        <f t="shared" si="41"/>
        <v>0.14861448002225086</v>
      </c>
      <c r="H55" s="63">
        <f t="shared" si="41"/>
        <v>0.18790728009688207</v>
      </c>
      <c r="I55" s="63">
        <f t="shared" si="41"/>
        <v>0.22720008017151327</v>
      </c>
      <c r="J55" s="63">
        <f t="shared" si="41"/>
        <v>0.26649288024614448</v>
      </c>
      <c r="K55" s="63">
        <f t="shared" si="41"/>
        <v>0.37108388586191865</v>
      </c>
      <c r="L55" s="63">
        <f t="shared" si="41"/>
        <v>0.47567489147769282</v>
      </c>
      <c r="M55" s="63">
        <f t="shared" si="41"/>
        <v>0.58026589709346699</v>
      </c>
      <c r="N55" s="63">
        <f t="shared" si="41"/>
        <v>0.68485690270924116</v>
      </c>
      <c r="O55" s="63">
        <f t="shared" si="41"/>
        <v>0.96307447636877097</v>
      </c>
      <c r="P55" s="63">
        <f t="shared" si="41"/>
        <v>1.2412920500283007</v>
      </c>
      <c r="Q55" s="63">
        <f t="shared" si="41"/>
        <v>1.5195096236878305</v>
      </c>
      <c r="R55" s="63">
        <f t="shared" si="41"/>
        <v>1.7977271973473603</v>
      </c>
      <c r="S55" s="63">
        <f t="shared" si="41"/>
        <v>2.0759447710068901</v>
      </c>
      <c r="T55" s="63">
        <f t="shared" si="41"/>
        <v>2.3541623446664199</v>
      </c>
      <c r="U55" s="63">
        <f t="shared" si="41"/>
        <v>2.7739950579232056</v>
      </c>
      <c r="V55" s="63">
        <f t="shared" si="41"/>
        <v>3.1938277711799912</v>
      </c>
      <c r="W55" s="63">
        <f t="shared" si="41"/>
        <v>3.6136604844367768</v>
      </c>
      <c r="X55" s="63">
        <f t="shared" si="41"/>
        <v>4.0334931976935628</v>
      </c>
      <c r="Y55" s="63">
        <f t="shared" si="41"/>
        <v>4.4533259109503485</v>
      </c>
      <c r="Z55" s="63">
        <f t="shared" si="41"/>
        <v>4.9056826754065028</v>
      </c>
      <c r="AA55" s="63">
        <f t="shared" si="41"/>
        <v>5.3580394398626572</v>
      </c>
      <c r="AB55" s="63">
        <f t="shared" si="41"/>
        <v>5.8103962043188115</v>
      </c>
      <c r="AC55" s="63">
        <f t="shared" si="41"/>
        <v>6.2627529687749659</v>
      </c>
      <c r="AD55" s="63">
        <f t="shared" si="41"/>
        <v>6.715109733231122</v>
      </c>
    </row>
    <row r="56" spans="1:30" x14ac:dyDescent="0.35">
      <c r="A56" s="5">
        <f t="shared" si="27"/>
        <v>0.81499999999999995</v>
      </c>
      <c r="B56" s="11">
        <f>NPV('Cost Assumptions'!$B$3,'MiraLoma &amp; Centralized BESS VS'!D56:'MiraLoma &amp; Centralized BESS VS'!AD56)</f>
        <v>146.79257165540955</v>
      </c>
      <c r="C56" s="88" t="s">
        <v>35</v>
      </c>
      <c r="D56" s="63">
        <f t="shared" ref="D56:AD56" si="42">D12-D31</f>
        <v>2</v>
      </c>
      <c r="E56" s="63">
        <f t="shared" si="42"/>
        <v>4</v>
      </c>
      <c r="F56" s="63">
        <f t="shared" si="42"/>
        <v>4.5999999999999996</v>
      </c>
      <c r="G56" s="63">
        <f t="shared" si="42"/>
        <v>5.1999999999999993</v>
      </c>
      <c r="H56" s="63">
        <f t="shared" si="42"/>
        <v>5.7999999999999989</v>
      </c>
      <c r="I56" s="63">
        <f t="shared" si="42"/>
        <v>6.3999999999999986</v>
      </c>
      <c r="J56" s="63">
        <f t="shared" si="42"/>
        <v>7</v>
      </c>
      <c r="K56" s="63">
        <f t="shared" si="42"/>
        <v>8.75</v>
      </c>
      <c r="L56" s="63">
        <f t="shared" si="42"/>
        <v>10.5</v>
      </c>
      <c r="M56" s="63">
        <f t="shared" si="42"/>
        <v>12.25</v>
      </c>
      <c r="N56" s="63">
        <f t="shared" si="42"/>
        <v>14</v>
      </c>
      <c r="O56" s="63">
        <f t="shared" si="42"/>
        <v>17.833333333333332</v>
      </c>
      <c r="P56" s="63">
        <f t="shared" si="42"/>
        <v>21.666666666666664</v>
      </c>
      <c r="Q56" s="63">
        <f t="shared" si="42"/>
        <v>25.499999999999996</v>
      </c>
      <c r="R56" s="63">
        <f t="shared" si="42"/>
        <v>29.333333333333329</v>
      </c>
      <c r="S56" s="63">
        <f t="shared" si="42"/>
        <v>33.166666666666664</v>
      </c>
      <c r="T56" s="63">
        <f t="shared" si="42"/>
        <v>37</v>
      </c>
      <c r="U56" s="63">
        <f t="shared" si="42"/>
        <v>40.200000000000003</v>
      </c>
      <c r="V56" s="63">
        <f t="shared" si="42"/>
        <v>43.400000000000006</v>
      </c>
      <c r="W56" s="63">
        <f t="shared" si="42"/>
        <v>46.600000000000009</v>
      </c>
      <c r="X56" s="63">
        <f t="shared" si="42"/>
        <v>49.800000000000011</v>
      </c>
      <c r="Y56" s="63">
        <f t="shared" si="42"/>
        <v>53</v>
      </c>
      <c r="Z56" s="63">
        <f t="shared" si="42"/>
        <v>57.8</v>
      </c>
      <c r="AA56" s="63">
        <f t="shared" si="42"/>
        <v>62.599999999999994</v>
      </c>
      <c r="AB56" s="63">
        <f t="shared" si="42"/>
        <v>67.399999999999991</v>
      </c>
      <c r="AC56" s="63">
        <f t="shared" si="42"/>
        <v>72.199999999999989</v>
      </c>
      <c r="AD56" s="63">
        <f t="shared" si="42"/>
        <v>77</v>
      </c>
    </row>
    <row r="58" spans="1:30" ht="15" thickBot="1" x14ac:dyDescent="0.4">
      <c r="A58" s="166" t="s">
        <v>156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</row>
    <row r="59" spans="1:30" ht="15.5" thickTop="1" thickBot="1" x14ac:dyDescent="0.4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" thickTop="1" x14ac:dyDescent="0.35">
      <c r="A60" s="88" t="str">
        <f>'Baseline System Analysis'!A17</f>
        <v>Residential</v>
      </c>
      <c r="B60" s="88" t="str">
        <f>'Baseline System Analysis'!B17</f>
        <v>Cost of Reliability (N-1)</v>
      </c>
      <c r="C60" s="88" t="str">
        <f>'Baseline System Analysis'!C17</f>
        <v>$/kWh</v>
      </c>
      <c r="D60" s="5">
        <f>'Baseline System Analysis'!D17</f>
        <v>4.4933261328125003</v>
      </c>
      <c r="E60" s="5">
        <f>'Baseline System Analysis'!E17</f>
        <v>4.6056592861328127</v>
      </c>
      <c r="F60" s="5">
        <f>'Baseline System Analysis'!F17</f>
        <v>4.720800768286133</v>
      </c>
      <c r="G60" s="5">
        <f>'Baseline System Analysis'!G17</f>
        <v>4.8388207874932858</v>
      </c>
      <c r="H60" s="5">
        <f>'Baseline System Analysis'!H17</f>
        <v>4.9597913071806179</v>
      </c>
      <c r="I60" s="5">
        <f>'Baseline System Analysis'!I17</f>
        <v>5.0837860898601326</v>
      </c>
      <c r="J60" s="5">
        <f>'Baseline System Analysis'!J17</f>
        <v>5.2108807421066352</v>
      </c>
      <c r="K60" s="5">
        <f>'Baseline System Analysis'!K17</f>
        <v>5.341152760659301</v>
      </c>
      <c r="L60" s="5">
        <f>'Baseline System Analysis'!L17</f>
        <v>5.4746815796757833</v>
      </c>
      <c r="M60" s="5">
        <f>'Baseline System Analysis'!M17</f>
        <v>5.6115486191676771</v>
      </c>
      <c r="N60" s="5">
        <f>'Baseline System Analysis'!N17</f>
        <v>5.7518373346468685</v>
      </c>
      <c r="O60" s="5">
        <f>'Baseline System Analysis'!O17</f>
        <v>5.8956332680130394</v>
      </c>
      <c r="P60" s="5">
        <f>'Baseline System Analysis'!P17</f>
        <v>6.0430240997133646</v>
      </c>
      <c r="Q60" s="5">
        <f>'Baseline System Analysis'!Q17</f>
        <v>6.1940997022061985</v>
      </c>
      <c r="R60" s="5">
        <f>'Baseline System Analysis'!R17</f>
        <v>6.3489521947613525</v>
      </c>
      <c r="S60" s="5">
        <f>'Baseline System Analysis'!S17</f>
        <v>6.5076759996303855</v>
      </c>
      <c r="T60" s="5">
        <f>'Baseline System Analysis'!T17</f>
        <v>6.6703678996211444</v>
      </c>
      <c r="U60" s="5">
        <f>'Baseline System Analysis'!U17</f>
        <v>6.8371270971116722</v>
      </c>
      <c r="V60" s="5">
        <f>'Baseline System Analysis'!V17</f>
        <v>7.0080552745394638</v>
      </c>
      <c r="W60" s="5">
        <f>'Baseline System Analysis'!W17</f>
        <v>7.1832566564029499</v>
      </c>
      <c r="X60" s="5">
        <f>'Baseline System Analysis'!X17</f>
        <v>7.3628380728130232</v>
      </c>
      <c r="Y60" s="5">
        <f>'Baseline System Analysis'!Y17</f>
        <v>7.5469090246333481</v>
      </c>
      <c r="Z60" s="5">
        <f>'Baseline System Analysis'!Z17</f>
        <v>7.7355817502491808</v>
      </c>
      <c r="AA60" s="5">
        <f>'Baseline System Analysis'!AA17</f>
        <v>7.92897129400541</v>
      </c>
      <c r="AB60" s="5">
        <f>'Baseline System Analysis'!AB17</f>
        <v>8.127195576355545</v>
      </c>
      <c r="AC60" s="5">
        <f>'Baseline System Analysis'!AC17</f>
        <v>8.3303754657644333</v>
      </c>
      <c r="AD60" s="5">
        <f>'Baseline System Analysis'!AD17</f>
        <v>8.5386348524085438</v>
      </c>
    </row>
    <row r="61" spans="1:30" x14ac:dyDescent="0.35">
      <c r="A61" s="88" t="str">
        <f>'Baseline System Analysis'!A18</f>
        <v>Residential</v>
      </c>
      <c r="B61" s="88" t="str">
        <f>'Baseline System Analysis'!B18</f>
        <v>Cost of Reliability (N-0)</v>
      </c>
      <c r="C61" s="88" t="str">
        <f>'Baseline System Analysis'!C18</f>
        <v>$/kWh</v>
      </c>
      <c r="D61" s="5">
        <f>'Baseline System Analysis'!D18</f>
        <v>3.7920011132812492</v>
      </c>
      <c r="E61" s="5">
        <f>'Baseline System Analysis'!E18</f>
        <v>3.8868011411132799</v>
      </c>
      <c r="F61" s="5">
        <f>'Baseline System Analysis'!F18</f>
        <v>3.9839711696411118</v>
      </c>
      <c r="G61" s="5">
        <f>'Baseline System Analysis'!G18</f>
        <v>4.0835704488821394</v>
      </c>
      <c r="H61" s="5">
        <f>'Baseline System Analysis'!H18</f>
        <v>4.1856597101041926</v>
      </c>
      <c r="I61" s="5">
        <f>'Baseline System Analysis'!I18</f>
        <v>4.2903012028567966</v>
      </c>
      <c r="J61" s="5">
        <f>'Baseline System Analysis'!J18</f>
        <v>4.397558732928216</v>
      </c>
      <c r="K61" s="5">
        <f>'Baseline System Analysis'!K18</f>
        <v>4.5074977012514212</v>
      </c>
      <c r="L61" s="5">
        <f>'Baseline System Analysis'!L18</f>
        <v>4.6201851437827059</v>
      </c>
      <c r="M61" s="5">
        <f>'Baseline System Analysis'!M18</f>
        <v>4.7356897723772731</v>
      </c>
      <c r="N61" s="5">
        <f>'Baseline System Analysis'!N18</f>
        <v>4.8540820166867045</v>
      </c>
      <c r="O61" s="5">
        <f>'Baseline System Analysis'!O18</f>
        <v>4.9754340671038717</v>
      </c>
      <c r="P61" s="5">
        <f>'Baseline System Analysis'!P18</f>
        <v>5.0998199187814679</v>
      </c>
      <c r="Q61" s="5">
        <f>'Baseline System Analysis'!Q18</f>
        <v>5.2273154167510043</v>
      </c>
      <c r="R61" s="5">
        <f>'Baseline System Analysis'!R18</f>
        <v>5.3579983021697792</v>
      </c>
      <c r="S61" s="5">
        <f>'Baseline System Analysis'!S18</f>
        <v>5.4919482597240235</v>
      </c>
      <c r="T61" s="5">
        <f>'Baseline System Analysis'!T18</f>
        <v>5.6292469662171234</v>
      </c>
      <c r="U61" s="5">
        <f>'Baseline System Analysis'!U18</f>
        <v>5.769978140372551</v>
      </c>
      <c r="V61" s="5">
        <f>'Baseline System Analysis'!V18</f>
        <v>5.914227593881864</v>
      </c>
      <c r="W61" s="5">
        <f>'Baseline System Analysis'!W18</f>
        <v>6.06208328372891</v>
      </c>
      <c r="X61" s="5">
        <f>'Baseline System Analysis'!X18</f>
        <v>6.2136353658221326</v>
      </c>
      <c r="Y61" s="5">
        <f>'Baseline System Analysis'!Y18</f>
        <v>6.3689762499676856</v>
      </c>
      <c r="Z61" s="5">
        <f>'Baseline System Analysis'!Z18</f>
        <v>6.5282006562168773</v>
      </c>
      <c r="AA61" s="5">
        <f>'Baseline System Analysis'!AA18</f>
        <v>6.6914056726222988</v>
      </c>
      <c r="AB61" s="5">
        <f>'Baseline System Analysis'!AB18</f>
        <v>6.858690814437856</v>
      </c>
      <c r="AC61" s="5">
        <f>'Baseline System Analysis'!AC18</f>
        <v>7.0301580847988019</v>
      </c>
      <c r="AD61" s="5">
        <f>'Baseline System Analysis'!AD18</f>
        <v>7.2059120369187717</v>
      </c>
    </row>
    <row r="62" spans="1:30" x14ac:dyDescent="0.35">
      <c r="A62" s="88" t="str">
        <f>'Baseline System Analysis'!A19</f>
        <v>Commerical</v>
      </c>
      <c r="B62" s="88" t="str">
        <f>'Baseline System Analysis'!B19</f>
        <v>Cost of Reliability (N-1)</v>
      </c>
      <c r="C62" s="88" t="str">
        <f>'Baseline System Analysis'!C19</f>
        <v>$/kWh</v>
      </c>
      <c r="D62" s="5">
        <f>'Baseline System Analysis'!D19</f>
        <v>166.59767191406246</v>
      </c>
      <c r="E62" s="5">
        <f>'Baseline System Analysis'!E19</f>
        <v>170.76261371191401</v>
      </c>
      <c r="F62" s="5">
        <f>'Baseline System Analysis'!F19</f>
        <v>175.03167905471184</v>
      </c>
      <c r="G62" s="5">
        <f>'Baseline System Analysis'!G19</f>
        <v>179.40747103107964</v>
      </c>
      <c r="H62" s="5">
        <f>'Baseline System Analysis'!H19</f>
        <v>183.89265780685662</v>
      </c>
      <c r="I62" s="5">
        <f>'Baseline System Analysis'!I19</f>
        <v>188.48997425202802</v>
      </c>
      <c r="J62" s="5">
        <f>'Baseline System Analysis'!J19</f>
        <v>193.20222360832869</v>
      </c>
      <c r="K62" s="5">
        <f>'Baseline System Analysis'!K19</f>
        <v>198.03227919853688</v>
      </c>
      <c r="L62" s="5">
        <f>'Baseline System Analysis'!L19</f>
        <v>202.98308617850029</v>
      </c>
      <c r="M62" s="5">
        <f>'Baseline System Analysis'!M19</f>
        <v>208.05766333296279</v>
      </c>
      <c r="N62" s="5">
        <f>'Baseline System Analysis'!N19</f>
        <v>213.25910491628684</v>
      </c>
      <c r="O62" s="5">
        <f>'Baseline System Analysis'!O19</f>
        <v>218.590582539194</v>
      </c>
      <c r="P62" s="5">
        <f>'Baseline System Analysis'!P19</f>
        <v>224.05534710267384</v>
      </c>
      <c r="Q62" s="5">
        <f>'Baseline System Analysis'!Q19</f>
        <v>229.65673078024065</v>
      </c>
      <c r="R62" s="5">
        <f>'Baseline System Analysis'!R19</f>
        <v>235.39814904974665</v>
      </c>
      <c r="S62" s="5">
        <f>'Baseline System Analysis'!S19</f>
        <v>241.2831027759903</v>
      </c>
      <c r="T62" s="5">
        <f>'Baseline System Analysis'!T19</f>
        <v>247.31518034539005</v>
      </c>
      <c r="U62" s="5">
        <f>'Baseline System Analysis'!U19</f>
        <v>253.49805985402477</v>
      </c>
      <c r="V62" s="5">
        <f>'Baseline System Analysis'!V19</f>
        <v>259.83551135037538</v>
      </c>
      <c r="W62" s="5">
        <f>'Baseline System Analysis'!W19</f>
        <v>266.33139913413476</v>
      </c>
      <c r="X62" s="5">
        <f>'Baseline System Analysis'!X19</f>
        <v>272.98968411248808</v>
      </c>
      <c r="Y62" s="5">
        <f>'Baseline System Analysis'!Y19</f>
        <v>279.81442621530027</v>
      </c>
      <c r="Z62" s="5">
        <f>'Baseline System Analysis'!Z19</f>
        <v>286.80978687068273</v>
      </c>
      <c r="AA62" s="5">
        <f>'Baseline System Analysis'!AA19</f>
        <v>293.98003154244975</v>
      </c>
      <c r="AB62" s="5">
        <f>'Baseline System Analysis'!AB19</f>
        <v>301.32953233101097</v>
      </c>
      <c r="AC62" s="5">
        <f>'Baseline System Analysis'!AC19</f>
        <v>308.86277063928623</v>
      </c>
      <c r="AD62" s="5">
        <f>'Baseline System Analysis'!AD19</f>
        <v>316.58433990526834</v>
      </c>
    </row>
    <row r="63" spans="1:30" x14ac:dyDescent="0.35">
      <c r="A63" s="88" t="str">
        <f>'Baseline System Analysis'!A20</f>
        <v>Commerical</v>
      </c>
      <c r="B63" s="88" t="str">
        <f>'Baseline System Analysis'!B20</f>
        <v>Cost of Reliability (N-0)</v>
      </c>
      <c r="C63" s="88" t="str">
        <f>'Baseline System Analysis'!C20</f>
        <v>$/kWh</v>
      </c>
      <c r="D63" s="5">
        <f>'Baseline System Analysis'!D20</f>
        <v>153.83719106445315</v>
      </c>
      <c r="E63" s="5">
        <f>'Baseline System Analysis'!E20</f>
        <v>157.68312084106446</v>
      </c>
      <c r="F63" s="5">
        <f>'Baseline System Analysis'!F20</f>
        <v>161.62519886209105</v>
      </c>
      <c r="G63" s="5">
        <f>'Baseline System Analysis'!G20</f>
        <v>165.6658288336433</v>
      </c>
      <c r="H63" s="5">
        <f>'Baseline System Analysis'!H20</f>
        <v>169.80747455448437</v>
      </c>
      <c r="I63" s="5">
        <f>'Baseline System Analysis'!I20</f>
        <v>174.05266141834647</v>
      </c>
      <c r="J63" s="5">
        <f>'Baseline System Analysis'!J20</f>
        <v>178.40397795380511</v>
      </c>
      <c r="K63" s="5">
        <f>'Baseline System Analysis'!K20</f>
        <v>182.86407740265022</v>
      </c>
      <c r="L63" s="5">
        <f>'Baseline System Analysis'!L20</f>
        <v>187.43567933771646</v>
      </c>
      <c r="M63" s="5">
        <f>'Baseline System Analysis'!M20</f>
        <v>192.12157132115937</v>
      </c>
      <c r="N63" s="5">
        <f>'Baseline System Analysis'!N20</f>
        <v>196.92461060418833</v>
      </c>
      <c r="O63" s="5">
        <f>'Baseline System Analysis'!O20</f>
        <v>201.84772586929301</v>
      </c>
      <c r="P63" s="5">
        <f>'Baseline System Analysis'!P20</f>
        <v>206.89391901602534</v>
      </c>
      <c r="Q63" s="5">
        <f>'Baseline System Analysis'!Q20</f>
        <v>212.06626699142595</v>
      </c>
      <c r="R63" s="5">
        <f>'Baseline System Analysis'!R20</f>
        <v>217.36792366621157</v>
      </c>
      <c r="S63" s="5">
        <f>'Baseline System Analysis'!S20</f>
        <v>222.80212175786684</v>
      </c>
      <c r="T63" s="5">
        <f>'Baseline System Analysis'!T20</f>
        <v>228.37217480181349</v>
      </c>
      <c r="U63" s="5">
        <f>'Baseline System Analysis'!U20</f>
        <v>234.0814791718588</v>
      </c>
      <c r="V63" s="5">
        <f>'Baseline System Analysis'!V20</f>
        <v>239.93351615115526</v>
      </c>
      <c r="W63" s="5">
        <f>'Baseline System Analysis'!W20</f>
        <v>245.93185405493412</v>
      </c>
      <c r="X63" s="5">
        <f>'Baseline System Analysis'!X20</f>
        <v>252.08015040630744</v>
      </c>
      <c r="Y63" s="5">
        <f>'Baseline System Analysis'!Y20</f>
        <v>258.38215416646511</v>
      </c>
      <c r="Z63" s="5">
        <f>'Baseline System Analysis'!Z20</f>
        <v>264.8417080206267</v>
      </c>
      <c r="AA63" s="5">
        <f>'Baseline System Analysis'!AA20</f>
        <v>271.46275072114236</v>
      </c>
      <c r="AB63" s="5">
        <f>'Baseline System Analysis'!AB20</f>
        <v>278.24931948917089</v>
      </c>
      <c r="AC63" s="5">
        <f>'Baseline System Analysis'!AC20</f>
        <v>285.20555247640016</v>
      </c>
      <c r="AD63" s="5">
        <f>'Baseline System Analysis'!AD20</f>
        <v>292.33569128831016</v>
      </c>
    </row>
    <row r="65" spans="1:30" x14ac:dyDescent="0.35">
      <c r="A65" s="88" t="s">
        <v>130</v>
      </c>
      <c r="B65" s="88" t="s">
        <v>31</v>
      </c>
      <c r="C65" s="20">
        <f>NPV('Cost Assumptions'!$B$3,D65:AD65)</f>
        <v>1183304.0827024807</v>
      </c>
      <c r="D65" s="5">
        <f>'Baseline System Analysis'!D24-D34</f>
        <v>1354.9655166582397</v>
      </c>
      <c r="E65" s="5">
        <f>'Baseline System Analysis'!E24-E34</f>
        <v>3468.8297365152371</v>
      </c>
      <c r="F65" s="5">
        <f>'Baseline System Analysis'!F24-F34</f>
        <v>5582.6939563722344</v>
      </c>
      <c r="G65" s="5">
        <f>'Baseline System Analysis'!G24-G34</f>
        <v>7696.5581762292313</v>
      </c>
      <c r="H65" s="5">
        <f>'Baseline System Analysis'!H24-H34</f>
        <v>9810.4223960862291</v>
      </c>
      <c r="I65" s="5">
        <f>'Baseline System Analysis'!I24-I34</f>
        <v>11924.286615943227</v>
      </c>
      <c r="J65" s="5">
        <f>'Baseline System Analysis'!J24-J34</f>
        <v>7844.6356917809026</v>
      </c>
      <c r="K65" s="5">
        <f>'Baseline System Analysis'!K24-K34</f>
        <v>11119.796850293853</v>
      </c>
      <c r="L65" s="5">
        <f>'Baseline System Analysis'!L24-L34</f>
        <v>14394.958008806803</v>
      </c>
      <c r="M65" s="5">
        <f>'Baseline System Analysis'!M24-M34</f>
        <v>17670.11916731975</v>
      </c>
      <c r="N65" s="5">
        <f>'Baseline System Analysis'!N24-N34</f>
        <v>20945.280325832704</v>
      </c>
      <c r="O65" s="5">
        <f>'Baseline System Analysis'!O24-O34</f>
        <v>57601.481566947223</v>
      </c>
      <c r="P65" s="5">
        <f>'Baseline System Analysis'!P24-P34</f>
        <v>92187.383992578834</v>
      </c>
      <c r="Q65" s="5">
        <f>'Baseline System Analysis'!Q24-Q34</f>
        <v>126773.28641821045</v>
      </c>
      <c r="R65" s="5">
        <f>'Baseline System Analysis'!R24-R34</f>
        <v>161359.18884384207</v>
      </c>
      <c r="S65" s="5">
        <f>'Baseline System Analysis'!S24-S34</f>
        <v>195945.09126947369</v>
      </c>
      <c r="T65" s="5">
        <f>'Baseline System Analysis'!T24-T34</f>
        <v>230530.99369510534</v>
      </c>
      <c r="U65" s="5">
        <f>'Baseline System Analysis'!U24-U34</f>
        <v>323363.17603666399</v>
      </c>
      <c r="V65" s="5">
        <f>'Baseline System Analysis'!V24-V34</f>
        <v>416195.35837822268</v>
      </c>
      <c r="W65" s="5">
        <f>'Baseline System Analysis'!W24-W34</f>
        <v>509027.54071978136</v>
      </c>
      <c r="X65" s="5">
        <f>'Baseline System Analysis'!X24-X34</f>
        <v>601859.72306134005</v>
      </c>
      <c r="Y65" s="5">
        <f>'Baseline System Analysis'!Y24-Y34</f>
        <v>694691.90540289867</v>
      </c>
      <c r="Z65" s="5">
        <f>'Baseline System Analysis'!Z24-Z34</f>
        <v>870516.1325929634</v>
      </c>
      <c r="AA65" s="5">
        <f>'Baseline System Analysis'!AA24-AA34</f>
        <v>1046340.359783028</v>
      </c>
      <c r="AB65" s="5">
        <f>'Baseline System Analysis'!AB24-AB34</f>
        <v>1222164.586973093</v>
      </c>
      <c r="AC65" s="5">
        <f>'Baseline System Analysis'!AC24-AC34</f>
        <v>1397988.8141631577</v>
      </c>
      <c r="AD65" s="5">
        <f>'Baseline System Analysis'!AD24-AD34</f>
        <v>1573813.0413532222</v>
      </c>
    </row>
    <row r="66" spans="1:30" x14ac:dyDescent="0.35">
      <c r="A66" s="88" t="s">
        <v>132</v>
      </c>
      <c r="B66" s="88" t="s">
        <v>31</v>
      </c>
      <c r="C66" s="20">
        <f>NPV('Cost Assumptions'!$B$3,D66:AD66)</f>
        <v>4968789.5211697584</v>
      </c>
      <c r="D66" s="5">
        <f>'Baseline System Analysis'!D25-D35</f>
        <v>5622.4102100812415</v>
      </c>
      <c r="E66" s="5">
        <f>'Baseline System Analysis'!E25-E35</f>
        <v>14393.85983468976</v>
      </c>
      <c r="F66" s="5">
        <f>'Baseline System Analysis'!F25-F35</f>
        <v>23165.309459298278</v>
      </c>
      <c r="G66" s="5">
        <f>'Baseline System Analysis'!G25-G35</f>
        <v>31936.759083906796</v>
      </c>
      <c r="H66" s="5">
        <f>'Baseline System Analysis'!H25-H35</f>
        <v>40708.208708515318</v>
      </c>
      <c r="I66" s="5">
        <f>'Baseline System Analysis'!I25-I35</f>
        <v>49479.658333123836</v>
      </c>
      <c r="J66" s="5">
        <f>'Baseline System Analysis'!J25-J35</f>
        <v>32551.204636273695</v>
      </c>
      <c r="K66" s="5">
        <f>'Baseline System Analysis'!K25-K35</f>
        <v>55554.334120306914</v>
      </c>
      <c r="L66" s="5">
        <f>'Baseline System Analysis'!L25-L35</f>
        <v>78557.463604340126</v>
      </c>
      <c r="M66" s="5">
        <f>'Baseline System Analysis'!M25-M35</f>
        <v>101560.59308837334</v>
      </c>
      <c r="N66" s="5">
        <f>'Baseline System Analysis'!N25-N35</f>
        <v>124563.72257240655</v>
      </c>
      <c r="O66" s="5">
        <f>'Baseline System Analysis'!O25-O35</f>
        <v>239016.53148823039</v>
      </c>
      <c r="P66" s="5">
        <f>'Baseline System Analysis'!P25-P35</f>
        <v>382530.24348463106</v>
      </c>
      <c r="Q66" s="5">
        <f>'Baseline System Analysis'!Q25-Q35</f>
        <v>541977.22693135054</v>
      </c>
      <c r="R66" s="5">
        <f>'Baseline System Analysis'!R25-R35</f>
        <v>701424.21037807001</v>
      </c>
      <c r="S66" s="5">
        <f>'Baseline System Analysis'!S25-S35</f>
        <v>860871.19382478949</v>
      </c>
      <c r="T66" s="5">
        <f>'Baseline System Analysis'!T25-T35</f>
        <v>956585.09147023375</v>
      </c>
      <c r="U66" s="5">
        <f>'Baseline System Analysis'!U25-U35</f>
        <v>1341790.9165664832</v>
      </c>
      <c r="V66" s="5">
        <f>'Baseline System Analysis'!V25-V35</f>
        <v>1726996.7416627323</v>
      </c>
      <c r="W66" s="5">
        <f>'Baseline System Analysis'!W25-W35</f>
        <v>2112202.5667589819</v>
      </c>
      <c r="X66" s="5">
        <f>'Baseline System Analysis'!X25-X35</f>
        <v>2497408.391855231</v>
      </c>
      <c r="Y66" s="5">
        <f>'Baseline System Analysis'!Y25-Y35</f>
        <v>2882614.2169514806</v>
      </c>
      <c r="Z66" s="5">
        <f>'Baseline System Analysis'!Z25-Z35</f>
        <v>3612194.3560616965</v>
      </c>
      <c r="AA66" s="5">
        <f>'Baseline System Analysis'!AA25-AA35</f>
        <v>4341774.495171912</v>
      </c>
      <c r="AB66" s="5">
        <f>'Baseline System Analysis'!AB25-AB35</f>
        <v>5071354.634282127</v>
      </c>
      <c r="AC66" s="5">
        <f>'Baseline System Analysis'!AC25-AC35</f>
        <v>5800934.773392342</v>
      </c>
      <c r="AD66" s="5">
        <f>'Baseline System Analysis'!AD25-AD35</f>
        <v>6530514.9125025598</v>
      </c>
    </row>
    <row r="67" spans="1:30" x14ac:dyDescent="0.35">
      <c r="A67" s="88" t="s">
        <v>24</v>
      </c>
      <c r="B67" s="88" t="s">
        <v>31</v>
      </c>
      <c r="C67" s="20">
        <f>NPV('Cost Assumptions'!$B$3,D67:AD67)</f>
        <v>6152093.6038722396</v>
      </c>
      <c r="D67" s="5">
        <f>SUM(D65:D66)</f>
        <v>6977.3757267394813</v>
      </c>
      <c r="E67" s="5">
        <f t="shared" ref="E67:AD67" si="43">SUM(E65:E66)</f>
        <v>17862.689571204995</v>
      </c>
      <c r="F67" s="5">
        <f t="shared" si="43"/>
        <v>28748.003415670511</v>
      </c>
      <c r="G67" s="5">
        <f t="shared" si="43"/>
        <v>39633.317260136027</v>
      </c>
      <c r="H67" s="5">
        <f t="shared" si="43"/>
        <v>50518.631104601547</v>
      </c>
      <c r="I67" s="5">
        <f t="shared" si="43"/>
        <v>61403.944949067067</v>
      </c>
      <c r="J67" s="5">
        <f t="shared" si="43"/>
        <v>40395.840328054597</v>
      </c>
      <c r="K67" s="5">
        <f t="shared" si="43"/>
        <v>66674.13097060076</v>
      </c>
      <c r="L67" s="5">
        <f t="shared" si="43"/>
        <v>92952.421613146929</v>
      </c>
      <c r="M67" s="5">
        <f t="shared" si="43"/>
        <v>119230.71225569308</v>
      </c>
      <c r="N67" s="5">
        <f t="shared" si="43"/>
        <v>145509.00289823924</v>
      </c>
      <c r="O67" s="5">
        <f t="shared" si="43"/>
        <v>296618.01305517764</v>
      </c>
      <c r="P67" s="5">
        <f t="shared" si="43"/>
        <v>474717.6274772099</v>
      </c>
      <c r="Q67" s="5">
        <f t="shared" si="43"/>
        <v>668750.51334956102</v>
      </c>
      <c r="R67" s="5">
        <f t="shared" si="43"/>
        <v>862783.39922191203</v>
      </c>
      <c r="S67" s="5">
        <f t="shared" si="43"/>
        <v>1056816.2850942633</v>
      </c>
      <c r="T67" s="5">
        <f t="shared" si="43"/>
        <v>1187116.0851653391</v>
      </c>
      <c r="U67" s="5">
        <f t="shared" si="43"/>
        <v>1665154.0926031473</v>
      </c>
      <c r="V67" s="5">
        <f t="shared" si="43"/>
        <v>2143192.100040955</v>
      </c>
      <c r="W67" s="5">
        <f t="shared" si="43"/>
        <v>2621230.1074787634</v>
      </c>
      <c r="X67" s="5">
        <f t="shared" si="43"/>
        <v>3099268.114916571</v>
      </c>
      <c r="Y67" s="5">
        <f t="shared" si="43"/>
        <v>3577306.1223543794</v>
      </c>
      <c r="Z67" s="5">
        <f t="shared" si="43"/>
        <v>4482710.4886546601</v>
      </c>
      <c r="AA67" s="5">
        <f t="shared" si="43"/>
        <v>5388114.8549549403</v>
      </c>
      <c r="AB67" s="5">
        <f t="shared" si="43"/>
        <v>6293519.2212552205</v>
      </c>
      <c r="AC67" s="5">
        <f t="shared" si="43"/>
        <v>7198923.5875554997</v>
      </c>
      <c r="AD67" s="5">
        <f t="shared" si="43"/>
        <v>8104327.9538557818</v>
      </c>
    </row>
    <row r="68" spans="1:30" x14ac:dyDescent="0.35">
      <c r="A68" s="88"/>
      <c r="B68" s="88"/>
      <c r="C68" s="8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x14ac:dyDescent="0.35">
      <c r="A69" s="88" t="s">
        <v>133</v>
      </c>
      <c r="B69" s="88" t="s">
        <v>31</v>
      </c>
      <c r="C69" s="20">
        <f>NPV('Cost Assumptions'!$B$3,D69:AD69)</f>
        <v>55025530.55289489</v>
      </c>
      <c r="D69" s="5">
        <f>'Baseline System Analysis'!D28-D32</f>
        <v>160316.96625268596</v>
      </c>
      <c r="E69" s="5">
        <f>'Baseline System Analysis'!E28-E32</f>
        <v>426669.25690772623</v>
      </c>
      <c r="F69" s="5">
        <f>'Baseline System Analysis'!F28-F32</f>
        <v>622795.96524369309</v>
      </c>
      <c r="G69" s="5">
        <f>'Baseline System Analysis'!G28-G32</f>
        <v>833703.43870740035</v>
      </c>
      <c r="H69" s="5">
        <f>'Baseline System Analysis'!H28-H32</f>
        <v>1064554.7712044911</v>
      </c>
      <c r="I69" s="5">
        <f>'Baseline System Analysis'!I28-I32</f>
        <v>1155250.6032801536</v>
      </c>
      <c r="J69" s="5">
        <f>'Baseline System Analysis'!J28-J32</f>
        <v>1567814.7930424134</v>
      </c>
      <c r="K69" s="5">
        <f>'Baseline System Analysis'!K28-K32</f>
        <v>2064587.6916558424</v>
      </c>
      <c r="L69" s="5">
        <f>'Baseline System Analysis'!L28-L32</f>
        <v>2485972.1963254735</v>
      </c>
      <c r="M69" s="5">
        <f>'Baseline System Analysis'!M28-M32</f>
        <v>2907214.7827229644</v>
      </c>
      <c r="N69" s="5">
        <f>'Baseline System Analysis'!N28-N32</f>
        <v>3653487.05439856</v>
      </c>
      <c r="O69" s="5">
        <f>'Baseline System Analysis'!O28-O32</f>
        <v>4512360.7012723647</v>
      </c>
      <c r="P69" s="5">
        <f>'Baseline System Analysis'!P28-P32</f>
        <v>5845712.9395959051</v>
      </c>
      <c r="Q69" s="5">
        <f>'Baseline System Analysis'!Q28-Q32</f>
        <v>7145234.3901076168</v>
      </c>
      <c r="R69" s="5">
        <f>'Baseline System Analysis'!R28-R32</f>
        <v>9104342.6872677077</v>
      </c>
      <c r="S69" s="5">
        <f>'Baseline System Analysis'!S28-S32</f>
        <v>11402628.544698209</v>
      </c>
      <c r="T69" s="5">
        <f>'Baseline System Analysis'!T28-T32</f>
        <v>14095767.66157037</v>
      </c>
      <c r="U69" s="5">
        <f>'Baseline System Analysis'!U28-U32</f>
        <v>17191903.011561129</v>
      </c>
      <c r="V69" s="5">
        <f>'Baseline System Analysis'!V28-V32</f>
        <v>19393249.568390317</v>
      </c>
      <c r="W69" s="5">
        <f>'Baseline System Analysis'!W28-W32</f>
        <v>22204176.923500877</v>
      </c>
      <c r="X69" s="5">
        <f>'Baseline System Analysis'!X28-X32</f>
        <v>25300486.71745725</v>
      </c>
      <c r="Y69" s="5">
        <f>'Baseline System Analysis'!Y28-Y32</f>
        <v>28417067.414872523</v>
      </c>
      <c r="Z69" s="5">
        <f>'Baseline System Analysis'!Z28-Z32</f>
        <v>31752052.54955313</v>
      </c>
      <c r="AA69" s="5">
        <f>'Baseline System Analysis'!AA28-AA32</f>
        <v>35546944.482215486</v>
      </c>
      <c r="AB69" s="5">
        <f>'Baseline System Analysis'!AB28-AB32</f>
        <v>39903552.597625397</v>
      </c>
      <c r="AC69" s="5">
        <f>'Baseline System Analysis'!AC28-AC32</f>
        <v>43253166.677575208</v>
      </c>
      <c r="AD69" s="5">
        <f>'Baseline System Analysis'!AD28-AD32</f>
        <v>46546673.239923745</v>
      </c>
    </row>
    <row r="70" spans="1:30" x14ac:dyDescent="0.35">
      <c r="A70" s="88" t="s">
        <v>134</v>
      </c>
      <c r="B70" s="88" t="s">
        <v>31</v>
      </c>
      <c r="C70" s="20">
        <f>NPV('Cost Assumptions'!$B$3,D70:AD70)</f>
        <v>242736972.29884523</v>
      </c>
      <c r="D70" s="5">
        <f>'Baseline System Analysis'!D29-D33</f>
        <v>903378.82566768141</v>
      </c>
      <c r="E70" s="5">
        <f>'Baseline System Analysis'!E29-E33</f>
        <v>2253314.5961599764</v>
      </c>
      <c r="F70" s="5">
        <f>'Baseline System Analysis'!F29-F33</f>
        <v>3310509.516156707</v>
      </c>
      <c r="G70" s="5">
        <f>'Baseline System Analysis'!G29-G33</f>
        <v>4447440.2170750583</v>
      </c>
      <c r="H70" s="5">
        <f>'Baseline System Analysis'!H29-H33</f>
        <v>5587242.1815372296</v>
      </c>
      <c r="I70" s="5">
        <f>'Baseline System Analysis'!I29-I33</f>
        <v>5454561.6522228802</v>
      </c>
      <c r="J70" s="5">
        <f>'Baseline System Analysis'!J29-J33</f>
        <v>7543245.1947770724</v>
      </c>
      <c r="K70" s="5">
        <f>'Baseline System Analysis'!K29-K33</f>
        <v>10054559.779896669</v>
      </c>
      <c r="L70" s="5">
        <f>'Baseline System Analysis'!L29-L33</f>
        <v>11610814.214658689</v>
      </c>
      <c r="M70" s="5">
        <f>'Baseline System Analysis'!M29-M33</f>
        <v>12826351.057208685</v>
      </c>
      <c r="N70" s="5">
        <f>'Baseline System Analysis'!N29-N33</f>
        <v>16062284.122916382</v>
      </c>
      <c r="O70" s="5">
        <f>'Baseline System Analysis'!O29-O33</f>
        <v>19403643.120637149</v>
      </c>
      <c r="P70" s="5">
        <f>'Baseline System Analysis'!P29-P33</f>
        <v>25219740.504592769</v>
      </c>
      <c r="Q70" s="5">
        <f>'Baseline System Analysis'!Q29-Q33</f>
        <v>31071411.196852271</v>
      </c>
      <c r="R70" s="5">
        <f>'Baseline System Analysis'!R29-R33</f>
        <v>39644741.256940469</v>
      </c>
      <c r="S70" s="5">
        <f>'Baseline System Analysis'!S29-S33</f>
        <v>50251518.164887004</v>
      </c>
      <c r="T70" s="5">
        <f>'Baseline System Analysis'!T29-T33</f>
        <v>62975375.307628401</v>
      </c>
      <c r="U70" s="5">
        <f>'Baseline System Analysis'!U29-U33</f>
        <v>77967536.623126328</v>
      </c>
      <c r="V70" s="5">
        <f>'Baseline System Analysis'!V29-V33</f>
        <v>85493629.625678569</v>
      </c>
      <c r="W70" s="5">
        <f>'Baseline System Analysis'!W29-W33</f>
        <v>96889943.264270231</v>
      </c>
      <c r="X70" s="5">
        <f>'Baseline System Analysis'!X29-X33</f>
        <v>109044932.47197554</v>
      </c>
      <c r="Y70" s="5">
        <f>'Baseline System Analysis'!Y29-Y33</f>
        <v>122534152.53852251</v>
      </c>
      <c r="Z70" s="5">
        <f>'Baseline System Analysis'!Z29-Z33</f>
        <v>136516549.22112581</v>
      </c>
      <c r="AA70" s="5">
        <f>'Baseline System Analysis'!AA29-AA33</f>
        <v>152312518.58134991</v>
      </c>
      <c r="AB70" s="5">
        <f>'Baseline System Analysis'!AB29-AB33</f>
        <v>170666427.51783419</v>
      </c>
      <c r="AC70" s="5">
        <f>'Baseline System Analysis'!AC29-AC33</f>
        <v>185761195.95831525</v>
      </c>
      <c r="AD70" s="5">
        <f>'Baseline System Analysis'!AD29-AD33</f>
        <v>198274570.28534347</v>
      </c>
    </row>
    <row r="71" spans="1:30" x14ac:dyDescent="0.35">
      <c r="A71" s="88" t="s">
        <v>24</v>
      </c>
      <c r="B71" s="88" t="s">
        <v>31</v>
      </c>
      <c r="C71" s="20">
        <f>NPV('Cost Assumptions'!$B$3,D71:AD71)</f>
        <v>297762502.85174012</v>
      </c>
      <c r="D71" s="5">
        <f>SUM(D69:D70)</f>
        <v>1063695.7919203674</v>
      </c>
      <c r="E71" s="5">
        <f t="shared" ref="E71:AD71" si="44">SUM(E69:E70)</f>
        <v>2679983.8530677026</v>
      </c>
      <c r="F71" s="5">
        <f t="shared" si="44"/>
        <v>3933305.4814003999</v>
      </c>
      <c r="G71" s="5">
        <f t="shared" si="44"/>
        <v>5281143.6557824584</v>
      </c>
      <c r="H71" s="5">
        <f t="shared" si="44"/>
        <v>6651796.9527417207</v>
      </c>
      <c r="I71" s="5">
        <f t="shared" si="44"/>
        <v>6609812.2555030342</v>
      </c>
      <c r="J71" s="5">
        <f t="shared" si="44"/>
        <v>9111059.9878194854</v>
      </c>
      <c r="K71" s="5">
        <f t="shared" si="44"/>
        <v>12119147.471552512</v>
      </c>
      <c r="L71" s="5">
        <f t="shared" si="44"/>
        <v>14096786.410984162</v>
      </c>
      <c r="M71" s="5">
        <f t="shared" si="44"/>
        <v>15733565.83993165</v>
      </c>
      <c r="N71" s="5">
        <f t="shared" si="44"/>
        <v>19715771.177314941</v>
      </c>
      <c r="O71" s="5">
        <f t="shared" si="44"/>
        <v>23916003.821909513</v>
      </c>
      <c r="P71" s="5">
        <f t="shared" si="44"/>
        <v>31065453.444188673</v>
      </c>
      <c r="Q71" s="5">
        <f t="shared" si="44"/>
        <v>38216645.586959884</v>
      </c>
      <c r="R71" s="5">
        <f t="shared" si="44"/>
        <v>48749083.944208175</v>
      </c>
      <c r="S71" s="5">
        <f t="shared" si="44"/>
        <v>61654146.709585212</v>
      </c>
      <c r="T71" s="5">
        <f t="shared" si="44"/>
        <v>77071142.969198763</v>
      </c>
      <c r="U71" s="5">
        <f t="shared" si="44"/>
        <v>95159439.634687454</v>
      </c>
      <c r="V71" s="5">
        <f t="shared" si="44"/>
        <v>104886879.19406888</v>
      </c>
      <c r="W71" s="5">
        <f t="shared" si="44"/>
        <v>119094120.18777111</v>
      </c>
      <c r="X71" s="5">
        <f t="shared" si="44"/>
        <v>134345419.1894328</v>
      </c>
      <c r="Y71" s="5">
        <f t="shared" si="44"/>
        <v>150951219.95339504</v>
      </c>
      <c r="Z71" s="5">
        <f t="shared" si="44"/>
        <v>168268601.77067894</v>
      </c>
      <c r="AA71" s="5">
        <f t="shared" si="44"/>
        <v>187859463.0635654</v>
      </c>
      <c r="AB71" s="5">
        <f t="shared" si="44"/>
        <v>210569980.11545959</v>
      </c>
      <c r="AC71" s="5">
        <f t="shared" si="44"/>
        <v>229014362.63589045</v>
      </c>
      <c r="AD71" s="5">
        <f t="shared" si="44"/>
        <v>244821243.52526721</v>
      </c>
    </row>
    <row r="73" spans="1:30" x14ac:dyDescent="0.35">
      <c r="A73" s="88" t="s">
        <v>130</v>
      </c>
      <c r="B73" s="88" t="s">
        <v>157</v>
      </c>
      <c r="C73" s="20">
        <f>NPV('Cost Assumptions'!$B$3,D73:AD73)</f>
        <v>616205205.9774282</v>
      </c>
      <c r="D73" s="63">
        <f>ABS((D49*D60*1000*'Cost Assumptions'!$B$6)/'Cost Assumptions'!$B$14)</f>
        <v>13206640.153751392</v>
      </c>
      <c r="E73" s="63">
        <f>ABS((E49*E60*1000*'Cost Assumptions'!$B$6)/'Cost Assumptions'!$B$14)</f>
        <v>17999839.332969867</v>
      </c>
      <c r="F73" s="63">
        <f>ABS((F49*F60*1000*'Cost Assumptions'!$B$6)/'Cost Assumptions'!$B$14)</f>
        <v>23024444.321053173</v>
      </c>
      <c r="G73" s="63">
        <f>ABS((G49*G60*1000*'Cost Assumptions'!$B$6)/'Cost Assumptions'!$B$14)</f>
        <v>28289029.658957537</v>
      </c>
      <c r="H73" s="63">
        <f>ABS((H49*H60*1000*'Cost Assumptions'!$B$6)/'Cost Assumptions'!$B$14)</f>
        <v>33802453.986056462</v>
      </c>
      <c r="I73" s="63">
        <f>ABS((I49*I60*1000*'Cost Assumptions'!$B$6)/'Cost Assumptions'!$B$14)</f>
        <v>39573868.885973476</v>
      </c>
      <c r="J73" s="63">
        <f>ABS((J49*J60*1000*'Cost Assumptions'!$B$6)/'Cost Assumptions'!$B$14)</f>
        <v>45612727.997145057</v>
      </c>
      <c r="K73" s="63">
        <f>ABS((K49*K60*1000*'Cost Assumptions'!$B$6)/'Cost Assumptions'!$B$14)</f>
        <v>51928796.395821489</v>
      </c>
      <c r="L73" s="63">
        <f>ABS((L49*L60*1000*'Cost Assumptions'!$B$6)/'Cost Assumptions'!$B$14)</f>
        <v>59024881.601604156</v>
      </c>
      <c r="M73" s="63">
        <f>ABS((M49*M60*1000*'Cost Assumptions'!$B$6)/'Cost Assumptions'!$B$14)</f>
        <v>66433752.667253874</v>
      </c>
      <c r="N73" s="63">
        <f>ABS((N49*N60*1000*'Cost Assumptions'!$B$6)/'Cost Assumptions'!$B$14)</f>
        <v>74378294.789150938</v>
      </c>
      <c r="O73" s="63">
        <f>ABS((O49*O60*1000*'Cost Assumptions'!$B$6)/'Cost Assumptions'!$B$14)</f>
        <v>82678542.921725824</v>
      </c>
      <c r="P73" s="63">
        <f>ABS((P49*P60*1000*'Cost Assumptions'!$B$6)/'Cost Assumptions'!$B$14)</f>
        <v>91347317.026686236</v>
      </c>
      <c r="Q73" s="63">
        <f>ABS((Q49*Q60*1000*'Cost Assumptions'!$B$6)/'Cost Assumptions'!$B$14)</f>
        <v>100397855.74756859</v>
      </c>
      <c r="R73" s="63">
        <f>ABS((R49*R60*1000*'Cost Assumptions'!$B$6)/'Cost Assumptions'!$B$14)</f>
        <v>109843829.3313534</v>
      </c>
      <c r="S73" s="63">
        <f>ABS((S49*S60*1000*'Cost Assumptions'!$B$6)/'Cost Assumptions'!$B$14)</f>
        <v>119699352.9344852</v>
      </c>
      <c r="T73" s="63">
        <f>ABS((T49*T60*1000*'Cost Assumptions'!$B$6)/'Cost Assumptions'!$B$14)</f>
        <v>129979000.32444145</v>
      </c>
      <c r="U73" s="63">
        <f>ABS((U49*U60*1000*'Cost Assumptions'!$B$6)/'Cost Assumptions'!$B$14)</f>
        <v>140697817.98831153</v>
      </c>
      <c r="V73" s="63">
        <f>ABS((V49*V60*1000*'Cost Assumptions'!$B$6)/'Cost Assumptions'!$B$14)</f>
        <v>151871339.66017231</v>
      </c>
      <c r="W73" s="63">
        <f>ABS((W49*W60*1000*'Cost Assumptions'!$B$6)/'Cost Assumptions'!$B$14)</f>
        <v>163515601.27938342</v>
      </c>
      <c r="X73" s="63">
        <f>ABS((X49*X60*1000*'Cost Assumptions'!$B$6)/'Cost Assumptions'!$B$14)</f>
        <v>175647156.39226753</v>
      </c>
      <c r="Y73" s="63">
        <f>ABS((Y49*Y60*1000*'Cost Assumptions'!$B$6)/'Cost Assumptions'!$B$14)</f>
        <v>188283092.00999618</v>
      </c>
      <c r="Z73" s="63">
        <f>ABS((Z49*Z60*1000*'Cost Assumptions'!$B$6)/'Cost Assumptions'!$B$14)</f>
        <v>201441044.93586609</v>
      </c>
      <c r="AA73" s="63">
        <f>ABS((AA49*AA60*1000*'Cost Assumptions'!$B$6)/'Cost Assumptions'!$B$14)</f>
        <v>215139218.57552326</v>
      </c>
      <c r="AB73" s="63">
        <f>ABS((AB49*AB60*1000*'Cost Assumptions'!$B$6)/'Cost Assumptions'!$B$14)</f>
        <v>229396400.2440784</v>
      </c>
      <c r="AC73" s="63">
        <f>ABS((AC49*AC60*1000*'Cost Assumptions'!$B$6)/'Cost Assumptions'!$B$14)</f>
        <v>244231978.98445159</v>
      </c>
      <c r="AD73" s="63">
        <f>ABS((AD49*AD60*1000*'Cost Assumptions'!$B$6)/'Cost Assumptions'!$B$14)</f>
        <v>267629303.65433246</v>
      </c>
    </row>
    <row r="74" spans="1:30" x14ac:dyDescent="0.35">
      <c r="A74" s="88" t="s">
        <v>132</v>
      </c>
      <c r="B74" s="88" t="s">
        <v>157</v>
      </c>
      <c r="C74" s="20">
        <f>NPV('Cost Assumptions'!$B$3,D74:AD74)</f>
        <v>2538539002.136291</v>
      </c>
      <c r="D74" s="63">
        <f>ABS((D49*D62*1000*'Cost Assumptions'!$B$7)/'Cost Assumptions'!$B$14)</f>
        <v>54406504.184427761</v>
      </c>
      <c r="E74" s="63">
        <f>ABS((E49*E62*1000*'Cost Assumptions'!$B$7)/'Cost Assumptions'!$B$14)</f>
        <v>74152723.371513724</v>
      </c>
      <c r="F74" s="63">
        <f>ABS((F49*F62*1000*'Cost Assumptions'!$B$7)/'Cost Assumptions'!$B$14)</f>
        <v>94852249.452838719</v>
      </c>
      <c r="G74" s="63">
        <f>ABS((G49*G62*1000*'Cost Assumptions'!$B$7)/'Cost Assumptions'!$B$14)</f>
        <v>116540406.38612278</v>
      </c>
      <c r="H74" s="63">
        <f>ABS((H49*H62*1000*'Cost Assumptions'!$B$7)/'Cost Assumptions'!$B$14)</f>
        <v>139253688.51016301</v>
      </c>
      <c r="I74" s="63">
        <f>ABS((I49*I62*1000*'Cost Assumptions'!$B$7)/'Cost Assumptions'!$B$14)</f>
        <v>163029796.98641393</v>
      </c>
      <c r="J74" s="63">
        <f>ABS((J49*J62*1000*'Cost Assumptions'!$B$7)/'Cost Assumptions'!$B$14)</f>
        <v>187907677.33115849</v>
      </c>
      <c r="K74" s="63">
        <f>ABS((K49*K62*1000*'Cost Assumptions'!$B$7)/'Cost Assumptions'!$B$14)</f>
        <v>213927558.07002383</v>
      </c>
      <c r="L74" s="63">
        <f>ABS((L49*L62*1000*'Cost Assumptions'!$B$7)/'Cost Assumptions'!$B$14)</f>
        <v>243160821.40928459</v>
      </c>
      <c r="M74" s="63">
        <f>ABS((M49*M62*1000*'Cost Assumptions'!$B$7)/'Cost Assumptions'!$B$14)</f>
        <v>273682647.54692328</v>
      </c>
      <c r="N74" s="63">
        <f>ABS((N49*N62*1000*'Cost Assumptions'!$B$7)/'Cost Assumptions'!$B$14)</f>
        <v>306411241.58494419</v>
      </c>
      <c r="O74" s="63">
        <f>ABS((O49*O62*1000*'Cost Assumptions'!$B$7)/'Cost Assumptions'!$B$14)</f>
        <v>340605213.67014933</v>
      </c>
      <c r="P74" s="63">
        <f>ABS((P49*P62*1000*'Cost Assumptions'!$B$7)/'Cost Assumptions'!$B$14)</f>
        <v>376317377.33362406</v>
      </c>
      <c r="Q74" s="63">
        <f>ABS((Q49*Q62*1000*'Cost Assumptions'!$B$7)/'Cost Assumptions'!$B$14)</f>
        <v>413602270.92172879</v>
      </c>
      <c r="R74" s="63">
        <f>ABS((R49*R62*1000*'Cost Assumptions'!$B$7)/'Cost Assumptions'!$B$14)</f>
        <v>452516210.82840526</v>
      </c>
      <c r="S74" s="63">
        <f>ABS((S49*S62*1000*'Cost Assumptions'!$B$7)/'Cost Assumptions'!$B$14)</f>
        <v>493117346.3110894</v>
      </c>
      <c r="T74" s="63">
        <f>ABS((T49*T62*1000*'Cost Assumptions'!$B$7)/'Cost Assumptions'!$B$14)</f>
        <v>535465715.93614006</v>
      </c>
      <c r="U74" s="63">
        <f>ABS((U49*U62*1000*'Cost Assumptions'!$B$7)/'Cost Assumptions'!$B$14)</f>
        <v>579623305.70099878</v>
      </c>
      <c r="V74" s="63">
        <f>ABS((V49*V62*1000*'Cost Assumptions'!$B$7)/'Cost Assumptions'!$B$14)</f>
        <v>625654108.88164032</v>
      </c>
      <c r="W74" s="63">
        <f>ABS((W49*W62*1000*'Cost Assumptions'!$B$7)/'Cost Assumptions'!$B$14)</f>
        <v>673624187.65525091</v>
      </c>
      <c r="X74" s="63">
        <f>ABS((X49*X62*1000*'Cost Assumptions'!$B$7)/'Cost Assumptions'!$B$14)</f>
        <v>723601736.54949081</v>
      </c>
      <c r="Y74" s="63">
        <f>ABS((Y49*Y62*1000*'Cost Assumptions'!$B$7)/'Cost Assumptions'!$B$14)</f>
        <v>775657147.77115822</v>
      </c>
      <c r="Z74" s="63">
        <f>ABS((Z49*Z62*1000*'Cost Assumptions'!$B$7)/'Cost Assumptions'!$B$14)</f>
        <v>829863078.46856558</v>
      </c>
      <c r="AA74" s="63">
        <f>ABS((AA49*AA62*1000*'Cost Assumptions'!$B$7)/'Cost Assumptions'!$B$14)</f>
        <v>886294519.98348618</v>
      </c>
      <c r="AB74" s="63">
        <f>ABS((AB49*AB62*1000*'Cost Assumptions'!$B$7)/'Cost Assumptions'!$B$14)</f>
        <v>945028869.15011024</v>
      </c>
      <c r="AC74" s="63">
        <f>ABS((AC49*AC62*1000*'Cost Assumptions'!$B$7)/'Cost Assumptions'!$B$14)</f>
        <v>1006146001.7000757</v>
      </c>
      <c r="AD74" s="63">
        <f>ABS((AD49*AD62*1000*'Cost Assumptions'!$B$7)/'Cost Assumptions'!$B$14)</f>
        <v>1102534381.1619558</v>
      </c>
    </row>
    <row r="75" spans="1:30" x14ac:dyDescent="0.35">
      <c r="A75" s="88" t="s">
        <v>24</v>
      </c>
      <c r="B75" s="88" t="s">
        <v>157</v>
      </c>
      <c r="C75" s="20">
        <f>NPV('Cost Assumptions'!$B$3,D75:AD75)</f>
        <v>3154744208.113719</v>
      </c>
      <c r="D75" s="63">
        <f>SUM(D73:D74)</f>
        <v>67613144.338179156</v>
      </c>
      <c r="E75" s="63">
        <f t="shared" ref="E75:AD75" si="45">SUM(E73:E74)</f>
        <v>92152562.704483598</v>
      </c>
      <c r="F75" s="63">
        <f t="shared" si="45"/>
        <v>117876693.7738919</v>
      </c>
      <c r="G75" s="63">
        <f t="shared" si="45"/>
        <v>144829436.0450803</v>
      </c>
      <c r="H75" s="63">
        <f t="shared" si="45"/>
        <v>173056142.49621946</v>
      </c>
      <c r="I75" s="63">
        <f t="shared" si="45"/>
        <v>202603665.87238741</v>
      </c>
      <c r="J75" s="63">
        <f t="shared" si="45"/>
        <v>233520405.32830355</v>
      </c>
      <c r="K75" s="63">
        <f t="shared" si="45"/>
        <v>265856354.46584532</v>
      </c>
      <c r="L75" s="63">
        <f t="shared" si="45"/>
        <v>302185703.01088876</v>
      </c>
      <c r="M75" s="63">
        <f t="shared" si="45"/>
        <v>340116400.21417713</v>
      </c>
      <c r="N75" s="63">
        <f t="shared" si="45"/>
        <v>380789536.37409514</v>
      </c>
      <c r="O75" s="63">
        <f t="shared" si="45"/>
        <v>423283756.59187514</v>
      </c>
      <c r="P75" s="63">
        <f t="shared" si="45"/>
        <v>467664694.36031032</v>
      </c>
      <c r="Q75" s="63">
        <f t="shared" si="45"/>
        <v>514000126.6692974</v>
      </c>
      <c r="R75" s="63">
        <f t="shared" si="45"/>
        <v>562360040.15975869</v>
      </c>
      <c r="S75" s="63">
        <f t="shared" si="45"/>
        <v>612816699.24557459</v>
      </c>
      <c r="T75" s="63">
        <f t="shared" si="45"/>
        <v>665444716.26058149</v>
      </c>
      <c r="U75" s="63">
        <f t="shared" si="45"/>
        <v>720321123.68931031</v>
      </c>
      <c r="V75" s="63">
        <f t="shared" si="45"/>
        <v>777525448.54181266</v>
      </c>
      <c r="W75" s="63">
        <f t="shared" si="45"/>
        <v>837139788.93463433</v>
      </c>
      <c r="X75" s="63">
        <f t="shared" si="45"/>
        <v>899248892.94175839</v>
      </c>
      <c r="Y75" s="63">
        <f t="shared" si="45"/>
        <v>963940239.78115439</v>
      </c>
      <c r="Z75" s="63">
        <f t="shared" si="45"/>
        <v>1031304123.4044317</v>
      </c>
      <c r="AA75" s="63">
        <f t="shared" si="45"/>
        <v>1101433738.5590096</v>
      </c>
      <c r="AB75" s="63">
        <f t="shared" si="45"/>
        <v>1174425269.3941886</v>
      </c>
      <c r="AC75" s="63">
        <f t="shared" si="45"/>
        <v>1250377980.6845274</v>
      </c>
      <c r="AD75" s="63">
        <f t="shared" si="45"/>
        <v>1370163684.8162882</v>
      </c>
    </row>
    <row r="76" spans="1:30" x14ac:dyDescent="0.35">
      <c r="A76" s="88"/>
      <c r="B76" s="88"/>
      <c r="C76" s="20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x14ac:dyDescent="0.35">
      <c r="A77" s="88" t="s">
        <v>130</v>
      </c>
      <c r="B77" s="88" t="s">
        <v>164</v>
      </c>
      <c r="C77" s="20">
        <f>NPV('Cost Assumptions'!$B$3,D77:AD77)</f>
        <v>21151039.854575124</v>
      </c>
      <c r="D77" s="63">
        <f>ABS(D50)*D61*1000*'Cost Assumptions'!$B$6*'Cost Assumptions'!$B$13</f>
        <v>1821817.6563125174</v>
      </c>
      <c r="E77" s="63">
        <f>ABS(E50)*E61*1000*'Cost Assumptions'!$B$6*'Cost Assumptions'!$B$13</f>
        <v>1874229.1638695663</v>
      </c>
      <c r="F77" s="63">
        <f>ABS(F50)*F61*1000*'Cost Assumptions'!$B$6*'Cost Assumptions'!$B$13</f>
        <v>1924426.6233829418</v>
      </c>
      <c r="G77" s="63">
        <f>ABS(G50)*G61*1000*'Cost Assumptions'!$B$6*'Cost Assumptions'!$B$13</f>
        <v>1976056.9999290032</v>
      </c>
      <c r="H77" s="63">
        <f>ABS(H50)*H61*1000*'Cost Assumptions'!$B$6*'Cost Assumptions'!$B$13</f>
        <v>2029252.7654449297</v>
      </c>
      <c r="I77" s="63">
        <f>ABS(I50)*I61*1000*'Cost Assumptions'!$B$6*'Cost Assumptions'!$B$13</f>
        <v>2084442.8881359028</v>
      </c>
      <c r="J77" s="63">
        <f>ABS(J50)*J61*1000*'Cost Assumptions'!$B$6*'Cost Assumptions'!$B$13</f>
        <v>2141123.4400525652</v>
      </c>
      <c r="K77" s="63">
        <f>ABS(K50)*K61*1000*'Cost Assumptions'!$B$6*'Cost Assumptions'!$B$13</f>
        <v>2200441.4029759886</v>
      </c>
      <c r="L77" s="63">
        <f>ABS(L50)*L61*1000*'Cost Assumptions'!$B$6*'Cost Assumptions'!$B$13</f>
        <v>2261489.6556216711</v>
      </c>
      <c r="M77" s="63">
        <f>ABS(M50)*M61*1000*'Cost Assumptions'!$B$6*'Cost Assumptions'!$B$13</f>
        <v>2324496.6899228725</v>
      </c>
      <c r="N77" s="63">
        <f>ABS(N50)*N61*1000*'Cost Assumptions'!$B$6*'Cost Assumptions'!$B$13</f>
        <v>2389327.7039498058</v>
      </c>
      <c r="O77" s="63">
        <f>ABS(O50)*O61*1000*'Cost Assumptions'!$B$6*'Cost Assumptions'!$B$13</f>
        <v>2456039.1618276234</v>
      </c>
      <c r="P77" s="63">
        <f>ABS(P50)*P61*1000*'Cost Assumptions'!$B$6*'Cost Assumptions'!$B$13</f>
        <v>2524698.7031610729</v>
      </c>
      <c r="Q77" s="63">
        <f>ABS(Q50)*Q61*1000*'Cost Assumptions'!$B$6*'Cost Assumptions'!$B$13</f>
        <v>2595081.3883480201</v>
      </c>
      <c r="R77" s="63">
        <f>ABS(R50)*R61*1000*'Cost Assumptions'!$B$6*'Cost Assumptions'!$B$13</f>
        <v>2667470.4004983227</v>
      </c>
      <c r="S77" s="63">
        <f>ABS(S50)*S61*1000*'Cost Assumptions'!$B$6*'Cost Assumptions'!$B$13</f>
        <v>2741907.1843838301</v>
      </c>
      <c r="T77" s="63">
        <f>ABS(T50)*T61*1000*'Cost Assumptions'!$B$6*'Cost Assumptions'!$B$13</f>
        <v>2818488.8740460086</v>
      </c>
      <c r="U77" s="63">
        <f>ABS(U50)*U61*1000*'Cost Assumptions'!$B$6*'Cost Assumptions'!$B$13</f>
        <v>2896493.7185313758</v>
      </c>
      <c r="V77" s="63">
        <f>ABS(V50)*V61*1000*'Cost Assumptions'!$B$6*'Cost Assumptions'!$B$13</f>
        <v>2976616.2586577423</v>
      </c>
      <c r="W77" s="63">
        <f>ABS(W50)*W61*1000*'Cost Assumptions'!$B$6*'Cost Assumptions'!$B$13</f>
        <v>3058888.7651962545</v>
      </c>
      <c r="X77" s="63">
        <f>ABS(X50)*X61*1000*'Cost Assumptions'!$B$6*'Cost Assumptions'!$B$13</f>
        <v>3143420.8877660697</v>
      </c>
      <c r="Y77" s="63">
        <f>ABS(Y50)*Y61*1000*'Cost Assumptions'!$B$6*'Cost Assumptions'!$B$13</f>
        <v>3229057.5446409914</v>
      </c>
      <c r="Z77" s="63">
        <f>ABS(Z50)*Z61*1000*'Cost Assumptions'!$B$6*'Cost Assumptions'!$B$13</f>
        <v>3316835.999712484</v>
      </c>
      <c r="AA77" s="63">
        <f>ABS(AA50)*AA61*1000*'Cost Assumptions'!$B$6*'Cost Assumptions'!$B$13</f>
        <v>3406751.1712449212</v>
      </c>
      <c r="AB77" s="63">
        <f>ABS(AB50)*AB61*1000*'Cost Assumptions'!$B$6*'Cost Assumptions'!$B$13</f>
        <v>3498895.7769116103</v>
      </c>
      <c r="AC77" s="63">
        <f>ABS(AC50)*AC61*1000*'Cost Assumptions'!$B$6*'Cost Assumptions'!$B$13</f>
        <v>3591780.1306242421</v>
      </c>
      <c r="AD77" s="63">
        <f>ABS(AD50)*AD61*1000*'Cost Assumptions'!$B$6*'Cost Assumptions'!$B$13</f>
        <v>3686632.4073452442</v>
      </c>
    </row>
    <row r="78" spans="1:30" x14ac:dyDescent="0.35">
      <c r="A78" s="88" t="s">
        <v>132</v>
      </c>
      <c r="B78" s="88" t="s">
        <v>164</v>
      </c>
      <c r="C78" s="20">
        <f>NPV('Cost Assumptions'!$B$3,D78:AD78)</f>
        <v>95341526.138148576</v>
      </c>
      <c r="D78" s="63">
        <f>ABS(D50)*D63*1000*'Cost Assumptions'!$B$7*'Cost Assumptions'!$B$13</f>
        <v>8212119.9190445021</v>
      </c>
      <c r="E78" s="63">
        <f>ABS(E50)*E63*1000*'Cost Assumptions'!$B$7*'Cost Assumptions'!$B$13</f>
        <v>8448372.7535172869</v>
      </c>
      <c r="F78" s="63">
        <f>ABS(F50)*F63*1000*'Cost Assumptions'!$B$7*'Cost Assumptions'!$B$13</f>
        <v>8674645.4299988579</v>
      </c>
      <c r="G78" s="63">
        <f>ABS(G50)*G63*1000*'Cost Assumptions'!$B$7*'Cost Assumptions'!$B$13</f>
        <v>8907377.1977433152</v>
      </c>
      <c r="H78" s="63">
        <f>ABS(H50)*H63*1000*'Cost Assumptions'!$B$7*'Cost Assumptions'!$B$13</f>
        <v>9147165.1941371877</v>
      </c>
      <c r="I78" s="63">
        <f>ABS(I50)*I63*1000*'Cost Assumptions'!$B$7*'Cost Assumptions'!$B$13</f>
        <v>9395943.0585489422</v>
      </c>
      <c r="J78" s="63">
        <f>ABS(J50)*J63*1000*'Cost Assumptions'!$B$7*'Cost Assumptions'!$B$13</f>
        <v>9651439.2591727711</v>
      </c>
      <c r="K78" s="63">
        <f>ABS(K50)*K63*1000*'Cost Assumptions'!$B$7*'Cost Assumptions'!$B$13</f>
        <v>9918823.9906757921</v>
      </c>
      <c r="L78" s="63">
        <f>ABS(L50)*L63*1000*'Cost Assumptions'!$B$7*'Cost Assumptions'!$B$13</f>
        <v>10194008.266027045</v>
      </c>
      <c r="M78" s="63">
        <f>ABS(M50)*M63*1000*'Cost Assumptions'!$B$7*'Cost Assumptions'!$B$13</f>
        <v>10478022.047336046</v>
      </c>
      <c r="N78" s="63">
        <f>ABS(N50)*N63*1000*'Cost Assumptions'!$B$7*'Cost Assumptions'!$B$13</f>
        <v>10770257.694420531</v>
      </c>
      <c r="O78" s="63">
        <f>ABS(O50)*O63*1000*'Cost Assumptions'!$B$7*'Cost Assumptions'!$B$13</f>
        <v>11070969.727904603</v>
      </c>
      <c r="P78" s="63">
        <f>ABS(P50)*P63*1000*'Cost Assumptions'!$B$7*'Cost Assumptions'!$B$13</f>
        <v>11380463.043584798</v>
      </c>
      <c r="Q78" s="63">
        <f>ABS(Q50)*Q63*1000*'Cost Assumptions'!$B$7*'Cost Assumptions'!$B$13</f>
        <v>11697723.692023929</v>
      </c>
      <c r="R78" s="63">
        <f>ABS(R50)*R63*1000*'Cost Assumptions'!$B$7*'Cost Assumptions'!$B$13</f>
        <v>12024028.1641206</v>
      </c>
      <c r="S78" s="63">
        <f>ABS(S50)*S63*1000*'Cost Assumptions'!$B$7*'Cost Assumptions'!$B$13</f>
        <v>12359563.278481638</v>
      </c>
      <c r="T78" s="63">
        <f>ABS(T50)*T63*1000*'Cost Assumptions'!$B$7*'Cost Assumptions'!$B$13</f>
        <v>12704766.88155891</v>
      </c>
      <c r="U78" s="63">
        <f>ABS(U50)*U63*1000*'Cost Assumptions'!$B$7*'Cost Assumptions'!$B$13</f>
        <v>13056385.57125634</v>
      </c>
      <c r="V78" s="63">
        <f>ABS(V50)*V63*1000*'Cost Assumptions'!$B$7*'Cost Assumptions'!$B$13</f>
        <v>13417550.095848754</v>
      </c>
      <c r="W78" s="63">
        <f>ABS(W50)*W63*1000*'Cost Assumptions'!$B$7*'Cost Assumptions'!$B$13</f>
        <v>13788405.920740783</v>
      </c>
      <c r="X78" s="63">
        <f>ABS(X50)*X63*1000*'Cost Assumptions'!$B$7*'Cost Assumptions'!$B$13</f>
        <v>14169447.308252512</v>
      </c>
      <c r="Y78" s="63">
        <f>ABS(Y50)*Y63*1000*'Cost Assumptions'!$B$7*'Cost Assumptions'!$B$13</f>
        <v>14555467.551983356</v>
      </c>
      <c r="Z78" s="63">
        <f>ABS(Z50)*Z63*1000*'Cost Assumptions'!$B$7*'Cost Assumptions'!$B$13</f>
        <v>14951142.27654092</v>
      </c>
      <c r="AA78" s="63">
        <f>ABS(AA50)*AA63*1000*'Cost Assumptions'!$B$7*'Cost Assumptions'!$B$13</f>
        <v>15356448.575229663</v>
      </c>
      <c r="AB78" s="63">
        <f>ABS(AB50)*AB63*1000*'Cost Assumptions'!$B$7*'Cost Assumptions'!$B$13</f>
        <v>15771804.387050886</v>
      </c>
      <c r="AC78" s="63">
        <f>ABS(AC50)*AC63*1000*'Cost Assumptions'!$B$7*'Cost Assumptions'!$B$13</f>
        <v>16190494.725597167</v>
      </c>
      <c r="AD78" s="63">
        <f>ABS(AD50)*AD63*1000*'Cost Assumptions'!$B$7*'Cost Assumptions'!$B$13</f>
        <v>16618055.776138244</v>
      </c>
    </row>
    <row r="79" spans="1:30" s="62" customFormat="1" ht="29" x14ac:dyDescent="0.35">
      <c r="A79" s="3" t="s">
        <v>159</v>
      </c>
      <c r="B79" s="88" t="s">
        <v>164</v>
      </c>
      <c r="C79" s="20">
        <f>NPV('Cost Assumptions'!$B$3,D79:AD79)</f>
        <v>116492565.99272367</v>
      </c>
      <c r="D79" s="63">
        <f>SUM(D77:D78)</f>
        <v>10033937.57535702</v>
      </c>
      <c r="E79" s="63">
        <f t="shared" ref="E79:AD79" si="46">SUM(E77:E78)</f>
        <v>10322601.917386852</v>
      </c>
      <c r="F79" s="63">
        <f t="shared" si="46"/>
        <v>10599072.053381801</v>
      </c>
      <c r="G79" s="63">
        <f t="shared" si="46"/>
        <v>10883434.197672319</v>
      </c>
      <c r="H79" s="63">
        <f t="shared" si="46"/>
        <v>11176417.959582116</v>
      </c>
      <c r="I79" s="63">
        <f t="shared" si="46"/>
        <v>11480385.946684845</v>
      </c>
      <c r="J79" s="63">
        <f t="shared" si="46"/>
        <v>11792562.699225336</v>
      </c>
      <c r="K79" s="63">
        <f t="shared" si="46"/>
        <v>12119265.39365178</v>
      </c>
      <c r="L79" s="63">
        <f t="shared" si="46"/>
        <v>12455497.921648715</v>
      </c>
      <c r="M79" s="63">
        <f t="shared" si="46"/>
        <v>12802518.737258919</v>
      </c>
      <c r="N79" s="63">
        <f t="shared" si="46"/>
        <v>13159585.398370337</v>
      </c>
      <c r="O79" s="63">
        <f t="shared" si="46"/>
        <v>13527008.889732227</v>
      </c>
      <c r="P79" s="63">
        <f t="shared" si="46"/>
        <v>13905161.74674587</v>
      </c>
      <c r="Q79" s="63">
        <f t="shared" si="46"/>
        <v>14292805.08037195</v>
      </c>
      <c r="R79" s="63">
        <f t="shared" si="46"/>
        <v>14691498.564618923</v>
      </c>
      <c r="S79" s="63">
        <f t="shared" si="46"/>
        <v>15101470.462865468</v>
      </c>
      <c r="T79" s="63">
        <f t="shared" si="46"/>
        <v>15523255.755604919</v>
      </c>
      <c r="U79" s="63">
        <f t="shared" si="46"/>
        <v>15952879.289787715</v>
      </c>
      <c r="V79" s="63">
        <f t="shared" si="46"/>
        <v>16394166.354506496</v>
      </c>
      <c r="W79" s="63">
        <f t="shared" si="46"/>
        <v>16847294.68593704</v>
      </c>
      <c r="X79" s="63">
        <f t="shared" si="46"/>
        <v>17312868.19601858</v>
      </c>
      <c r="Y79" s="63">
        <f t="shared" si="46"/>
        <v>17784525.096624348</v>
      </c>
      <c r="Z79" s="63">
        <f t="shared" si="46"/>
        <v>18267978.276253402</v>
      </c>
      <c r="AA79" s="63">
        <f t="shared" si="46"/>
        <v>18763199.746474586</v>
      </c>
      <c r="AB79" s="63">
        <f t="shared" si="46"/>
        <v>19270700.163962495</v>
      </c>
      <c r="AC79" s="63">
        <f t="shared" si="46"/>
        <v>19782274.856221408</v>
      </c>
      <c r="AD79" s="63">
        <f t="shared" si="46"/>
        <v>20304688.183483489</v>
      </c>
    </row>
    <row r="80" spans="1:30" s="62" customFormat="1" x14ac:dyDescent="0.35">
      <c r="A80" s="3"/>
      <c r="B80" s="88"/>
      <c r="C80" s="2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2" customFormat="1" ht="29" x14ac:dyDescent="0.35">
      <c r="A81" s="3" t="s">
        <v>160</v>
      </c>
      <c r="B81" s="88" t="s">
        <v>161</v>
      </c>
      <c r="C81" s="20">
        <f>NPV('Cost Assumptions'!$B$3,D81:AD81)</f>
        <v>164544054.31578967</v>
      </c>
      <c r="D81" s="63">
        <f>('Baseline System Analysis'!D42-D36)</f>
        <v>10482499.499520168</v>
      </c>
      <c r="E81" s="63">
        <f>('Baseline System Analysis'!E42-E36)</f>
        <v>11411281.580639385</v>
      </c>
      <c r="F81" s="63">
        <f>('Baseline System Analysis'!F42-F36)</f>
        <v>12010926.267791424</v>
      </c>
      <c r="G81" s="63">
        <f>('Baseline System Analysis'!G42-G36)</f>
        <v>12686198.578203633</v>
      </c>
      <c r="H81" s="63">
        <f>('Baseline System Analysis'!H42-H36)</f>
        <v>13366610.487789944</v>
      </c>
      <c r="I81" s="63">
        <f>('Baseline System Analysis'!I42-I36)</f>
        <v>14080247.587244794</v>
      </c>
      <c r="J81" s="63">
        <f>('Baseline System Analysis'!J42-J36)</f>
        <v>14863873.509232217</v>
      </c>
      <c r="K81" s="63">
        <f>('Baseline System Analysis'!K42-K36)</f>
        <v>15871452.418092538</v>
      </c>
      <c r="L81" s="63">
        <f>('Baseline System Analysis'!L42-L36)</f>
        <v>16898479.650319021</v>
      </c>
      <c r="M81" s="63">
        <f>('Baseline System Analysis'!M42-M36)</f>
        <v>17980157.852113411</v>
      </c>
      <c r="N81" s="63">
        <f>('Baseline System Analysis'!N42-N36)</f>
        <v>18826641.161108099</v>
      </c>
      <c r="O81" s="63">
        <f>('Baseline System Analysis'!O42-O36)</f>
        <v>19952252.805206984</v>
      </c>
      <c r="P81" s="63">
        <f>('Baseline System Analysis'!P42-P36)</f>
        <v>21242518.619887158</v>
      </c>
      <c r="Q81" s="63">
        <f>('Baseline System Analysis'!Q42-Q36)</f>
        <v>22470884.088553119</v>
      </c>
      <c r="R81" s="63">
        <f>('Baseline System Analysis'!R42-R36)</f>
        <v>23660493.911319382</v>
      </c>
      <c r="S81" s="63">
        <f>('Baseline System Analysis'!S42-S36)</f>
        <v>25212246.281766243</v>
      </c>
      <c r="T81" s="63">
        <f>('Baseline System Analysis'!T42-T36)</f>
        <v>26640928.001924209</v>
      </c>
      <c r="U81" s="63">
        <f>('Baseline System Analysis'!U42-U36)</f>
        <v>27859168.10085424</v>
      </c>
      <c r="V81" s="63">
        <f>('Baseline System Analysis'!V42-V36)</f>
        <v>29591187.323598169</v>
      </c>
      <c r="W81" s="63">
        <f>('Baseline System Analysis'!W42-W36)</f>
        <v>31210017.497127064</v>
      </c>
      <c r="X81" s="63">
        <f>('Baseline System Analysis'!X42-X36)</f>
        <v>32657942.550301362</v>
      </c>
      <c r="Y81" s="63">
        <f>('Baseline System Analysis'!Y42-Y36)</f>
        <v>34179916.544475824</v>
      </c>
      <c r="Z81" s="63">
        <f>('Baseline System Analysis'!Z42-Z36)</f>
        <v>35713903.956086949</v>
      </c>
      <c r="AA81" s="63">
        <f>('Baseline System Analysis'!AA42-AA36)</f>
        <v>37307572.801296696</v>
      </c>
      <c r="AB81" s="63">
        <f>('Baseline System Analysis'!AB42-AB36)</f>
        <v>38967014.419333749</v>
      </c>
      <c r="AC81" s="63">
        <f>('Baseline System Analysis'!AC42-AC36)</f>
        <v>40471801.422187626</v>
      </c>
      <c r="AD81" s="63">
        <f>('Baseline System Analysis'!AD42-AD36)</f>
        <v>41950846.994812638</v>
      </c>
    </row>
    <row r="83" spans="1:30" s="62" customFormat="1" ht="20" thickBot="1" x14ac:dyDescent="0.5">
      <c r="A83" s="142" t="s">
        <v>74</v>
      </c>
      <c r="B83" s="142"/>
      <c r="C83" s="20">
        <f>NPV('Cost Assumptions'!$B$3,D83:AD83)/1000000</f>
        <v>3739.6954248778443</v>
      </c>
      <c r="D83" s="63">
        <f>SUM(D67,D71,D75,D79,D81)</f>
        <v>89200254.580703452</v>
      </c>
      <c r="E83" s="63">
        <f t="shared" ref="E83:AD83" si="47">SUM(E67,E71,E75,E79,E81)</f>
        <v>116584292.74514875</v>
      </c>
      <c r="F83" s="63">
        <f t="shared" si="47"/>
        <v>144448745.57988119</v>
      </c>
      <c r="G83" s="63">
        <f t="shared" si="47"/>
        <v>173719845.79399884</v>
      </c>
      <c r="H83" s="63">
        <f t="shared" si="47"/>
        <v>204301486.52743787</v>
      </c>
      <c r="I83" s="63">
        <f t="shared" si="47"/>
        <v>234835515.60676914</v>
      </c>
      <c r="J83" s="63">
        <f t="shared" si="47"/>
        <v>269328297.36490864</v>
      </c>
      <c r="K83" s="63">
        <f t="shared" si="47"/>
        <v>306032893.88011277</v>
      </c>
      <c r="L83" s="63">
        <f t="shared" si="47"/>
        <v>345729419.41545385</v>
      </c>
      <c r="M83" s="63">
        <f t="shared" si="47"/>
        <v>386751873.35573679</v>
      </c>
      <c r="N83" s="63">
        <f t="shared" si="47"/>
        <v>432637043.1137867</v>
      </c>
      <c r="O83" s="63">
        <f t="shared" si="47"/>
        <v>480975640.12177908</v>
      </c>
      <c r="P83" s="63">
        <f t="shared" si="47"/>
        <v>534352545.79860926</v>
      </c>
      <c r="Q83" s="63">
        <f t="shared" si="47"/>
        <v>589649211.93853188</v>
      </c>
      <c r="R83" s="63">
        <f t="shared" si="47"/>
        <v>650323899.97912705</v>
      </c>
      <c r="S83" s="63">
        <f t="shared" si="47"/>
        <v>715841378.98488581</v>
      </c>
      <c r="T83" s="63">
        <f t="shared" si="47"/>
        <v>785867159.0724746</v>
      </c>
      <c r="U83" s="63">
        <f t="shared" si="47"/>
        <v>860957764.80724299</v>
      </c>
      <c r="V83" s="63">
        <f t="shared" si="47"/>
        <v>930540873.51402712</v>
      </c>
      <c r="W83" s="63">
        <f t="shared" si="47"/>
        <v>1006912451.4129483</v>
      </c>
      <c r="X83" s="63">
        <f t="shared" si="47"/>
        <v>1086664390.9924278</v>
      </c>
      <c r="Y83" s="63">
        <f t="shared" si="47"/>
        <v>1170433207.498004</v>
      </c>
      <c r="Z83" s="63">
        <f t="shared" si="47"/>
        <v>1258037317.8961058</v>
      </c>
      <c r="AA83" s="63">
        <f t="shared" si="47"/>
        <v>1350752089.0253012</v>
      </c>
      <c r="AB83" s="63">
        <f t="shared" si="47"/>
        <v>1449526483.3141997</v>
      </c>
      <c r="AC83" s="63">
        <f t="shared" si="47"/>
        <v>1546845343.1863823</v>
      </c>
      <c r="AD83" s="63">
        <f t="shared" si="47"/>
        <v>1685344791.4737074</v>
      </c>
    </row>
    <row r="84" spans="1:30" s="62" customFormat="1" ht="20.5" thickTop="1" thickBot="1" x14ac:dyDescent="0.5">
      <c r="A84" s="142" t="s">
        <v>169</v>
      </c>
      <c r="B84" s="142"/>
      <c r="C84" s="20">
        <f>NPV('Cost Assumptions'!$B$3,D84:AD84)/1000000</f>
        <v>3740.3438658837767</v>
      </c>
      <c r="D84" s="63">
        <f>D83+D43</f>
        <v>89248802.580703452</v>
      </c>
      <c r="E84" s="63">
        <f t="shared" ref="E84:AD84" si="48">E83+E43</f>
        <v>116634937.91630259</v>
      </c>
      <c r="F84" s="63">
        <f t="shared" si="48"/>
        <v>144501562.43824658</v>
      </c>
      <c r="G84" s="63">
        <f t="shared" si="48"/>
        <v>173774911.27070436</v>
      </c>
      <c r="H84" s="63">
        <f t="shared" si="48"/>
        <v>204358880.04286405</v>
      </c>
      <c r="I84" s="63">
        <f t="shared" si="48"/>
        <v>234895319.14692912</v>
      </c>
      <c r="J84" s="63">
        <f>J83+J43</f>
        <v>269390595.56009191</v>
      </c>
      <c r="K84" s="63">
        <f t="shared" si="48"/>
        <v>306098001.48144257</v>
      </c>
      <c r="L84" s="63">
        <f t="shared" si="48"/>
        <v>345797437.95686555</v>
      </c>
      <c r="M84" s="63">
        <f t="shared" si="48"/>
        <v>386822907.69198364</v>
      </c>
      <c r="N84" s="63">
        <f t="shared" si="48"/>
        <v>432711201.52302212</v>
      </c>
      <c r="O84" s="63">
        <f t="shared" si="48"/>
        <v>481053034.4111923</v>
      </c>
      <c r="P84" s="63">
        <f t="shared" si="48"/>
        <v>534433291.41320342</v>
      </c>
      <c r="Q84" s="63">
        <f t="shared" si="48"/>
        <v>589733428.07313514</v>
      </c>
      <c r="R84" s="63">
        <f t="shared" si="48"/>
        <v>650411709.69373071</v>
      </c>
      <c r="S84" s="63">
        <f t="shared" si="48"/>
        <v>715932909.32340574</v>
      </c>
      <c r="T84" s="63">
        <f t="shared" si="48"/>
        <v>785962541.18503499</v>
      </c>
      <c r="U84" s="63">
        <f t="shared" si="48"/>
        <v>861057134.07608438</v>
      </c>
      <c r="V84" s="63">
        <f t="shared" si="48"/>
        <v>930644369.68314314</v>
      </c>
      <c r="W84" s="63">
        <f t="shared" si="48"/>
        <v>1007020218.7215596</v>
      </c>
      <c r="X84" s="63">
        <f t="shared" si="48"/>
        <v>1086776578.3124037</v>
      </c>
      <c r="Y84" s="63">
        <f t="shared" si="48"/>
        <v>1170549968.4753447</v>
      </c>
      <c r="Z84" s="63">
        <f t="shared" si="48"/>
        <v>1258158811.0966043</v>
      </c>
      <c r="AA84" s="63">
        <f t="shared" si="48"/>
        <v>1350878478.0845048</v>
      </c>
      <c r="AB84" s="63">
        <f t="shared" si="48"/>
        <v>1449657937.0917933</v>
      </c>
      <c r="AC84" s="63">
        <f t="shared" si="48"/>
        <v>1546982035.9251235</v>
      </c>
      <c r="AD84" s="63">
        <f t="shared" si="48"/>
        <v>1685486902.9630425</v>
      </c>
    </row>
    <row r="85" spans="1:30" ht="15" thickTop="1" x14ac:dyDescent="0.3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</row>
    <row r="86" spans="1:30" ht="20" thickBot="1" x14ac:dyDescent="0.5">
      <c r="A86" s="142" t="s">
        <v>163</v>
      </c>
      <c r="B86" s="142"/>
      <c r="C86" s="20">
        <f>Summary!$D$11</f>
        <v>571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15" thickTop="1" x14ac:dyDescent="0.3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20" thickBot="1" x14ac:dyDescent="0.5">
      <c r="A88" s="142" t="s">
        <v>7</v>
      </c>
      <c r="B88" s="142"/>
      <c r="C88" s="53">
        <f>C84/C86</f>
        <v>6.5505146512850727</v>
      </c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15" thickTop="1" x14ac:dyDescent="0.3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s="62" customFormat="1" ht="42.65" customHeight="1" thickBot="1" x14ac:dyDescent="0.5">
      <c r="A90" s="170" t="s">
        <v>168</v>
      </c>
      <c r="B90" s="170"/>
      <c r="C90" s="88"/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4082.3812544643179</v>
      </c>
      <c r="N90" s="63">
        <v>4890.9246631419273</v>
      </c>
      <c r="O90" s="63">
        <v>5699.4680718195368</v>
      </c>
      <c r="P90" s="63">
        <v>6508.0114804971463</v>
      </c>
      <c r="Q90" s="63">
        <v>7316.5548891747558</v>
      </c>
      <c r="R90" s="63">
        <v>8125.0982978523634</v>
      </c>
      <c r="S90" s="63">
        <v>8925.301617921079</v>
      </c>
      <c r="T90" s="63">
        <v>9725.5049379897937</v>
      </c>
      <c r="U90" s="63">
        <v>10525.708258058508</v>
      </c>
      <c r="V90" s="63">
        <v>11325.911578127223</v>
      </c>
      <c r="W90" s="63">
        <v>12126.114898195938</v>
      </c>
      <c r="X90" s="63">
        <v>12481.92476154239</v>
      </c>
      <c r="Y90" s="63">
        <v>12837.734624888843</v>
      </c>
      <c r="Z90" s="63">
        <v>13193.544488235295</v>
      </c>
      <c r="AA90" s="63">
        <v>13549.354351581747</v>
      </c>
      <c r="AB90" s="63">
        <v>13905.1642149282</v>
      </c>
      <c r="AC90" s="63">
        <v>14055.460891241295</v>
      </c>
      <c r="AD90" s="63">
        <v>14205.757567554392</v>
      </c>
    </row>
    <row r="91" spans="1:30" ht="15" thickTop="1" x14ac:dyDescent="0.35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</row>
    <row r="93" spans="1:30" x14ac:dyDescent="0.35">
      <c r="A93" s="88"/>
      <c r="B93" s="88"/>
      <c r="C93" s="7">
        <v>18.393699999999999</v>
      </c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</row>
    <row r="94" spans="1:30" x14ac:dyDescent="0.35">
      <c r="A94" s="88"/>
      <c r="B94" s="88"/>
      <c r="C94" s="7">
        <v>491.78390013498898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  <row r="95" spans="1:30" x14ac:dyDescent="0.35">
      <c r="A95" s="88"/>
      <c r="B95" s="88"/>
      <c r="C95" s="7">
        <v>1489.2707202164102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</row>
    <row r="96" spans="1:30" x14ac:dyDescent="0.35">
      <c r="A96" s="88"/>
      <c r="B96" s="88"/>
      <c r="C96" s="7">
        <v>1735.711140347782</v>
      </c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</row>
    <row r="97" spans="3:3" x14ac:dyDescent="0.35">
      <c r="C97" s="7">
        <v>56.580700000000007</v>
      </c>
    </row>
  </sheetData>
  <mergeCells count="9">
    <mergeCell ref="B18:B31"/>
    <mergeCell ref="B2:B15"/>
    <mergeCell ref="A90:B90"/>
    <mergeCell ref="B40:AD40"/>
    <mergeCell ref="A58:AD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97"/>
  <sheetViews>
    <sheetView zoomScale="89" zoomScaleNormal="89" workbookViewId="0"/>
  </sheetViews>
  <sheetFormatPr defaultRowHeight="14.5" x14ac:dyDescent="0.35"/>
  <cols>
    <col min="1" max="1" width="19" customWidth="1"/>
    <col min="2" max="2" width="29.453125" customWidth="1"/>
    <col min="3" max="3" width="17.1796875" bestFit="1" customWidth="1"/>
    <col min="4" max="6" width="14.81640625" customWidth="1"/>
    <col min="7" max="20" width="15.7265625" bestFit="1" customWidth="1"/>
    <col min="21" max="28" width="17.453125" bestFit="1" customWidth="1"/>
    <col min="29" max="30" width="17.7265625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8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9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9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9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9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9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9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9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9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9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9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9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9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9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6" spans="1:30" s="62" customFormat="1" x14ac:dyDescent="0.3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49.75" customHeight="1" thickTop="1" x14ac:dyDescent="0.35">
      <c r="A18" s="88"/>
      <c r="B18" s="168" t="s">
        <v>15</v>
      </c>
      <c r="C18" s="88" t="s">
        <v>120</v>
      </c>
      <c r="D18" s="63">
        <v>49328.200000000405</v>
      </c>
      <c r="E18" s="63">
        <v>49736.291346154219</v>
      </c>
      <c r="F18" s="63">
        <v>50144.382692308034</v>
      </c>
      <c r="G18" s="63">
        <v>50552.474038461849</v>
      </c>
      <c r="H18" s="63">
        <v>50960.565384615664</v>
      </c>
      <c r="I18" s="63">
        <v>51368.656730769479</v>
      </c>
      <c r="J18" s="63">
        <v>51776.748076923293</v>
      </c>
      <c r="K18" s="63">
        <v>52184.839423077108</v>
      </c>
      <c r="L18" s="63">
        <v>52592.930769230923</v>
      </c>
      <c r="M18" s="63">
        <v>53001.022115384738</v>
      </c>
      <c r="N18" s="63">
        <v>53409.113461538553</v>
      </c>
      <c r="O18" s="63">
        <v>53817.204807692367</v>
      </c>
      <c r="P18" s="63">
        <v>54225.296153846182</v>
      </c>
      <c r="Q18" s="63">
        <v>54633.387499999997</v>
      </c>
      <c r="R18" s="63">
        <v>55041.478846153812</v>
      </c>
      <c r="S18" s="63">
        <v>55449.570192307627</v>
      </c>
      <c r="T18" s="63">
        <v>55857.661538461442</v>
      </c>
      <c r="U18" s="63">
        <v>56265.752884615256</v>
      </c>
      <c r="V18" s="63">
        <v>56673.844230769071</v>
      </c>
      <c r="W18" s="63">
        <v>57081.935576922886</v>
      </c>
      <c r="X18" s="63">
        <v>57490.026923076701</v>
      </c>
      <c r="Y18" s="63">
        <f>X18+(($AD18-$D$18)/(COLUMN($AD18)-COLUMN($D$18)))</f>
        <v>57897.517307692055</v>
      </c>
      <c r="Z18" s="63">
        <f>Y18+(($AD18-$D$18)/(COLUMN($AD18)-COLUMN($D$18)))</f>
        <v>58305.007692307408</v>
      </c>
      <c r="AA18" s="63">
        <f t="shared" ref="AA18:AC18" si="0">Z18+(($AD18-$D$18)/(COLUMN($AD18)-COLUMN($D$18)))</f>
        <v>58712.498076922762</v>
      </c>
      <c r="AB18" s="63">
        <f t="shared" si="0"/>
        <v>59119.988461538116</v>
      </c>
      <c r="AC18" s="63">
        <f t="shared" si="0"/>
        <v>59527.47884615347</v>
      </c>
      <c r="AD18" s="63">
        <v>59922.949999999582</v>
      </c>
    </row>
    <row r="19" spans="1:30" x14ac:dyDescent="0.35">
      <c r="A19" s="88" t="s">
        <v>30</v>
      </c>
      <c r="B19" s="169"/>
      <c r="C19" s="88" t="s">
        <v>31</v>
      </c>
      <c r="D19" s="63">
        <v>5.7999999999999829</v>
      </c>
      <c r="E19" s="63">
        <f>D19+($J19-$D19)/(COLUMN($J19)-COLUMN($D19))</f>
        <v>14.48333333333332</v>
      </c>
      <c r="F19" s="63">
        <f t="shared" ref="F19:H19" si="1">E19+($J19-$D19)/(COLUMN($J19)-COLUMN($D19))</f>
        <v>23.166666666666657</v>
      </c>
      <c r="G19" s="63">
        <f t="shared" si="1"/>
        <v>31.849999999999994</v>
      </c>
      <c r="H19" s="63">
        <f t="shared" si="1"/>
        <v>40.533333333333331</v>
      </c>
      <c r="I19" s="63">
        <f t="shared" ref="E19:I23" si="2">H19+($J19-$D19)/(COLUMN($J19)-COLUMN($D19))</f>
        <v>49.216666666666669</v>
      </c>
      <c r="J19" s="63">
        <v>57.900000000000006</v>
      </c>
      <c r="K19" s="63">
        <f>J19+($O19-$J19)/(COLUMN($O19)-COLUMN($J19))</f>
        <v>84.699999999999989</v>
      </c>
      <c r="L19" s="63">
        <f t="shared" ref="L19:N19" si="3">K19+($O19-$J19)/(COLUMN($O19)-COLUMN($J19))</f>
        <v>111.49999999999997</v>
      </c>
      <c r="M19" s="63">
        <f t="shared" si="3"/>
        <v>138.29999999999995</v>
      </c>
      <c r="N19" s="63">
        <f t="shared" si="3"/>
        <v>165.09999999999994</v>
      </c>
      <c r="O19" s="63">
        <v>191.89999999999995</v>
      </c>
      <c r="P19" s="63">
        <f>O19+($T19-$O19)/(COLUMN($T19)-COLUMN($O19))</f>
        <v>274.53999999999996</v>
      </c>
      <c r="Q19" s="63">
        <f t="shared" ref="Q19:S19" si="4">P19+($T19-$O19)/(COLUMN($T19)-COLUMN($O19))</f>
        <v>357.17999999999995</v>
      </c>
      <c r="R19" s="63">
        <f t="shared" si="4"/>
        <v>439.81999999999994</v>
      </c>
      <c r="S19" s="63">
        <f t="shared" si="4"/>
        <v>522.45999999999992</v>
      </c>
      <c r="T19" s="63">
        <v>605.1</v>
      </c>
      <c r="U19" s="63">
        <f>T19+($Y19-$T19)/(COLUMN($Y19)-COLUMN($T19))</f>
        <v>738.7</v>
      </c>
      <c r="V19" s="63">
        <f t="shared" ref="V19:X19" si="5">U19+($Y19-$T19)/(COLUMN($Y19)-COLUMN($T19))</f>
        <v>872.30000000000018</v>
      </c>
      <c r="W19" s="63">
        <f t="shared" si="5"/>
        <v>1005.9000000000003</v>
      </c>
      <c r="X19" s="63">
        <f t="shared" si="5"/>
        <v>1139.5000000000005</v>
      </c>
      <c r="Y19" s="63">
        <v>1273.1000000000004</v>
      </c>
      <c r="Z19" s="63">
        <f>Y19+($AD19-$Y19)/(COLUMN($AD19)-COLUMN($Y19))</f>
        <v>1435.8400000000004</v>
      </c>
      <c r="AA19" s="63">
        <f t="shared" ref="AA19:AC19" si="6">Z19+($AD19-$Y19)/(COLUMN($AD19)-COLUMN($Y19))</f>
        <v>1598.5800000000004</v>
      </c>
      <c r="AB19" s="63">
        <f t="shared" si="6"/>
        <v>1761.3200000000004</v>
      </c>
      <c r="AC19" s="63">
        <f t="shared" si="6"/>
        <v>1924.0600000000004</v>
      </c>
      <c r="AD19" s="63">
        <v>2086.8000000000002</v>
      </c>
    </row>
    <row r="20" spans="1:30" x14ac:dyDescent="0.35">
      <c r="A20" s="88" t="s">
        <v>30</v>
      </c>
      <c r="B20" s="169"/>
      <c r="C20" s="88" t="s">
        <v>32</v>
      </c>
      <c r="D20" s="63">
        <v>3.1999999999999886</v>
      </c>
      <c r="E20" s="63">
        <f t="shared" si="2"/>
        <v>5.0833333333333242</v>
      </c>
      <c r="F20" s="63">
        <f t="shared" si="2"/>
        <v>6.9666666666666597</v>
      </c>
      <c r="G20" s="63">
        <f t="shared" si="2"/>
        <v>8.8499999999999943</v>
      </c>
      <c r="H20" s="63">
        <f t="shared" si="2"/>
        <v>10.733333333333329</v>
      </c>
      <c r="I20" s="63">
        <f t="shared" si="2"/>
        <v>12.616666666666664</v>
      </c>
      <c r="J20" s="63">
        <v>14.5</v>
      </c>
      <c r="K20" s="63">
        <f t="shared" ref="K20:N20" si="7">J20+($O20-$J20)/(COLUMN($O20)-COLUMN($J20))</f>
        <v>17.139999999999997</v>
      </c>
      <c r="L20" s="63">
        <f t="shared" si="7"/>
        <v>19.779999999999994</v>
      </c>
      <c r="M20" s="63">
        <f t="shared" si="7"/>
        <v>22.419999999999991</v>
      </c>
      <c r="N20" s="63">
        <f t="shared" si="7"/>
        <v>25.059999999999988</v>
      </c>
      <c r="O20" s="63">
        <v>27.699999999999989</v>
      </c>
      <c r="P20" s="63">
        <f t="shared" ref="P20:S20" si="8">O20+($T20-$O20)/(COLUMN($T20)-COLUMN($O20))</f>
        <v>29.779999999999994</v>
      </c>
      <c r="Q20" s="63">
        <f t="shared" si="8"/>
        <v>31.86</v>
      </c>
      <c r="R20" s="63">
        <f t="shared" si="8"/>
        <v>33.940000000000005</v>
      </c>
      <c r="S20" s="63">
        <f t="shared" si="8"/>
        <v>36.02000000000001</v>
      </c>
      <c r="T20" s="63">
        <v>38.100000000000023</v>
      </c>
      <c r="U20" s="63">
        <f t="shared" ref="U20:X20" si="9">T20+($Y20-$T20)/(COLUMN($Y20)-COLUMN($T20))</f>
        <v>39.90000000000002</v>
      </c>
      <c r="V20" s="63">
        <f t="shared" si="9"/>
        <v>41.700000000000017</v>
      </c>
      <c r="W20" s="63">
        <f t="shared" si="9"/>
        <v>43.500000000000014</v>
      </c>
      <c r="X20" s="63">
        <f t="shared" si="9"/>
        <v>45.300000000000011</v>
      </c>
      <c r="Y20" s="63">
        <v>47.100000000000023</v>
      </c>
      <c r="Z20" s="63">
        <f t="shared" ref="Z20:AC20" si="10">Y20+($AD20-$Y20)/(COLUMN($AD20)-COLUMN($Y20))</f>
        <v>55.02</v>
      </c>
      <c r="AA20" s="63">
        <f t="shared" si="10"/>
        <v>62.939999999999984</v>
      </c>
      <c r="AB20" s="63">
        <f t="shared" si="10"/>
        <v>70.859999999999971</v>
      </c>
      <c r="AC20" s="63">
        <f t="shared" si="10"/>
        <v>78.779999999999959</v>
      </c>
      <c r="AD20" s="63">
        <v>86.699999999999932</v>
      </c>
    </row>
    <row r="21" spans="1:30" x14ac:dyDescent="0.35">
      <c r="A21" s="88" t="s">
        <v>30</v>
      </c>
      <c r="B21" s="169"/>
      <c r="C21" s="88" t="s">
        <v>33</v>
      </c>
      <c r="D21" s="63">
        <v>1.589413014335395E-2</v>
      </c>
      <c r="E21" s="63">
        <f t="shared" ref="E21:H21" si="11">D21+($J21-$D21)/(COLUMN($J21)-COLUMN($D21))</f>
        <v>8.3763892766986259E-2</v>
      </c>
      <c r="F21" s="63">
        <f t="shared" si="11"/>
        <v>0.15163365539061857</v>
      </c>
      <c r="G21" s="63">
        <f t="shared" si="11"/>
        <v>0.21950341801425088</v>
      </c>
      <c r="H21" s="63">
        <f t="shared" si="11"/>
        <v>0.2873731806378832</v>
      </c>
      <c r="I21" s="63">
        <f t="shared" si="2"/>
        <v>0.35524294326151551</v>
      </c>
      <c r="J21" s="63">
        <v>0.42311270588514782</v>
      </c>
      <c r="K21" s="63">
        <f t="shared" ref="K21:N21" si="12">J21+($O21-$J21)/(COLUMN($O21)-COLUMN($J21))</f>
        <v>0.9937776327209964</v>
      </c>
      <c r="L21" s="63">
        <f t="shared" si="12"/>
        <v>1.564442559556845</v>
      </c>
      <c r="M21" s="63">
        <f t="shared" si="12"/>
        <v>2.1351074863926938</v>
      </c>
      <c r="N21" s="63">
        <f t="shared" si="12"/>
        <v>2.7057724132285426</v>
      </c>
      <c r="O21" s="63">
        <v>3.2764373400643905</v>
      </c>
      <c r="P21" s="63">
        <f t="shared" ref="P21:S21" si="13">O21+($T21-$O21)/(COLUMN($T21)-COLUMN($O21))</f>
        <v>6.8448885543790983</v>
      </c>
      <c r="Q21" s="63">
        <f t="shared" si="13"/>
        <v>10.413339768693806</v>
      </c>
      <c r="R21" s="63">
        <f t="shared" si="13"/>
        <v>13.981790983008514</v>
      </c>
      <c r="S21" s="63">
        <f t="shared" si="13"/>
        <v>17.550242197323222</v>
      </c>
      <c r="T21" s="63">
        <v>21.118693411637931</v>
      </c>
      <c r="U21" s="63">
        <f t="shared" ref="U21:X21" si="14">T21+($Y21-$T21)/(COLUMN($Y21)-COLUMN($T21))</f>
        <v>31.033404288211457</v>
      </c>
      <c r="V21" s="63">
        <f t="shared" si="14"/>
        <v>40.94811516478498</v>
      </c>
      <c r="W21" s="63">
        <f t="shared" si="14"/>
        <v>50.862826041358502</v>
      </c>
      <c r="X21" s="63">
        <f t="shared" si="14"/>
        <v>60.777536917932025</v>
      </c>
      <c r="Y21" s="63">
        <v>70.692247794505562</v>
      </c>
      <c r="Z21" s="63">
        <f t="shared" ref="Z21:AC21" si="15">Y21+($AD21-$Y21)/(COLUMN($AD21)-COLUMN($Y21))</f>
        <v>90.026714223260001</v>
      </c>
      <c r="AA21" s="63">
        <f t="shared" si="15"/>
        <v>109.36118065201444</v>
      </c>
      <c r="AB21" s="63">
        <f t="shared" si="15"/>
        <v>128.69564708076888</v>
      </c>
      <c r="AC21" s="63">
        <f t="shared" si="15"/>
        <v>148.03011350952332</v>
      </c>
      <c r="AD21" s="63">
        <v>167.36457993827776</v>
      </c>
    </row>
    <row r="22" spans="1:30" x14ac:dyDescent="0.35">
      <c r="A22" s="88" t="s">
        <v>30</v>
      </c>
      <c r="B22" s="169"/>
      <c r="C22" s="88" t="s">
        <v>34</v>
      </c>
      <c r="D22" s="63">
        <v>5.2980433811179832E-3</v>
      </c>
      <c r="E22" s="63">
        <f t="shared" ref="E22:H22" si="16">D22+($J22-$D22)/(COLUMN($J22)-COLUMN($D22))</f>
        <v>1.3229884190205566E-2</v>
      </c>
      <c r="F22" s="63">
        <f t="shared" si="16"/>
        <v>2.1161724999293148E-2</v>
      </c>
      <c r="G22" s="63">
        <f t="shared" si="16"/>
        <v>2.9093565808380732E-2</v>
      </c>
      <c r="H22" s="63">
        <f t="shared" si="16"/>
        <v>3.7025406617468316E-2</v>
      </c>
      <c r="I22" s="63">
        <f t="shared" si="2"/>
        <v>4.4957247426555901E-2</v>
      </c>
      <c r="J22" s="63">
        <v>5.2889088235643478E-2</v>
      </c>
      <c r="K22" s="63">
        <f t="shared" ref="K22:N22" si="17">J22+($O22-$J22)/(COLUMN($O22)-COLUMN($J22))</f>
        <v>7.7393395266596554E-2</v>
      </c>
      <c r="L22" s="63">
        <f t="shared" si="17"/>
        <v>0.10189770229754963</v>
      </c>
      <c r="M22" s="63">
        <f t="shared" si="17"/>
        <v>0.12640200932850271</v>
      </c>
      <c r="N22" s="63">
        <f t="shared" si="17"/>
        <v>0.15090631635945578</v>
      </c>
      <c r="O22" s="63">
        <v>0.17541062339040886</v>
      </c>
      <c r="P22" s="63">
        <f t="shared" ref="P22:S22" si="18">O22+($T22-$O22)/(COLUMN($T22)-COLUMN($O22))</f>
        <v>0.25310745981317923</v>
      </c>
      <c r="Q22" s="63">
        <f t="shared" si="18"/>
        <v>0.33080429623594959</v>
      </c>
      <c r="R22" s="63">
        <f t="shared" si="18"/>
        <v>0.40850113265871996</v>
      </c>
      <c r="S22" s="63">
        <f t="shared" si="18"/>
        <v>0.48619796908149032</v>
      </c>
      <c r="T22" s="63">
        <v>0.56389480550426063</v>
      </c>
      <c r="U22" s="63">
        <f t="shared" ref="U22:X22" si="19">T22+($Y22-$T22)/(COLUMN($Y22)-COLUMN($T22))</f>
        <v>0.6870655192883357</v>
      </c>
      <c r="V22" s="63">
        <f t="shared" si="19"/>
        <v>0.81023623307241077</v>
      </c>
      <c r="W22" s="63">
        <f t="shared" si="19"/>
        <v>0.93340694685648584</v>
      </c>
      <c r="X22" s="63">
        <f t="shared" si="19"/>
        <v>1.0565776606405608</v>
      </c>
      <c r="Y22" s="63">
        <v>1.1797483744246358</v>
      </c>
      <c r="Z22" s="63">
        <f t="shared" ref="Z22:AC22" si="20">Y22+($AD22-$Y22)/(COLUMN($AD22)-COLUMN($Y22))</f>
        <v>1.3314293801091495</v>
      </c>
      <c r="AA22" s="63">
        <f t="shared" si="20"/>
        <v>1.4831103857936632</v>
      </c>
      <c r="AB22" s="63">
        <f t="shared" si="20"/>
        <v>1.6347913914781769</v>
      </c>
      <c r="AC22" s="63">
        <f t="shared" si="20"/>
        <v>1.7864723971626906</v>
      </c>
      <c r="AD22" s="63">
        <v>1.9381534028472041</v>
      </c>
    </row>
    <row r="23" spans="1:30" x14ac:dyDescent="0.35">
      <c r="A23" s="88" t="s">
        <v>30</v>
      </c>
      <c r="B23" s="169"/>
      <c r="C23" s="88" t="s">
        <v>35</v>
      </c>
      <c r="D23" s="63">
        <v>3</v>
      </c>
      <c r="E23" s="63">
        <f t="shared" ref="E23:H23" si="21">D23+($J23-$D23)/(COLUMN($J23)-COLUMN($D23))</f>
        <v>3.8333333333333335</v>
      </c>
      <c r="F23" s="63">
        <f t="shared" si="21"/>
        <v>4.666666666666667</v>
      </c>
      <c r="G23" s="63">
        <f t="shared" si="21"/>
        <v>5.5</v>
      </c>
      <c r="H23" s="63">
        <f t="shared" si="21"/>
        <v>6.333333333333333</v>
      </c>
      <c r="I23" s="63">
        <f t="shared" si="2"/>
        <v>7.1666666666666661</v>
      </c>
      <c r="J23" s="63">
        <v>8</v>
      </c>
      <c r="K23" s="63">
        <f t="shared" ref="K23:N23" si="22">J23+($O23-$J23)/(COLUMN($O23)-COLUMN($J23))</f>
        <v>10.199999999999999</v>
      </c>
      <c r="L23" s="63">
        <f t="shared" si="22"/>
        <v>12.399999999999999</v>
      </c>
      <c r="M23" s="63">
        <f t="shared" si="22"/>
        <v>14.599999999999998</v>
      </c>
      <c r="N23" s="63">
        <f t="shared" si="22"/>
        <v>16.799999999999997</v>
      </c>
      <c r="O23" s="63">
        <v>19</v>
      </c>
      <c r="P23" s="63">
        <f t="shared" ref="P23:S23" si="23">O23+($T23-$O23)/(COLUMN($T23)-COLUMN($O23))</f>
        <v>23</v>
      </c>
      <c r="Q23" s="63">
        <f t="shared" si="23"/>
        <v>27</v>
      </c>
      <c r="R23" s="63">
        <f t="shared" si="23"/>
        <v>31</v>
      </c>
      <c r="S23" s="63">
        <f t="shared" si="23"/>
        <v>35</v>
      </c>
      <c r="T23" s="63">
        <v>39</v>
      </c>
      <c r="U23" s="63">
        <f t="shared" ref="U23:X23" si="24">T23+($Y23-$T23)/(COLUMN($Y23)-COLUMN($T23))</f>
        <v>44</v>
      </c>
      <c r="V23" s="63">
        <f t="shared" si="24"/>
        <v>49</v>
      </c>
      <c r="W23" s="63">
        <f t="shared" si="24"/>
        <v>54</v>
      </c>
      <c r="X23" s="63">
        <f t="shared" si="24"/>
        <v>59</v>
      </c>
      <c r="Y23" s="63">
        <v>64</v>
      </c>
      <c r="Z23" s="63">
        <f t="shared" ref="Z23:AC23" si="25">Y23+($AD23-$Y23)/(COLUMN($AD23)-COLUMN($Y23))</f>
        <v>69.599999999999994</v>
      </c>
      <c r="AA23" s="63">
        <f>Z23+($AD23-$Y23)/(COLUMN($AD23)-COLUMN($Y23))</f>
        <v>75.199999999999989</v>
      </c>
      <c r="AB23" s="63">
        <f t="shared" si="25"/>
        <v>80.799999999999983</v>
      </c>
      <c r="AC23" s="63">
        <f t="shared" si="25"/>
        <v>86.399999999999977</v>
      </c>
      <c r="AD23" s="63">
        <v>92</v>
      </c>
    </row>
    <row r="24" spans="1:30" x14ac:dyDescent="0.35">
      <c r="A24" s="88" t="s">
        <v>30</v>
      </c>
      <c r="B24" s="169"/>
      <c r="C24" s="88" t="s">
        <v>121</v>
      </c>
      <c r="D24" s="63">
        <v>3808.3606649666053</v>
      </c>
      <c r="E24" s="63">
        <v>5063.9625989576198</v>
      </c>
      <c r="F24" s="63">
        <v>6319.5645329486342</v>
      </c>
      <c r="G24" s="63">
        <v>7575.1664669396487</v>
      </c>
      <c r="H24" s="63">
        <v>8830.7684009306613</v>
      </c>
      <c r="I24" s="63">
        <v>10086.370334921676</v>
      </c>
      <c r="J24" s="63">
        <v>11341.97226891269</v>
      </c>
      <c r="K24" s="63">
        <v>12597.574202903706</v>
      </c>
      <c r="L24" s="63">
        <v>13853.176136894721</v>
      </c>
      <c r="M24" s="63">
        <v>15108.778070885735</v>
      </c>
      <c r="N24" s="63">
        <v>16364.38000487675</v>
      </c>
      <c r="O24" s="63">
        <v>17619.981938867764</v>
      </c>
      <c r="P24" s="63">
        <v>18875.583872858777</v>
      </c>
      <c r="Q24" s="63">
        <v>20131.185806849793</v>
      </c>
      <c r="R24" s="63">
        <v>21386.787740840809</v>
      </c>
      <c r="S24" s="63">
        <v>22642.389674831822</v>
      </c>
      <c r="T24" s="63">
        <v>23897.991608822835</v>
      </c>
      <c r="U24" s="63">
        <v>25153.593542813855</v>
      </c>
      <c r="V24" s="63">
        <v>26409.195476804874</v>
      </c>
      <c r="W24" s="63">
        <v>27664.797410795891</v>
      </c>
      <c r="X24" s="63">
        <v>28920.399344786907</v>
      </c>
      <c r="Y24" s="63">
        <v>29330.805547329233</v>
      </c>
      <c r="Z24" s="63">
        <v>29741.21174987156</v>
      </c>
      <c r="AA24" s="63">
        <v>30151.61795241389</v>
      </c>
      <c r="AB24" s="63">
        <v>30562.024154956216</v>
      </c>
      <c r="AC24" s="63">
        <v>30972.430357498542</v>
      </c>
      <c r="AD24" s="63">
        <v>31382.836560040847</v>
      </c>
    </row>
    <row r="25" spans="1:30" x14ac:dyDescent="0.35">
      <c r="A25" s="88" t="s">
        <v>30</v>
      </c>
      <c r="B25" s="169"/>
      <c r="C25" s="88" t="s">
        <v>122</v>
      </c>
      <c r="D25" s="63">
        <v>192864.66620394157</v>
      </c>
      <c r="E25" s="63">
        <v>195239.2419650236</v>
      </c>
      <c r="F25" s="63">
        <v>196366.76544203321</v>
      </c>
      <c r="G25" s="63">
        <v>197525.37556068008</v>
      </c>
      <c r="H25" s="63">
        <v>198743.92387830256</v>
      </c>
      <c r="I25" s="63">
        <v>200140.93841202525</v>
      </c>
      <c r="J25" s="63">
        <v>201537.7102617296</v>
      </c>
      <c r="K25" s="63">
        <v>203264.35975945235</v>
      </c>
      <c r="L25" s="63">
        <v>205020.85839510098</v>
      </c>
      <c r="M25" s="63">
        <v>206857.30160898238</v>
      </c>
      <c r="N25" s="63">
        <v>208717.85370976047</v>
      </c>
      <c r="O25" s="63">
        <v>210603.18149647751</v>
      </c>
      <c r="P25" s="63">
        <v>212516.40688715709</v>
      </c>
      <c r="Q25" s="63">
        <v>214384.67967973242</v>
      </c>
      <c r="R25" s="63">
        <v>216269.29220061237</v>
      </c>
      <c r="S25" s="63">
        <v>218166.20327483438</v>
      </c>
      <c r="T25" s="63">
        <v>220084.66189887849</v>
      </c>
      <c r="U25" s="63">
        <v>221841.85132365467</v>
      </c>
      <c r="V25" s="63">
        <v>223594.26978343775</v>
      </c>
      <c r="W25" s="63">
        <v>225336.52091265519</v>
      </c>
      <c r="X25" s="63">
        <v>227080.15135791432</v>
      </c>
      <c r="Y25" s="63">
        <v>228568.34604359462</v>
      </c>
      <c r="Z25" s="63">
        <v>230020.42486390745</v>
      </c>
      <c r="AA25" s="63">
        <v>231425.48689332735</v>
      </c>
      <c r="AB25" s="63">
        <v>232792.66409110834</v>
      </c>
      <c r="AC25" s="63">
        <v>233827.47214176381</v>
      </c>
      <c r="AD25" s="63">
        <v>234770.96970999555</v>
      </c>
    </row>
    <row r="26" spans="1:30" s="82" customFormat="1" x14ac:dyDescent="0.35">
      <c r="A26" s="88" t="s">
        <v>30</v>
      </c>
      <c r="B26" s="169"/>
      <c r="C26" s="88" t="s">
        <v>123</v>
      </c>
      <c r="D26" s="63">
        <v>15863.893130854603</v>
      </c>
      <c r="E26" s="63">
        <v>17648.235031002652</v>
      </c>
      <c r="F26" s="63">
        <v>18532.236689999794</v>
      </c>
      <c r="G26" s="63">
        <v>19475.112681928011</v>
      </c>
      <c r="H26" s="63">
        <v>20493.71854997455</v>
      </c>
      <c r="I26" s="63">
        <v>21703.204276026223</v>
      </c>
      <c r="J26" s="63">
        <v>22946.050699999509</v>
      </c>
      <c r="K26" s="63">
        <v>24548.26486804448</v>
      </c>
      <c r="L26" s="63">
        <v>26220.989372549484</v>
      </c>
      <c r="M26" s="63">
        <v>28058.997685781676</v>
      </c>
      <c r="N26" s="63">
        <v>29994.707022833591</v>
      </c>
      <c r="O26" s="63">
        <v>32011.425891947838</v>
      </c>
      <c r="P26" s="63">
        <v>34129.673408907925</v>
      </c>
      <c r="Q26" s="63">
        <v>36251.576659394232</v>
      </c>
      <c r="R26" s="63">
        <v>38482.292306296302</v>
      </c>
      <c r="S26" s="63">
        <v>40781.781464548454</v>
      </c>
      <c r="T26" s="63">
        <v>43190.558793671822</v>
      </c>
      <c r="U26" s="63">
        <v>45461.093625999209</v>
      </c>
      <c r="V26" s="63">
        <v>47797.3220414936</v>
      </c>
      <c r="W26" s="63">
        <v>50173.624201748113</v>
      </c>
      <c r="X26" s="63">
        <v>52592.349260380004</v>
      </c>
      <c r="Y26" s="63">
        <v>54727.119526493792</v>
      </c>
      <c r="Z26" s="63">
        <v>56855.98510471324</v>
      </c>
      <c r="AA26" s="63">
        <v>58972.670120360293</v>
      </c>
      <c r="AB26" s="63">
        <v>61079.371371193629</v>
      </c>
      <c r="AC26" s="63">
        <v>62711.988881723832</v>
      </c>
      <c r="AD26" s="63">
        <v>64234.559659609338</v>
      </c>
    </row>
    <row r="27" spans="1:30" s="82" customFormat="1" x14ac:dyDescent="0.35">
      <c r="A27" s="88" t="s">
        <v>39</v>
      </c>
      <c r="B27" s="169"/>
      <c r="C27" s="88" t="s">
        <v>165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3.80000000000001</v>
      </c>
    </row>
    <row r="28" spans="1:30" x14ac:dyDescent="0.35">
      <c r="A28" s="88" t="s">
        <v>39</v>
      </c>
      <c r="B28" s="169"/>
      <c r="C28" s="88" t="s">
        <v>166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8.2100000000000009</v>
      </c>
      <c r="T28" s="64">
        <f>S28+($Y28-$S28)/(COLUMN($Y28)-COLUMN($S28))</f>
        <v>135.97499999999999</v>
      </c>
      <c r="U28" s="64">
        <f t="shared" ref="U28:X28" si="26">T28+($Y28-$S28)/(COLUMN($Y28)-COLUMN($S28))</f>
        <v>263.74</v>
      </c>
      <c r="V28" s="64">
        <f t="shared" si="26"/>
        <v>391.505</v>
      </c>
      <c r="W28" s="64">
        <f t="shared" si="26"/>
        <v>519.27</v>
      </c>
      <c r="X28" s="64">
        <f t="shared" si="26"/>
        <v>647.03499999999997</v>
      </c>
      <c r="Y28" s="64">
        <v>774.8</v>
      </c>
      <c r="Z28" s="64">
        <f t="shared" ref="Z28:AC28" si="27">Y28+($AD28-$S28)/(COLUMN($AD28)-COLUMN($S28))</f>
        <v>1007.1081818181817</v>
      </c>
      <c r="AA28" s="64">
        <f t="shared" si="27"/>
        <v>1239.4163636363635</v>
      </c>
      <c r="AB28" s="64">
        <f t="shared" si="27"/>
        <v>1471.7245454545453</v>
      </c>
      <c r="AC28" s="64">
        <f t="shared" si="27"/>
        <v>1704.032727272727</v>
      </c>
      <c r="AD28" s="64">
        <f>2563.6</f>
        <v>2563.6</v>
      </c>
    </row>
    <row r="29" spans="1:30" x14ac:dyDescent="0.35">
      <c r="A29" s="88" t="s">
        <v>39</v>
      </c>
      <c r="B29" s="169"/>
      <c r="C29" s="88" t="s">
        <v>32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8.2100000000000009</v>
      </c>
      <c r="T29" s="64">
        <f t="shared" ref="T29:X29" si="28">S29+($Y29-$S29)/(COLUMN($Y29)-COLUMN($S29))</f>
        <v>13.991666666666667</v>
      </c>
      <c r="U29" s="64">
        <f t="shared" si="28"/>
        <v>19.773333333333333</v>
      </c>
      <c r="V29" s="64">
        <f t="shared" si="28"/>
        <v>25.555</v>
      </c>
      <c r="W29" s="64">
        <f t="shared" si="28"/>
        <v>31.336666666666666</v>
      </c>
      <c r="X29" s="64">
        <f t="shared" si="28"/>
        <v>37.118333333333332</v>
      </c>
      <c r="Y29" s="64">
        <v>42.9</v>
      </c>
      <c r="Z29" s="64">
        <f t="shared" ref="Z29:AC29" si="29">Y29+($AD29-$S29)/(COLUMN($AD29)-COLUMN($S29))</f>
        <v>56.326909090909091</v>
      </c>
      <c r="AA29" s="64">
        <f t="shared" si="29"/>
        <v>69.753818181818176</v>
      </c>
      <c r="AB29" s="64">
        <f t="shared" si="29"/>
        <v>83.180727272727268</v>
      </c>
      <c r="AC29" s="64">
        <f t="shared" si="29"/>
        <v>96.60763636363636</v>
      </c>
      <c r="AD29" s="64">
        <f>153.606+2.3</f>
        <v>155.90600000000001</v>
      </c>
    </row>
    <row r="30" spans="1:30" x14ac:dyDescent="0.35">
      <c r="A30" s="88" t="s">
        <v>39</v>
      </c>
      <c r="B30" s="169"/>
      <c r="C30" s="88" t="s">
        <v>33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9.6361599999999995E-3</v>
      </c>
      <c r="T30" s="64">
        <f t="shared" ref="T30:X30" si="30">S30+($Y30-$S30)/(COLUMN($Y30)-COLUMN($S30))</f>
        <v>2.8906134666666667</v>
      </c>
      <c r="U30" s="64">
        <f t="shared" si="30"/>
        <v>5.7715907733333331</v>
      </c>
      <c r="V30" s="64">
        <f t="shared" si="30"/>
        <v>8.65256808</v>
      </c>
      <c r="W30" s="64">
        <f t="shared" si="30"/>
        <v>11.533545386666667</v>
      </c>
      <c r="X30" s="64">
        <f t="shared" si="30"/>
        <v>14.414522693333334</v>
      </c>
      <c r="Y30" s="64">
        <v>17.295500000000001</v>
      </c>
      <c r="Z30" s="64">
        <f t="shared" ref="Z30:AC30" si="31">Y30+($AD30-$S30)/(COLUMN($AD30)-COLUMN($S30))</f>
        <v>29.968860894545454</v>
      </c>
      <c r="AA30" s="64">
        <f t="shared" si="31"/>
        <v>42.642221789090911</v>
      </c>
      <c r="AB30" s="64">
        <f t="shared" si="31"/>
        <v>55.315582683636364</v>
      </c>
      <c r="AC30" s="64">
        <f t="shared" si="31"/>
        <v>67.988943578181818</v>
      </c>
      <c r="AD30" s="64">
        <f>139.41+0.006606</f>
        <v>139.416606</v>
      </c>
    </row>
    <row r="31" spans="1:30" x14ac:dyDescent="0.35">
      <c r="A31" s="88" t="s">
        <v>39</v>
      </c>
      <c r="B31" s="169"/>
      <c r="C31" s="88" t="s">
        <v>34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9.6361599999999995E-3</v>
      </c>
      <c r="T31" s="64">
        <f t="shared" ref="T31:X31" si="32">S31+($Y31-$S31)/(COLUMN($Y31)-COLUMN($S31))</f>
        <v>0.15974513333333334</v>
      </c>
      <c r="U31" s="64">
        <f t="shared" si="32"/>
        <v>0.30985410666666668</v>
      </c>
      <c r="V31" s="64">
        <f t="shared" si="32"/>
        <v>0.45996308000000002</v>
      </c>
      <c r="W31" s="64">
        <f t="shared" si="32"/>
        <v>0.61007205333333336</v>
      </c>
      <c r="X31" s="64">
        <f t="shared" si="32"/>
        <v>0.76018102666666665</v>
      </c>
      <c r="Y31" s="64">
        <v>0.91029000000000004</v>
      </c>
      <c r="Z31" s="64">
        <f t="shared" ref="Z31:AC31" si="33">Y31+($AD31-$S31)/(COLUMN($AD31)-COLUMN($S31))</f>
        <v>1.1002688036363637</v>
      </c>
      <c r="AA31" s="64">
        <f t="shared" si="33"/>
        <v>1.2902476072727274</v>
      </c>
      <c r="AB31" s="64">
        <f t="shared" si="33"/>
        <v>1.480226410909091</v>
      </c>
      <c r="AC31" s="64">
        <f t="shared" si="33"/>
        <v>1.6702052145454547</v>
      </c>
      <c r="AD31" s="64">
        <f>2.0961+0.003303</f>
        <v>2.0994029999999997</v>
      </c>
    </row>
    <row r="32" spans="1:30" x14ac:dyDescent="0.35">
      <c r="A32" s="88" t="s">
        <v>39</v>
      </c>
      <c r="B32" s="169"/>
      <c r="C32" s="88" t="s">
        <v>35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1</v>
      </c>
      <c r="T32" s="64">
        <f t="shared" ref="T32:X32" si="34">S32+($Y32-$S32)/(COLUMN($Y32)-COLUMN($S32))</f>
        <v>4</v>
      </c>
      <c r="U32" s="64">
        <f t="shared" si="34"/>
        <v>7</v>
      </c>
      <c r="V32" s="64">
        <f t="shared" si="34"/>
        <v>10</v>
      </c>
      <c r="W32" s="64">
        <f t="shared" si="34"/>
        <v>13</v>
      </c>
      <c r="X32" s="64">
        <f t="shared" si="34"/>
        <v>16</v>
      </c>
      <c r="Y32" s="64">
        <v>19</v>
      </c>
      <c r="Z32" s="64">
        <f t="shared" ref="Z32:AC32" si="35">Y32+($AD32-$S32)/(COLUMN($AD32)-COLUMN($S32))</f>
        <v>24.09090909090909</v>
      </c>
      <c r="AA32" s="64">
        <f t="shared" si="35"/>
        <v>29.18181818181818</v>
      </c>
      <c r="AB32" s="64">
        <f t="shared" si="35"/>
        <v>34.272727272727273</v>
      </c>
      <c r="AC32" s="64">
        <f t="shared" si="35"/>
        <v>39.363636363636367</v>
      </c>
      <c r="AD32" s="64">
        <f>55+2</f>
        <v>57</v>
      </c>
    </row>
    <row r="33" spans="1:30" x14ac:dyDescent="0.35">
      <c r="A33" s="88" t="s">
        <v>143</v>
      </c>
      <c r="B33" s="88" t="s">
        <v>124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109027.61478450769</v>
      </c>
      <c r="T33" s="63">
        <v>442656.83404163271</v>
      </c>
      <c r="U33" s="63">
        <v>1239691.6645075537</v>
      </c>
      <c r="V33" s="63">
        <v>1787060.3534027599</v>
      </c>
      <c r="W33" s="64">
        <v>3012656.4586254973</v>
      </c>
      <c r="X33" s="64">
        <v>4169561.0810487596</v>
      </c>
      <c r="Y33" s="64">
        <v>5825875.8505857736</v>
      </c>
      <c r="Z33" s="64">
        <v>7604896.3883513445</v>
      </c>
      <c r="AA33" s="64">
        <v>10296482.658982879</v>
      </c>
      <c r="AB33" s="64">
        <v>13539117.810469771</v>
      </c>
      <c r="AC33" s="64">
        <v>16767267.882106254</v>
      </c>
      <c r="AD33" s="64">
        <v>20651853.67445185</v>
      </c>
    </row>
    <row r="34" spans="1:30" x14ac:dyDescent="0.35">
      <c r="A34" s="88" t="s">
        <v>143</v>
      </c>
      <c r="B34" s="88" t="s">
        <v>145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652246.86408922647</v>
      </c>
      <c r="T34" s="63">
        <v>2544977.5561976298</v>
      </c>
      <c r="U34" s="63">
        <v>7098480.4129135292</v>
      </c>
      <c r="V34" s="63">
        <v>8476794.3667173889</v>
      </c>
      <c r="W34" s="64">
        <v>13732010.062810162</v>
      </c>
      <c r="X34" s="64">
        <v>18128908.131554667</v>
      </c>
      <c r="Y34" s="64">
        <v>25586218.978283331</v>
      </c>
      <c r="Z34" s="64">
        <v>32481605.046326961</v>
      </c>
      <c r="AA34" s="64">
        <v>44845187.137756862</v>
      </c>
      <c r="AB34" s="64">
        <v>59709544.559618875</v>
      </c>
      <c r="AC34" s="64">
        <v>74094022.871186391</v>
      </c>
      <c r="AD34" s="64">
        <v>91015074.976981252</v>
      </c>
    </row>
    <row r="35" spans="1:30" x14ac:dyDescent="0.35">
      <c r="A35" s="88" t="s">
        <v>146</v>
      </c>
      <c r="B35" s="88" t="s">
        <v>124</v>
      </c>
      <c r="C35" s="88" t="s">
        <v>144</v>
      </c>
      <c r="D35" s="63">
        <v>1269.4984609921005</v>
      </c>
      <c r="E35" s="63">
        <f>D35+($J35-$D35)/(COLUMN($J35)-COLUMN($D35))</f>
        <v>3507.3998571021511</v>
      </c>
      <c r="F35" s="63">
        <f t="shared" ref="F35" si="36">E35+($J35-$D35)/(COLUMN($J35)-COLUMN($D35))</f>
        <v>5745.301253212202</v>
      </c>
      <c r="G35" s="63">
        <f t="shared" ref="G35" si="37">F35+($J35-$D35)/(COLUMN($J35)-COLUMN($D35))</f>
        <v>7983.2026493222529</v>
      </c>
      <c r="H35" s="63">
        <f t="shared" ref="H35" si="38">G35+($J35-$D35)/(COLUMN($J35)-COLUMN($D35))</f>
        <v>10221.104045432305</v>
      </c>
      <c r="I35" s="63">
        <f t="shared" ref="I35" si="39">H35+($J35-$D35)/(COLUMN($J35)-COLUMN($D35))</f>
        <v>12459.005441542355</v>
      </c>
      <c r="J35" s="63">
        <v>14696.906837652406</v>
      </c>
      <c r="K35" s="63">
        <f>J35+($N35-$J35)/(COLUMN($N35)-COLUMN($J35))</f>
        <v>19967.544193686888</v>
      </c>
      <c r="L35" s="63">
        <f t="shared" ref="L35" si="40">K35+($N35-$J35)/(COLUMN($N35)-COLUMN($J35))</f>
        <v>25238.181549721368</v>
      </c>
      <c r="M35" s="63">
        <f t="shared" ref="M35" si="41">L35+($N35-$J35)/(COLUMN($N35)-COLUMN($J35))</f>
        <v>30508.818905755848</v>
      </c>
      <c r="N35" s="63">
        <v>35779.456261790328</v>
      </c>
      <c r="O35" s="63">
        <f>N35+($T35-$N35)/(COLUMN($T35)-COLUMN($N35))</f>
        <v>64681.183590648128</v>
      </c>
      <c r="P35" s="63">
        <f t="shared" ref="P35" si="42">O35+($T35-$N35)/(COLUMN($T35)-COLUMN($N35))</f>
        <v>93582.910919505928</v>
      </c>
      <c r="Q35" s="63">
        <f t="shared" ref="Q35" si="43">P35+($T35-$N35)/(COLUMN($T35)-COLUMN($N35))</f>
        <v>122484.63824836373</v>
      </c>
      <c r="R35" s="63">
        <f t="shared" ref="R35" si="44">Q35+($T35-$N35)/(COLUMN($T35)-COLUMN($N35))</f>
        <v>151386.36557722153</v>
      </c>
      <c r="S35" s="63">
        <f t="shared" ref="S35" si="45">R35+($T35-$N35)/(COLUMN($T35)-COLUMN($N35))</f>
        <v>180288.09290607934</v>
      </c>
      <c r="T35" s="63">
        <v>209189.82023493716</v>
      </c>
      <c r="U35" s="63">
        <f>T35+($Y35-$T35)/(COLUMN($Y35)-COLUMN($T35))</f>
        <v>276031.83655734884</v>
      </c>
      <c r="V35" s="63">
        <f t="shared" ref="V35" si="46">U35+($Y35-$T35)/(COLUMN($Y35)-COLUMN($T35))</f>
        <v>342873.8528797605</v>
      </c>
      <c r="W35" s="63">
        <f t="shared" ref="W35" si="47">V35+($Y35-$T35)/(COLUMN($Y35)-COLUMN($T35))</f>
        <v>409715.86920217215</v>
      </c>
      <c r="X35" s="63">
        <f t="shared" ref="X35" si="48">W35+($Y35-$T35)/(COLUMN($Y35)-COLUMN($T35))</f>
        <v>476557.88552458381</v>
      </c>
      <c r="Y35" s="63">
        <v>543399.90184699546</v>
      </c>
      <c r="Z35" s="63">
        <f>Y35+($AD35-$Y35)/(COLUMN($AD35)-COLUMN($Y35))</f>
        <v>639923.9429235718</v>
      </c>
      <c r="AA35" s="63">
        <f t="shared" ref="AA35" si="49">Z35+($AD35-$Y35)/(COLUMN($AD35)-COLUMN($Y35))</f>
        <v>736447.98400014814</v>
      </c>
      <c r="AB35" s="63">
        <f t="shared" ref="AB35" si="50">AA35+($AD35-$Y35)/(COLUMN($AD35)-COLUMN($Y35))</f>
        <v>832972.02507672447</v>
      </c>
      <c r="AC35" s="63">
        <f t="shared" ref="AC35" si="51">AB35+($AD35-$Y35)/(COLUMN($AD35)-COLUMN($Y35))</f>
        <v>929496.06615330081</v>
      </c>
      <c r="AD35" s="63">
        <v>1026020.1072298773</v>
      </c>
    </row>
    <row r="36" spans="1:30" x14ac:dyDescent="0.35">
      <c r="A36" s="88" t="s">
        <v>146</v>
      </c>
      <c r="B36" s="88" t="s">
        <v>145</v>
      </c>
      <c r="C36" s="88" t="s">
        <v>144</v>
      </c>
      <c r="D36" s="63">
        <v>5267.7658737530246</v>
      </c>
      <c r="E36" s="63">
        <f>D36+($J36-$D36)/(COLUMN($J36)-COLUMN($D36))</f>
        <v>14553.906003485823</v>
      </c>
      <c r="F36" s="63">
        <f t="shared" ref="F36" si="52">E36+($J36-$D36)/(COLUMN($J36)-COLUMN($D36))</f>
        <v>23840.046133218624</v>
      </c>
      <c r="G36" s="63">
        <f t="shared" ref="G36" si="53">F36+($J36-$D36)/(COLUMN($J36)-COLUMN($D36))</f>
        <v>33126.186262951422</v>
      </c>
      <c r="H36" s="63">
        <f t="shared" ref="H36" si="54">G36+($J36-$D36)/(COLUMN($J36)-COLUMN($D36))</f>
        <v>42412.326392684219</v>
      </c>
      <c r="I36" s="63">
        <f t="shared" ref="I36" si="55">H36+($J36-$D36)/(COLUMN($J36)-COLUMN($D36))</f>
        <v>51698.466522417017</v>
      </c>
      <c r="J36" s="63">
        <v>60984.606652149814</v>
      </c>
      <c r="K36" s="63">
        <f>J36+($N36-$J36)/(COLUMN($N36)-COLUMN($J36))</f>
        <v>82855.041670518112</v>
      </c>
      <c r="L36" s="63">
        <f t="shared" ref="L36" si="56">K36+($N36-$J36)/(COLUMN($N36)-COLUMN($J36))</f>
        <v>104725.47668888641</v>
      </c>
      <c r="M36" s="63">
        <f t="shared" ref="M36" si="57">L36+($N36-$J36)/(COLUMN($N36)-COLUMN($J36))</f>
        <v>126595.91170725471</v>
      </c>
      <c r="N36" s="63">
        <v>148466.34672562304</v>
      </c>
      <c r="O36" s="63">
        <f>N36+($T36-$N36)/(COLUMN($T36)-COLUMN($N36))</f>
        <v>268393.65470872395</v>
      </c>
      <c r="P36" s="63">
        <f t="shared" ref="P36" si="58">O36+($T36-$N36)/(COLUMN($T36)-COLUMN($N36))</f>
        <v>388320.96269182488</v>
      </c>
      <c r="Q36" s="63">
        <f t="shared" ref="Q36" si="59">P36+($T36-$N36)/(COLUMN($T36)-COLUMN($N36))</f>
        <v>508248.27067492582</v>
      </c>
      <c r="R36" s="63">
        <f t="shared" ref="R36" si="60">Q36+($T36-$N36)/(COLUMN($T36)-COLUMN($N36))</f>
        <v>628175.57865802676</v>
      </c>
      <c r="S36" s="63">
        <f t="shared" ref="S36" si="61">R36+($T36-$N36)/(COLUMN($T36)-COLUMN($N36))</f>
        <v>748102.88664112764</v>
      </c>
      <c r="T36" s="63">
        <v>868030.19462422852</v>
      </c>
      <c r="U36" s="63">
        <f>T36+($Y36-$T36)/(COLUMN($Y36)-COLUMN($T36))</f>
        <v>1145390.1941321236</v>
      </c>
      <c r="V36" s="63">
        <f t="shared" ref="V36" si="62">U36+($Y36-$T36)/(COLUMN($Y36)-COLUMN($T36))</f>
        <v>1422750.1936400188</v>
      </c>
      <c r="W36" s="63">
        <f t="shared" ref="W36" si="63">V36+($Y36-$T36)/(COLUMN($Y36)-COLUMN($T36))</f>
        <v>1700110.193147914</v>
      </c>
      <c r="X36" s="63">
        <f t="shared" ref="X36" si="64">W36+($Y36-$T36)/(COLUMN($Y36)-COLUMN($T36))</f>
        <v>1977470.1926558092</v>
      </c>
      <c r="Y36" s="63">
        <v>2254830.1921637044</v>
      </c>
      <c r="Z36" s="63">
        <f>Y36+($AD36-$Y36)/(COLUMN($AD36)-COLUMN($Y36))</f>
        <v>2655355.3327633734</v>
      </c>
      <c r="AA36" s="63">
        <f t="shared" ref="AA36" si="65">Z36+($AD36-$Y36)/(COLUMN($AD36)-COLUMN($Y36))</f>
        <v>3055880.4733630423</v>
      </c>
      <c r="AB36" s="63">
        <f t="shared" ref="AB36" si="66">AA36+($AD36-$Y36)/(COLUMN($AD36)-COLUMN($Y36))</f>
        <v>3456405.6139627113</v>
      </c>
      <c r="AC36" s="63">
        <f t="shared" ref="AC36" si="67">AB36+($AD36-$Y36)/(COLUMN($AD36)-COLUMN($Y36))</f>
        <v>3856930.7545623803</v>
      </c>
      <c r="AD36" s="63">
        <v>4257455.8951620487</v>
      </c>
    </row>
    <row r="37" spans="1:30" ht="29" x14ac:dyDescent="0.35">
      <c r="A37" s="3" t="s">
        <v>147</v>
      </c>
      <c r="B37" s="3" t="s">
        <v>148</v>
      </c>
      <c r="C37" s="88" t="s">
        <v>144</v>
      </c>
      <c r="D37" s="63">
        <v>4851900.5486829933</v>
      </c>
      <c r="E37" s="63">
        <v>5548844.3300555516</v>
      </c>
      <c r="F37" s="63">
        <v>5954616.7726334753</v>
      </c>
      <c r="G37" s="63">
        <v>6363779.4526433833</v>
      </c>
      <c r="H37" s="63">
        <v>6862697.0831286758</v>
      </c>
      <c r="I37" s="63">
        <v>7430779.6337906746</v>
      </c>
      <c r="J37" s="63">
        <v>7958090.1696787169</v>
      </c>
      <c r="K37" s="63">
        <v>8741153.0658613946</v>
      </c>
      <c r="L37" s="63">
        <v>9549664.1025375165</v>
      </c>
      <c r="M37" s="63">
        <v>10292607.096280362</v>
      </c>
      <c r="N37" s="63">
        <v>11249460.561061727</v>
      </c>
      <c r="O37" s="63">
        <v>12276853.639271129</v>
      </c>
      <c r="P37" s="63">
        <v>13383547.522738636</v>
      </c>
      <c r="Q37" s="63">
        <v>14497043.817288639</v>
      </c>
      <c r="R37" s="63">
        <v>15635893.67975487</v>
      </c>
      <c r="S37" s="63">
        <v>16957354.939872339</v>
      </c>
      <c r="T37" s="63">
        <v>18318405.619574133</v>
      </c>
      <c r="U37" s="63">
        <v>19745850.774965178</v>
      </c>
      <c r="V37" s="63">
        <v>21095026.297130056</v>
      </c>
      <c r="W37" s="63">
        <v>22704288.873824503</v>
      </c>
      <c r="X37" s="63">
        <v>24150941.08390535</v>
      </c>
      <c r="Y37" s="63">
        <v>25639353.06127708</v>
      </c>
      <c r="Z37" s="63">
        <v>27288113.409484014</v>
      </c>
      <c r="AA37" s="63">
        <v>28930870.886208765</v>
      </c>
      <c r="AB37" s="63">
        <v>30651491.214634936</v>
      </c>
      <c r="AC37" s="63">
        <v>32245235.077421702</v>
      </c>
      <c r="AD37" s="63">
        <v>33779752.513984405</v>
      </c>
    </row>
    <row r="39" spans="1:30" x14ac:dyDescent="0.35">
      <c r="A39" s="88"/>
      <c r="B39" s="88"/>
      <c r="C39" s="88" t="s">
        <v>149</v>
      </c>
      <c r="D39" s="63">
        <f>'Cost Assumptions'!$B$4</f>
        <v>40</v>
      </c>
      <c r="E39" s="63">
        <f>D39*'Cost Assumptions'!$B$5</f>
        <v>41</v>
      </c>
      <c r="F39" s="63">
        <f>E39*'Cost Assumptions'!$B$5</f>
        <v>42.024999999999999</v>
      </c>
      <c r="G39" s="63">
        <f>F39*'Cost Assumptions'!$B$5</f>
        <v>43.075624999999995</v>
      </c>
      <c r="H39" s="10">
        <f>G39*'Cost Assumptions'!$B$5</f>
        <v>44.152515624999992</v>
      </c>
      <c r="I39" s="10">
        <f>H39*'Cost Assumptions'!$B$5</f>
        <v>45.256328515624986</v>
      </c>
      <c r="J39" s="10">
        <f>I39*'Cost Assumptions'!$B$5</f>
        <v>46.387736728515605</v>
      </c>
      <c r="K39" s="10">
        <f>J39*'Cost Assumptions'!$B$5</f>
        <v>47.547430146728495</v>
      </c>
      <c r="L39" s="10">
        <f>K39*'Cost Assumptions'!$B$5</f>
        <v>48.736115900396705</v>
      </c>
      <c r="M39" s="10">
        <f>L39*'Cost Assumptions'!$B$5</f>
        <v>49.954518797906616</v>
      </c>
      <c r="N39" s="10">
        <f>M39*'Cost Assumptions'!$B$5</f>
        <v>51.203381767854275</v>
      </c>
      <c r="O39" s="10">
        <f>N39*'Cost Assumptions'!$B$5</f>
        <v>52.483466312050624</v>
      </c>
      <c r="P39" s="10">
        <f>O39*'Cost Assumptions'!$B$5</f>
        <v>53.795552969851883</v>
      </c>
      <c r="Q39" s="10">
        <f>P39*'Cost Assumptions'!$B$5</f>
        <v>55.140441794098173</v>
      </c>
      <c r="R39" s="10">
        <f>Q39*'Cost Assumptions'!$B$5</f>
        <v>56.518952838950625</v>
      </c>
      <c r="S39" s="10">
        <f>R39*'Cost Assumptions'!$B$5</f>
        <v>57.931926659924386</v>
      </c>
      <c r="T39" s="10">
        <f>S39*'Cost Assumptions'!$B$5</f>
        <v>59.380224826422491</v>
      </c>
      <c r="U39" s="10">
        <f>T39*'Cost Assumptions'!$B$5</f>
        <v>60.864730447083048</v>
      </c>
      <c r="V39" s="10">
        <f>U39*'Cost Assumptions'!$B$5</f>
        <v>62.386348708260115</v>
      </c>
      <c r="W39" s="10">
        <f>V39*'Cost Assumptions'!$B$5</f>
        <v>63.946007425966613</v>
      </c>
      <c r="X39" s="10">
        <f>W39*'Cost Assumptions'!$B$5</f>
        <v>65.544657611615776</v>
      </c>
      <c r="Y39" s="10">
        <f>X39*'Cost Assumptions'!$B$5</f>
        <v>67.183274051906167</v>
      </c>
      <c r="Z39" s="10">
        <f>Y39*'Cost Assumptions'!$B$5</f>
        <v>68.862855903203823</v>
      </c>
      <c r="AA39" s="10">
        <f>Z39*'Cost Assumptions'!$B$5</f>
        <v>70.584427300783915</v>
      </c>
      <c r="AB39" s="10">
        <f>AA39*'Cost Assumptions'!$B$5</f>
        <v>72.349037983303504</v>
      </c>
      <c r="AC39" s="10">
        <f>AB39*'Cost Assumptions'!$B$5</f>
        <v>74.157763932886084</v>
      </c>
      <c r="AD39" s="10">
        <f>AC39*'Cost Assumptions'!$B$5</f>
        <v>76.011708031208229</v>
      </c>
    </row>
    <row r="40" spans="1:30" x14ac:dyDescent="0.35">
      <c r="A40" s="88"/>
      <c r="B40" s="88"/>
      <c r="C40" s="23">
        <f>NPV('Cost Assumptions'!$B$3,'VS to VN &amp; Distributed BESS VS'!D19:'VS to VN &amp; Distributed BESS VS'!AD19)</f>
        <v>2451.6983717202525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23.5" x14ac:dyDescent="0.55000000000000004">
      <c r="A41" s="88"/>
      <c r="B41" s="167" t="s">
        <v>150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</row>
    <row r="42" spans="1:30" ht="20" thickBot="1" x14ac:dyDescent="0.5">
      <c r="A42" s="117"/>
      <c r="B42" s="128" t="s">
        <v>151</v>
      </c>
      <c r="C42" s="117" t="s">
        <v>118</v>
      </c>
      <c r="D42" s="117">
        <v>2022</v>
      </c>
      <c r="E42" s="117">
        <v>2023</v>
      </c>
      <c r="F42" s="117">
        <v>2024</v>
      </c>
      <c r="G42" s="117">
        <v>2025</v>
      </c>
      <c r="H42" s="117">
        <v>2026</v>
      </c>
      <c r="I42" s="117">
        <v>2027</v>
      </c>
      <c r="J42" s="117">
        <v>2028</v>
      </c>
      <c r="K42" s="117">
        <v>2029</v>
      </c>
      <c r="L42" s="117">
        <v>2030</v>
      </c>
      <c r="M42" s="117">
        <v>2031</v>
      </c>
      <c r="N42" s="117">
        <v>2032</v>
      </c>
      <c r="O42" s="117">
        <v>2033</v>
      </c>
      <c r="P42" s="117">
        <v>2034</v>
      </c>
      <c r="Q42" s="117">
        <v>2035</v>
      </c>
      <c r="R42" s="117">
        <v>2036</v>
      </c>
      <c r="S42" s="117">
        <v>2037</v>
      </c>
      <c r="T42" s="117">
        <v>2038</v>
      </c>
      <c r="U42" s="117">
        <v>2039</v>
      </c>
      <c r="V42" s="117">
        <v>2040</v>
      </c>
      <c r="W42" s="117">
        <v>2041</v>
      </c>
      <c r="X42" s="117">
        <v>2042</v>
      </c>
      <c r="Y42" s="117">
        <v>2043</v>
      </c>
      <c r="Z42" s="117">
        <v>2044</v>
      </c>
      <c r="AA42" s="117">
        <v>2045</v>
      </c>
      <c r="AB42" s="117">
        <v>2046</v>
      </c>
      <c r="AC42" s="117">
        <v>2047</v>
      </c>
      <c r="AD42" s="117">
        <v>2048</v>
      </c>
    </row>
    <row r="43" spans="1:30" ht="15" thickTop="1" x14ac:dyDescent="0.35">
      <c r="A43" s="5">
        <f t="shared" ref="A43:A57" si="68">SUM(D43:AD43)/1000</f>
        <v>19.245601923070041</v>
      </c>
      <c r="B43" s="11">
        <f>NPV('Cost Assumptions'!$B$3,'VS to VN &amp; Distributed BESS VS'!D43:'VS to VN &amp; Distributed BESS VS'!AD43)</f>
        <v>5191.5663745461761</v>
      </c>
      <c r="C43" s="88" t="s">
        <v>120</v>
      </c>
      <c r="D43" s="63">
        <f t="shared" ref="D43:AD43" si="69">D2-D18</f>
        <v>338.7999999991298</v>
      </c>
      <c r="E43" s="63">
        <f t="shared" si="69"/>
        <v>367.49903846071538</v>
      </c>
      <c r="F43" s="63">
        <f t="shared" si="69"/>
        <v>396.19807692230097</v>
      </c>
      <c r="G43" s="63">
        <f t="shared" si="69"/>
        <v>424.89711538388656</v>
      </c>
      <c r="H43" s="63">
        <f t="shared" si="69"/>
        <v>453.59615384547214</v>
      </c>
      <c r="I43" s="63">
        <f t="shared" si="69"/>
        <v>482.29519230705773</v>
      </c>
      <c r="J43" s="63">
        <f t="shared" si="69"/>
        <v>510.99423076864332</v>
      </c>
      <c r="K43" s="63">
        <f t="shared" si="69"/>
        <v>539.69326923022891</v>
      </c>
      <c r="L43" s="63">
        <f t="shared" si="69"/>
        <v>568.39230769181449</v>
      </c>
      <c r="M43" s="63">
        <f t="shared" si="69"/>
        <v>597.09134615340008</v>
      </c>
      <c r="N43" s="63">
        <f t="shared" si="69"/>
        <v>625.79038461498567</v>
      </c>
      <c r="O43" s="63">
        <f t="shared" si="69"/>
        <v>654.48942307657126</v>
      </c>
      <c r="P43" s="63">
        <f t="shared" si="69"/>
        <v>683.18846153815684</v>
      </c>
      <c r="Q43" s="63">
        <f t="shared" si="69"/>
        <v>711.88749999974243</v>
      </c>
      <c r="R43" s="63">
        <f t="shared" si="69"/>
        <v>740.58653846132802</v>
      </c>
      <c r="S43" s="63">
        <f t="shared" si="69"/>
        <v>769.28557692291361</v>
      </c>
      <c r="T43" s="63">
        <f t="shared" si="69"/>
        <v>797.98461538449919</v>
      </c>
      <c r="U43" s="63">
        <f t="shared" si="69"/>
        <v>826.68365384608478</v>
      </c>
      <c r="V43" s="63">
        <f t="shared" si="69"/>
        <v>855.38269230767037</v>
      </c>
      <c r="W43" s="63">
        <f t="shared" si="69"/>
        <v>884.08173076925596</v>
      </c>
      <c r="X43" s="63">
        <f t="shared" si="69"/>
        <v>912.78076923084154</v>
      </c>
      <c r="Y43" s="63">
        <f t="shared" si="69"/>
        <v>942.08076923088811</v>
      </c>
      <c r="Z43" s="63">
        <f t="shared" si="69"/>
        <v>971.38076923093467</v>
      </c>
      <c r="AA43" s="63">
        <f t="shared" si="69"/>
        <v>1000.6807692309812</v>
      </c>
      <c r="AB43" s="63">
        <f t="shared" si="69"/>
        <v>1029.9807692310278</v>
      </c>
      <c r="AC43" s="63">
        <f t="shared" si="69"/>
        <v>1059.2807692310744</v>
      </c>
      <c r="AD43" s="63">
        <f t="shared" si="69"/>
        <v>1100.6000000004351</v>
      </c>
    </row>
    <row r="44" spans="1:30" x14ac:dyDescent="0.35">
      <c r="A44" s="5">
        <f t="shared" si="68"/>
        <v>1146.1154605594506</v>
      </c>
      <c r="B44" s="11">
        <f>NPV('Cost Assumptions'!$B$3,'VS to VN &amp; Distributed BESS VS'!D44:'VS to VN &amp; Distributed BESS VS'!AD44)</f>
        <v>270703.90609236801</v>
      </c>
      <c r="C44" s="88" t="s">
        <v>152</v>
      </c>
      <c r="D44" s="63">
        <f t="shared" ref="D44:AD44" si="70">D43*D39</f>
        <v>13551.999999965192</v>
      </c>
      <c r="E44" s="63">
        <f t="shared" si="70"/>
        <v>15067.460576889331</v>
      </c>
      <c r="F44" s="63">
        <f t="shared" si="70"/>
        <v>16650.224182659698</v>
      </c>
      <c r="G44" s="63">
        <f t="shared" si="70"/>
        <v>18302.708805858027</v>
      </c>
      <c r="H44" s="63">
        <f t="shared" si="70"/>
        <v>20027.411270102108</v>
      </c>
      <c r="I44" s="63">
        <f t="shared" si="70"/>
        <v>21826.909664554732</v>
      </c>
      <c r="J44" s="63">
        <f t="shared" si="70"/>
        <v>23703.865846686174</v>
      </c>
      <c r="K44" s="63">
        <f t="shared" si="70"/>
        <v>25661.028019383844</v>
      </c>
      <c r="L44" s="63">
        <f t="shared" si="70"/>
        <v>27701.233384562216</v>
      </c>
      <c r="M44" s="63">
        <f t="shared" si="70"/>
        <v>29827.410875487389</v>
      </c>
      <c r="N44" s="63">
        <f t="shared" si="70"/>
        <v>32042.58397009347</v>
      </c>
      <c r="O44" s="63">
        <f t="shared" si="70"/>
        <v>34349.873587632675</v>
      </c>
      <c r="P44" s="63">
        <f t="shared" si="70"/>
        <v>36752.501071067534</v>
      </c>
      <c r="Q44" s="63">
        <f t="shared" si="70"/>
        <v>39253.791257681863</v>
      </c>
      <c r="R44" s="63">
        <f t="shared" si="70"/>
        <v>41857.175640457492</v>
      </c>
      <c r="S44" s="63">
        <f t="shared" si="70"/>
        <v>44566.195622835854</v>
      </c>
      <c r="T44" s="63">
        <f t="shared" si="70"/>
        <v>47384.505869557841</v>
      </c>
      <c r="U44" s="63">
        <f t="shared" si="70"/>
        <v>50315.877756351656</v>
      </c>
      <c r="V44" s="63">
        <f t="shared" si="70"/>
        <v>53364.20292131669</v>
      </c>
      <c r="W44" s="63">
        <f t="shared" si="70"/>
        <v>56533.496920932259</v>
      </c>
      <c r="X44" s="63">
        <f t="shared" si="70"/>
        <v>59827.902993702781</v>
      </c>
      <c r="Y44" s="63">
        <f t="shared" si="70"/>
        <v>63292.070498269328</v>
      </c>
      <c r="Z44" s="63">
        <f t="shared" si="70"/>
        <v>66892.053938693134</v>
      </c>
      <c r="AA44" s="63">
        <f t="shared" si="70"/>
        <v>70632.479007076719</v>
      </c>
      <c r="AB44" s="63">
        <f t="shared" si="70"/>
        <v>74518.117795167796</v>
      </c>
      <c r="AC44" s="63">
        <f t="shared" si="70"/>
        <v>78553.893223284002</v>
      </c>
      <c r="AD44" s="63">
        <f t="shared" si="70"/>
        <v>83658.485859180844</v>
      </c>
    </row>
    <row r="45" spans="1:30" x14ac:dyDescent="0.35">
      <c r="A45" s="5">
        <f t="shared" si="68"/>
        <v>4.7341499999999979</v>
      </c>
      <c r="B45" s="11">
        <f>NPV('Cost Assumptions'!$B$3,'VS to VN &amp; Distributed BESS VS'!D45:'VS to VN &amp; Distributed BESS VS'!AD45)</f>
        <v>602.38957360699965</v>
      </c>
      <c r="C45" s="88" t="s">
        <v>31</v>
      </c>
      <c r="D45" s="63">
        <f t="shared" ref="D45:AD45" si="71">D3-D19</f>
        <v>4.2000000000000171</v>
      </c>
      <c r="E45" s="63">
        <f t="shared" si="71"/>
        <v>6.0166666666666799</v>
      </c>
      <c r="F45" s="63">
        <f t="shared" si="71"/>
        <v>6.7133333333333383</v>
      </c>
      <c r="G45" s="63">
        <f t="shared" si="71"/>
        <v>7.4099999999999966</v>
      </c>
      <c r="H45" s="63">
        <f t="shared" si="71"/>
        <v>8.1066666666666549</v>
      </c>
      <c r="I45" s="63">
        <f t="shared" si="71"/>
        <v>8.8033333333333132</v>
      </c>
      <c r="J45" s="63">
        <f t="shared" si="71"/>
        <v>9.4999999999999716</v>
      </c>
      <c r="K45" s="63">
        <f t="shared" si="71"/>
        <v>6.75</v>
      </c>
      <c r="L45" s="63">
        <f t="shared" si="71"/>
        <v>4.0000000000000284</v>
      </c>
      <c r="M45" s="63">
        <f t="shared" si="71"/>
        <v>1.2500000000000568</v>
      </c>
      <c r="N45" s="63">
        <f t="shared" si="71"/>
        <v>-1.4999999999999432</v>
      </c>
      <c r="O45" s="63">
        <f t="shared" si="71"/>
        <v>57.566666666666748</v>
      </c>
      <c r="P45" s="63">
        <f t="shared" si="71"/>
        <v>60.793333333333408</v>
      </c>
      <c r="Q45" s="63">
        <f t="shared" si="71"/>
        <v>64.020000000000095</v>
      </c>
      <c r="R45" s="63">
        <f t="shared" si="71"/>
        <v>67.246666666666783</v>
      </c>
      <c r="S45" s="63">
        <f t="shared" si="71"/>
        <v>70.473333333333471</v>
      </c>
      <c r="T45" s="63">
        <f t="shared" si="71"/>
        <v>73.700000000000159</v>
      </c>
      <c r="U45" s="63">
        <f t="shared" si="71"/>
        <v>154.5200000000001</v>
      </c>
      <c r="V45" s="63">
        <f t="shared" si="71"/>
        <v>235.33999999999992</v>
      </c>
      <c r="W45" s="63">
        <f t="shared" si="71"/>
        <v>316.15999999999985</v>
      </c>
      <c r="X45" s="63">
        <f t="shared" si="71"/>
        <v>396.97999999999979</v>
      </c>
      <c r="Y45" s="63">
        <f t="shared" si="71"/>
        <v>322.49999999999955</v>
      </c>
      <c r="Z45" s="63">
        <f t="shared" si="71"/>
        <v>405.23999999999955</v>
      </c>
      <c r="AA45" s="63">
        <f t="shared" si="71"/>
        <v>487.97999999999956</v>
      </c>
      <c r="AB45" s="63">
        <f t="shared" si="71"/>
        <v>570.71999999999957</v>
      </c>
      <c r="AC45" s="63">
        <f t="shared" si="71"/>
        <v>653.45999999999958</v>
      </c>
      <c r="AD45" s="63">
        <f t="shared" si="71"/>
        <v>736.19999999999982</v>
      </c>
    </row>
    <row r="46" spans="1:30" x14ac:dyDescent="0.35">
      <c r="A46" s="5">
        <f t="shared" si="68"/>
        <v>-0.13549999999999973</v>
      </c>
      <c r="B46" s="11">
        <f>NPV('Cost Assumptions'!$B$3,'VS to VN &amp; Distributed BESS VS'!D46:'VS to VN &amp; Distributed BESS VS'!AD46)</f>
        <v>-33.745713437364884</v>
      </c>
      <c r="C46" s="88" t="s">
        <v>32</v>
      </c>
      <c r="D46" s="63">
        <f t="shared" ref="D46:AD46" si="72">D4-D20</f>
        <v>-1.1999999999999886</v>
      </c>
      <c r="E46" s="63">
        <f t="shared" si="72"/>
        <v>-2.0833333333333242</v>
      </c>
      <c r="F46" s="63">
        <f t="shared" si="72"/>
        <v>-2.2866666666666644</v>
      </c>
      <c r="G46" s="63">
        <f t="shared" si="72"/>
        <v>-2.4900000000000038</v>
      </c>
      <c r="H46" s="63">
        <f t="shared" si="72"/>
        <v>-2.6933333333333422</v>
      </c>
      <c r="I46" s="63">
        <f t="shared" si="72"/>
        <v>-2.8966666666666807</v>
      </c>
      <c r="J46" s="63">
        <f t="shared" si="72"/>
        <v>-3.1000000000000227</v>
      </c>
      <c r="K46" s="63">
        <f t="shared" si="72"/>
        <v>-3.9400000000000084</v>
      </c>
      <c r="L46" s="63">
        <f t="shared" si="72"/>
        <v>-4.779999999999994</v>
      </c>
      <c r="M46" s="63">
        <f t="shared" si="72"/>
        <v>-5.6199999999999797</v>
      </c>
      <c r="N46" s="63">
        <f t="shared" si="72"/>
        <v>-6.4599999999999653</v>
      </c>
      <c r="O46" s="63">
        <f t="shared" si="72"/>
        <v>-6.3499999999999659</v>
      </c>
      <c r="P46" s="63">
        <f t="shared" si="72"/>
        <v>-5.6799999999999713</v>
      </c>
      <c r="Q46" s="63">
        <f t="shared" si="72"/>
        <v>-5.0099999999999767</v>
      </c>
      <c r="R46" s="63">
        <f t="shared" si="72"/>
        <v>-4.3399999999999821</v>
      </c>
      <c r="S46" s="63">
        <f t="shared" si="72"/>
        <v>-3.6699999999999875</v>
      </c>
      <c r="T46" s="63">
        <f t="shared" si="72"/>
        <v>-3</v>
      </c>
      <c r="U46" s="63">
        <f t="shared" si="72"/>
        <v>-2.7600000000000051</v>
      </c>
      <c r="V46" s="63">
        <f t="shared" si="72"/>
        <v>-2.5200000000000102</v>
      </c>
      <c r="W46" s="63">
        <f t="shared" si="72"/>
        <v>-2.2800000000000153</v>
      </c>
      <c r="X46" s="63">
        <f t="shared" si="72"/>
        <v>-2.0400000000000205</v>
      </c>
      <c r="Y46" s="63">
        <f t="shared" si="72"/>
        <v>-1.8000000000000256</v>
      </c>
      <c r="Z46" s="63">
        <f t="shared" si="72"/>
        <v>-5.1000000000000014</v>
      </c>
      <c r="AA46" s="63">
        <f t="shared" si="72"/>
        <v>-8.3999999999999773</v>
      </c>
      <c r="AB46" s="63">
        <f t="shared" si="72"/>
        <v>-11.69999999999996</v>
      </c>
      <c r="AC46" s="63">
        <f t="shared" si="72"/>
        <v>-14.999999999999943</v>
      </c>
      <c r="AD46" s="63">
        <f t="shared" si="72"/>
        <v>-18.299999999999926</v>
      </c>
    </row>
    <row r="47" spans="1:30" x14ac:dyDescent="0.35">
      <c r="A47" s="5">
        <f t="shared" si="68"/>
        <v>0.39927686182867822</v>
      </c>
      <c r="B47" s="11">
        <f>NPV('Cost Assumptions'!$B$3,'VS to VN &amp; Distributed BESS VS'!D47:'VS to VN &amp; Distributed BESS VS'!AD47)</f>
        <v>43.466217741803085</v>
      </c>
      <c r="C47" s="88" t="s">
        <v>33</v>
      </c>
      <c r="D47" s="63">
        <f t="shared" ref="D47:AD47" si="73">D5-D21</f>
        <v>6.8917982049977566E-2</v>
      </c>
      <c r="E47" s="63">
        <f t="shared" si="73"/>
        <v>0.15906981935651673</v>
      </c>
      <c r="F47" s="63">
        <f t="shared" si="73"/>
        <v>0.18882910507601286</v>
      </c>
      <c r="G47" s="63">
        <f t="shared" si="73"/>
        <v>0.21858839079550896</v>
      </c>
      <c r="H47" s="63">
        <f t="shared" si="73"/>
        <v>0.24834767651500511</v>
      </c>
      <c r="I47" s="63">
        <f t="shared" si="73"/>
        <v>0.27810696223450126</v>
      </c>
      <c r="J47" s="63">
        <f t="shared" si="73"/>
        <v>0.30786624795399731</v>
      </c>
      <c r="K47" s="63">
        <f t="shared" si="73"/>
        <v>0.17167542384398793</v>
      </c>
      <c r="L47" s="63">
        <f t="shared" si="73"/>
        <v>3.548459973397855E-2</v>
      </c>
      <c r="M47" s="63">
        <f t="shared" si="73"/>
        <v>-0.10070622437603127</v>
      </c>
      <c r="N47" s="63">
        <f t="shared" si="73"/>
        <v>-0.23689704848604087</v>
      </c>
      <c r="O47" s="63">
        <f t="shared" si="73"/>
        <v>2.8423872666369352</v>
      </c>
      <c r="P47" s="63">
        <f t="shared" si="73"/>
        <v>2.9238852942810514</v>
      </c>
      <c r="Q47" s="63">
        <f t="shared" si="73"/>
        <v>3.0053833219251676</v>
      </c>
      <c r="R47" s="63">
        <f t="shared" si="73"/>
        <v>3.0868813495692837</v>
      </c>
      <c r="S47" s="63">
        <f t="shared" si="73"/>
        <v>3.1683793772134017</v>
      </c>
      <c r="T47" s="63">
        <f t="shared" si="73"/>
        <v>3.2498774048575179</v>
      </c>
      <c r="U47" s="63">
        <f t="shared" si="73"/>
        <v>7.1441500041127455</v>
      </c>
      <c r="V47" s="63">
        <f t="shared" si="73"/>
        <v>11.038422603367977</v>
      </c>
      <c r="W47" s="63">
        <f t="shared" si="73"/>
        <v>14.932695202623208</v>
      </c>
      <c r="X47" s="63">
        <f t="shared" si="73"/>
        <v>18.826967801878439</v>
      </c>
      <c r="Y47" s="63">
        <f t="shared" si="73"/>
        <v>22.721240401133656</v>
      </c>
      <c r="Z47" s="63">
        <f t="shared" si="73"/>
        <v>35.480647525181197</v>
      </c>
      <c r="AA47" s="63">
        <f t="shared" si="73"/>
        <v>48.240054649228739</v>
      </c>
      <c r="AB47" s="63">
        <f t="shared" si="73"/>
        <v>60.999461773276266</v>
      </c>
      <c r="AC47" s="63">
        <f t="shared" si="73"/>
        <v>73.758868897323822</v>
      </c>
      <c r="AD47" s="63">
        <f t="shared" si="73"/>
        <v>86.518276021371378</v>
      </c>
    </row>
    <row r="48" spans="1:30" x14ac:dyDescent="0.35">
      <c r="A48" s="5">
        <f t="shared" si="68"/>
        <v>3.1728785107415199E-3</v>
      </c>
      <c r="B48" s="11">
        <f>NPV('Cost Assumptions'!$B$3,'VS to VN &amp; Distributed BESS VS'!D48:'VS to VN &amp; Distributed BESS VS'!AD48)</f>
        <v>0.3554265943211094</v>
      </c>
      <c r="C48" s="88" t="s">
        <v>34</v>
      </c>
      <c r="D48" s="63">
        <f t="shared" ref="D48:AD48" si="74">D6-D22</f>
        <v>7.5996463269141067E-4</v>
      </c>
      <c r="E48" s="63">
        <f t="shared" si="74"/>
        <v>4.541872046191173E-3</v>
      </c>
      <c r="F48" s="63">
        <f t="shared" si="74"/>
        <v>3.8850528478319817E-3</v>
      </c>
      <c r="G48" s="63">
        <f t="shared" si="74"/>
        <v>3.2282336494727851E-3</v>
      </c>
      <c r="H48" s="63">
        <f t="shared" si="74"/>
        <v>2.571414451113592E-3</v>
      </c>
      <c r="I48" s="63">
        <f t="shared" si="74"/>
        <v>1.9145952527543988E-3</v>
      </c>
      <c r="J48" s="63">
        <f t="shared" si="74"/>
        <v>1.2577760543952127E-3</v>
      </c>
      <c r="K48" s="63">
        <f t="shared" si="74"/>
        <v>-3.5945948340189993E-3</v>
      </c>
      <c r="L48" s="63">
        <f t="shared" si="74"/>
        <v>-8.4469657224332112E-3</v>
      </c>
      <c r="M48" s="63">
        <f t="shared" si="74"/>
        <v>-1.3299336610847423E-2</v>
      </c>
      <c r="N48" s="63">
        <f t="shared" si="74"/>
        <v>-1.8151707499261621E-2</v>
      </c>
      <c r="O48" s="63">
        <f t="shared" si="74"/>
        <v>3.3966432972864169E-2</v>
      </c>
      <c r="P48" s="63">
        <f t="shared" si="74"/>
        <v>3.2892044053172698E-2</v>
      </c>
      <c r="Q48" s="63">
        <f t="shared" si="74"/>
        <v>3.1817655133481226E-2</v>
      </c>
      <c r="R48" s="63">
        <f t="shared" si="74"/>
        <v>3.0743266213789755E-2</v>
      </c>
      <c r="S48" s="63">
        <f t="shared" si="74"/>
        <v>2.9668877294098228E-2</v>
      </c>
      <c r="T48" s="63">
        <f t="shared" si="74"/>
        <v>2.8594488374406812E-2</v>
      </c>
      <c r="U48" s="63">
        <f t="shared" si="74"/>
        <v>6.9408499674240343E-2</v>
      </c>
      <c r="V48" s="63">
        <f t="shared" si="74"/>
        <v>0.11022251097407387</v>
      </c>
      <c r="W48" s="63">
        <f t="shared" si="74"/>
        <v>0.1510365222739074</v>
      </c>
      <c r="X48" s="63">
        <f t="shared" si="74"/>
        <v>0.19185053357374104</v>
      </c>
      <c r="Y48" s="63">
        <f t="shared" si="74"/>
        <v>0.23266454487357469</v>
      </c>
      <c r="Z48" s="63">
        <f t="shared" si="74"/>
        <v>0.30546615198653515</v>
      </c>
      <c r="AA48" s="63">
        <f t="shared" si="74"/>
        <v>0.37826775909949562</v>
      </c>
      <c r="AB48" s="63">
        <f t="shared" si="74"/>
        <v>0.45106936621245586</v>
      </c>
      <c r="AC48" s="63">
        <f t="shared" si="74"/>
        <v>0.52387097332541632</v>
      </c>
      <c r="AD48" s="63">
        <f t="shared" si="74"/>
        <v>0.59667258043837701</v>
      </c>
    </row>
    <row r="49" spans="1:30" x14ac:dyDescent="0.35">
      <c r="A49" s="5">
        <f t="shared" si="68"/>
        <v>1.0585</v>
      </c>
      <c r="B49" s="11">
        <f>NPV('Cost Assumptions'!$B$3,'VS to VN &amp; Distributed BESS VS'!D49:'VS to VN &amp; Distributed BESS VS'!AD49)</f>
        <v>264.91999958806599</v>
      </c>
      <c r="C49" s="88" t="s">
        <v>35</v>
      </c>
      <c r="D49" s="63">
        <f t="shared" ref="D49:AD49" si="75">D7-D23</f>
        <v>11</v>
      </c>
      <c r="E49" s="63">
        <f t="shared" si="75"/>
        <v>17.166666666666668</v>
      </c>
      <c r="F49" s="63">
        <f t="shared" si="75"/>
        <v>18.533333333333331</v>
      </c>
      <c r="G49" s="63">
        <f t="shared" si="75"/>
        <v>19.899999999999999</v>
      </c>
      <c r="H49" s="63">
        <f t="shared" si="75"/>
        <v>21.266666666666666</v>
      </c>
      <c r="I49" s="63">
        <f t="shared" si="75"/>
        <v>22.633333333333333</v>
      </c>
      <c r="J49" s="63">
        <f t="shared" si="75"/>
        <v>24</v>
      </c>
      <c r="K49" s="63">
        <f t="shared" si="75"/>
        <v>25.55</v>
      </c>
      <c r="L49" s="63">
        <f t="shared" si="75"/>
        <v>27.1</v>
      </c>
      <c r="M49" s="63">
        <f t="shared" si="75"/>
        <v>28.650000000000002</v>
      </c>
      <c r="N49" s="63">
        <f t="shared" si="75"/>
        <v>30.200000000000003</v>
      </c>
      <c r="O49" s="63">
        <f t="shared" si="75"/>
        <v>34.833333333333336</v>
      </c>
      <c r="P49" s="63">
        <f t="shared" si="75"/>
        <v>37.666666666666671</v>
      </c>
      <c r="Q49" s="63">
        <f t="shared" si="75"/>
        <v>40.5</v>
      </c>
      <c r="R49" s="63">
        <f t="shared" si="75"/>
        <v>43.333333333333329</v>
      </c>
      <c r="S49" s="63">
        <f t="shared" si="75"/>
        <v>46.166666666666657</v>
      </c>
      <c r="T49" s="63">
        <f t="shared" si="75"/>
        <v>49</v>
      </c>
      <c r="U49" s="63">
        <f t="shared" si="75"/>
        <v>50.400000000000006</v>
      </c>
      <c r="V49" s="63">
        <f t="shared" si="75"/>
        <v>51.800000000000011</v>
      </c>
      <c r="W49" s="63">
        <f t="shared" si="75"/>
        <v>53.200000000000017</v>
      </c>
      <c r="X49" s="63">
        <f t="shared" si="75"/>
        <v>54.600000000000023</v>
      </c>
      <c r="Y49" s="63">
        <f t="shared" si="75"/>
        <v>56</v>
      </c>
      <c r="Z49" s="63">
        <f t="shared" si="75"/>
        <v>57</v>
      </c>
      <c r="AA49" s="63">
        <f t="shared" si="75"/>
        <v>58</v>
      </c>
      <c r="AB49" s="63">
        <f t="shared" si="75"/>
        <v>59</v>
      </c>
      <c r="AC49" s="63">
        <f t="shared" si="75"/>
        <v>60</v>
      </c>
      <c r="AD49" s="63">
        <f t="shared" si="75"/>
        <v>61</v>
      </c>
    </row>
    <row r="50" spans="1:30" s="62" customFormat="1" x14ac:dyDescent="0.35">
      <c r="A50" s="5">
        <f t="shared" si="68"/>
        <v>251.55361270764803</v>
      </c>
      <c r="B50" s="11">
        <f>NPV('Cost Assumptions'!$B$3,'VS to VN &amp; Distributed BESS VS'!D50:'VS to VN &amp; Distributed BESS VS'!AD50)</f>
        <v>55521.604625716871</v>
      </c>
      <c r="C50" s="86" t="s">
        <v>153</v>
      </c>
      <c r="D50" s="63">
        <f>D13-D24</f>
        <v>1637.4650100268436</v>
      </c>
      <c r="E50" s="63">
        <f t="shared" ref="E50:AD50" si="76">E13-E24</f>
        <v>2177.3309561137412</v>
      </c>
      <c r="F50" s="63">
        <f t="shared" si="76"/>
        <v>2717.1969022006379</v>
      </c>
      <c r="G50" s="63">
        <f t="shared" si="76"/>
        <v>3257.0628482875345</v>
      </c>
      <c r="H50" s="63">
        <f t="shared" si="76"/>
        <v>3796.928794374433</v>
      </c>
      <c r="I50" s="63">
        <f t="shared" si="76"/>
        <v>4336.7947404613296</v>
      </c>
      <c r="J50" s="63">
        <f t="shared" si="76"/>
        <v>4876.6606865482263</v>
      </c>
      <c r="K50" s="63">
        <f t="shared" si="76"/>
        <v>5416.526632635123</v>
      </c>
      <c r="L50" s="63">
        <f t="shared" si="76"/>
        <v>6056.3925787219796</v>
      </c>
      <c r="M50" s="63">
        <f t="shared" si="76"/>
        <v>6496.2585248089163</v>
      </c>
      <c r="N50" s="63">
        <f t="shared" si="76"/>
        <v>7036.1244708958129</v>
      </c>
      <c r="O50" s="63">
        <f t="shared" si="76"/>
        <v>7575.9904169827096</v>
      </c>
      <c r="P50" s="63">
        <f t="shared" si="76"/>
        <v>8115.8563630696081</v>
      </c>
      <c r="Q50" s="63">
        <f t="shared" si="76"/>
        <v>8655.7223091565029</v>
      </c>
      <c r="R50" s="63">
        <f t="shared" si="76"/>
        <v>9195.5882552433977</v>
      </c>
      <c r="S50" s="63">
        <f t="shared" si="76"/>
        <v>9735.4542013302962</v>
      </c>
      <c r="T50" s="63">
        <f t="shared" si="76"/>
        <v>10275.320147417195</v>
      </c>
      <c r="U50" s="63">
        <f t="shared" si="76"/>
        <v>10815.18609350409</v>
      </c>
      <c r="V50" s="63">
        <f t="shared" si="76"/>
        <v>11355.052039590984</v>
      </c>
      <c r="W50" s="63">
        <f t="shared" si="76"/>
        <v>11894.917985677883</v>
      </c>
      <c r="X50" s="63">
        <f t="shared" si="76"/>
        <v>12434.783931764781</v>
      </c>
      <c r="Y50" s="63">
        <f t="shared" si="76"/>
        <v>13819.84560930037</v>
      </c>
      <c r="Z50" s="63">
        <f t="shared" si="76"/>
        <v>15204.907286835958</v>
      </c>
      <c r="AA50" s="63">
        <f t="shared" si="76"/>
        <v>16589.968964371543</v>
      </c>
      <c r="AB50" s="63">
        <f t="shared" si="76"/>
        <v>17975.030641907131</v>
      </c>
      <c r="AC50" s="63">
        <f t="shared" si="76"/>
        <v>19360.09231944272</v>
      </c>
      <c r="AD50" s="63">
        <f t="shared" si="76"/>
        <v>20745.153996978308</v>
      </c>
    </row>
    <row r="51" spans="1:30" s="62" customFormat="1" x14ac:dyDescent="0.35">
      <c r="A51" s="5">
        <f t="shared" si="68"/>
        <v>0</v>
      </c>
      <c r="B51" s="11">
        <f>NPV('Cost Assumptions'!$B$3,'VS to VN &amp; Distributed BESS VS'!D51:'VS to VN &amp; Distributed BESS VS'!AD51)</f>
        <v>0</v>
      </c>
      <c r="C51" s="86" t="s">
        <v>154</v>
      </c>
      <c r="D51" s="63">
        <f>D14-D25</f>
        <v>0</v>
      </c>
      <c r="E51" s="63">
        <f t="shared" ref="E51:AD51" si="77">E14-E25</f>
        <v>0</v>
      </c>
      <c r="F51" s="63">
        <f t="shared" si="77"/>
        <v>0</v>
      </c>
      <c r="G51" s="63">
        <f t="shared" si="77"/>
        <v>0</v>
      </c>
      <c r="H51" s="63">
        <f t="shared" si="77"/>
        <v>0</v>
      </c>
      <c r="I51" s="63">
        <f t="shared" si="77"/>
        <v>0</v>
      </c>
      <c r="J51" s="63">
        <f t="shared" si="77"/>
        <v>0</v>
      </c>
      <c r="K51" s="63">
        <f t="shared" si="77"/>
        <v>0</v>
      </c>
      <c r="L51" s="63">
        <f t="shared" si="77"/>
        <v>0</v>
      </c>
      <c r="M51" s="63">
        <f t="shared" si="77"/>
        <v>0</v>
      </c>
      <c r="N51" s="63">
        <f t="shared" si="77"/>
        <v>0</v>
      </c>
      <c r="O51" s="63">
        <f t="shared" si="77"/>
        <v>0</v>
      </c>
      <c r="P51" s="63">
        <f t="shared" si="77"/>
        <v>0</v>
      </c>
      <c r="Q51" s="63">
        <f t="shared" si="77"/>
        <v>0</v>
      </c>
      <c r="R51" s="63">
        <f t="shared" si="77"/>
        <v>0</v>
      </c>
      <c r="S51" s="63">
        <f t="shared" si="77"/>
        <v>0</v>
      </c>
      <c r="T51" s="63">
        <f t="shared" si="77"/>
        <v>0</v>
      </c>
      <c r="U51" s="63">
        <f t="shared" si="77"/>
        <v>0</v>
      </c>
      <c r="V51" s="63">
        <f t="shared" si="77"/>
        <v>0</v>
      </c>
      <c r="W51" s="63">
        <f t="shared" si="77"/>
        <v>0</v>
      </c>
      <c r="X51" s="63">
        <f t="shared" si="77"/>
        <v>0</v>
      </c>
      <c r="Y51" s="63">
        <f t="shared" si="77"/>
        <v>0</v>
      </c>
      <c r="Z51" s="63">
        <f t="shared" si="77"/>
        <v>0</v>
      </c>
      <c r="AA51" s="63">
        <f t="shared" si="77"/>
        <v>0</v>
      </c>
      <c r="AB51" s="63">
        <f t="shared" si="77"/>
        <v>0</v>
      </c>
      <c r="AC51" s="63">
        <f t="shared" si="77"/>
        <v>0</v>
      </c>
      <c r="AD51" s="63">
        <f t="shared" si="77"/>
        <v>0</v>
      </c>
    </row>
    <row r="52" spans="1:30" s="82" customFormat="1" x14ac:dyDescent="0.35">
      <c r="A52" s="5">
        <f t="shared" si="68"/>
        <v>1848.4207520057885</v>
      </c>
      <c r="B52" s="11">
        <f>NPV('Cost Assumptions'!$B$3,'VS to VN &amp; Distributed BESS VS'!D52:'VS to VN &amp; Distributed BESS VS'!AD52)</f>
        <v>528219.78220107977</v>
      </c>
      <c r="C52" s="86" t="s">
        <v>155</v>
      </c>
      <c r="D52" s="63">
        <f>D15-D26</f>
        <v>41950.270664950898</v>
      </c>
      <c r="E52" s="63">
        <f t="shared" ref="E52:AD52" si="78">E15-E26</f>
        <v>44543.511863020707</v>
      </c>
      <c r="F52" s="63">
        <f t="shared" si="78"/>
        <v>45828.868549568069</v>
      </c>
      <c r="G52" s="63">
        <f t="shared" si="78"/>
        <v>47153.388319177473</v>
      </c>
      <c r="H52" s="63">
        <f t="shared" si="78"/>
        <v>48574.508171559806</v>
      </c>
      <c r="I52" s="63">
        <f t="shared" si="78"/>
        <v>50215.756740615325</v>
      </c>
      <c r="J52" s="63">
        <f t="shared" si="78"/>
        <v>51874.628505256784</v>
      </c>
      <c r="K52" s="63">
        <f t="shared" si="78"/>
        <v>53948.57443924679</v>
      </c>
      <c r="L52" s="63">
        <f t="shared" si="78"/>
        <v>56088.226650565055</v>
      </c>
      <c r="M52" s="63">
        <f t="shared" si="78"/>
        <v>58289.349617770917</v>
      </c>
      <c r="N52" s="63">
        <f t="shared" si="78"/>
        <v>60550.041456789753</v>
      </c>
      <c r="O52" s="63">
        <f t="shared" si="78"/>
        <v>62901.781122832261</v>
      </c>
      <c r="P52" s="63">
        <f t="shared" si="78"/>
        <v>65336.06110877014</v>
      </c>
      <c r="Q52" s="63">
        <f t="shared" si="78"/>
        <v>67785.831116802379</v>
      </c>
      <c r="R52" s="63">
        <f t="shared" si="78"/>
        <v>70278.290238368936</v>
      </c>
      <c r="S52" s="63">
        <f t="shared" si="78"/>
        <v>72822.215885590063</v>
      </c>
      <c r="T52" s="63">
        <f t="shared" si="78"/>
        <v>75385.324227160687</v>
      </c>
      <c r="U52" s="63">
        <f t="shared" si="78"/>
        <v>77761.621420701849</v>
      </c>
      <c r="V52" s="63">
        <f t="shared" si="78"/>
        <v>80141.816348201392</v>
      </c>
      <c r="W52" s="63">
        <f t="shared" si="78"/>
        <v>82517.070702119643</v>
      </c>
      <c r="X52" s="63">
        <f t="shared" si="78"/>
        <v>84916.872847499122</v>
      </c>
      <c r="Y52" s="63">
        <f t="shared" si="78"/>
        <v>86969.427205090877</v>
      </c>
      <c r="Z52" s="63">
        <f t="shared" si="78"/>
        <v>88983.439541289321</v>
      </c>
      <c r="AA52" s="63">
        <f t="shared" si="78"/>
        <v>90925.104045702174</v>
      </c>
      <c r="AB52" s="63">
        <f t="shared" si="78"/>
        <v>92815.793002230304</v>
      </c>
      <c r="AC52" s="63">
        <f t="shared" si="78"/>
        <v>94275.031559094467</v>
      </c>
      <c r="AD52" s="63">
        <f t="shared" si="78"/>
        <v>95587.946655813459</v>
      </c>
    </row>
    <row r="53" spans="1:30" x14ac:dyDescent="0.35">
      <c r="A53" s="5">
        <f t="shared" si="68"/>
        <v>45.850483181818184</v>
      </c>
      <c r="B53" s="11">
        <f>NPV('Cost Assumptions'!$B$3,'VS to VN &amp; Distributed BESS VS'!D53:'VS to VN &amp; Distributed BESS VS'!AD53)</f>
        <v>7544.6532650230147</v>
      </c>
      <c r="C53" s="88" t="s">
        <v>31</v>
      </c>
      <c r="D53" s="63">
        <f>D8-SUM(D28,D27)</f>
        <v>22.2</v>
      </c>
      <c r="E53" s="63">
        <f t="shared" ref="E53:AD53" si="79">E8-SUM(E28,E27)</f>
        <v>65.8</v>
      </c>
      <c r="F53" s="63">
        <f t="shared" si="79"/>
        <v>102.72</v>
      </c>
      <c r="G53" s="63">
        <f t="shared" si="79"/>
        <v>139.63999999999999</v>
      </c>
      <c r="H53" s="63">
        <f t="shared" si="79"/>
        <v>176.56</v>
      </c>
      <c r="I53" s="63">
        <f t="shared" si="79"/>
        <v>213.48000000000002</v>
      </c>
      <c r="J53" s="63">
        <f t="shared" si="79"/>
        <v>250.4</v>
      </c>
      <c r="K53" s="63">
        <f t="shared" si="79"/>
        <v>348.67500000000001</v>
      </c>
      <c r="L53" s="63">
        <f t="shared" si="79"/>
        <v>446.95000000000005</v>
      </c>
      <c r="M53" s="63">
        <f t="shared" si="79"/>
        <v>545.22500000000002</v>
      </c>
      <c r="N53" s="63">
        <f t="shared" si="79"/>
        <v>643.5</v>
      </c>
      <c r="O53" s="63">
        <f t="shared" si="79"/>
        <v>904.91666666666674</v>
      </c>
      <c r="P53" s="63">
        <f t="shared" si="79"/>
        <v>1166.3333333333335</v>
      </c>
      <c r="Q53" s="63">
        <f t="shared" si="79"/>
        <v>1427.7500000000002</v>
      </c>
      <c r="R53" s="63">
        <f t="shared" si="79"/>
        <v>1689.166666666667</v>
      </c>
      <c r="S53" s="63">
        <f t="shared" si="79"/>
        <v>1942.3733333333337</v>
      </c>
      <c r="T53" s="63">
        <f t="shared" si="79"/>
        <v>2076.0250000000001</v>
      </c>
      <c r="U53" s="63">
        <f t="shared" si="79"/>
        <v>2342.7399999999998</v>
      </c>
      <c r="V53" s="63">
        <f t="shared" si="79"/>
        <v>2609.4549999999999</v>
      </c>
      <c r="W53" s="63">
        <f t="shared" si="79"/>
        <v>2876.17</v>
      </c>
      <c r="X53" s="63">
        <f t="shared" si="79"/>
        <v>3142.8850000000002</v>
      </c>
      <c r="Y53" s="63">
        <f t="shared" si="79"/>
        <v>3409.6000000000004</v>
      </c>
      <c r="Z53" s="63">
        <f t="shared" si="79"/>
        <v>3602.3318181818186</v>
      </c>
      <c r="AA53" s="63">
        <f t="shared" si="79"/>
        <v>3795.0636363636368</v>
      </c>
      <c r="AB53" s="63">
        <f t="shared" si="79"/>
        <v>3987.795454545455</v>
      </c>
      <c r="AC53" s="63">
        <f t="shared" si="79"/>
        <v>4180.5272727272732</v>
      </c>
      <c r="AD53" s="63">
        <f t="shared" si="79"/>
        <v>3742.1999999999985</v>
      </c>
    </row>
    <row r="54" spans="1:30" x14ac:dyDescent="0.35">
      <c r="A54" s="5">
        <f t="shared" si="68"/>
        <v>3.4157399090909091</v>
      </c>
      <c r="B54" s="11">
        <f>NPV('Cost Assumptions'!$B$3,'VS to VN &amp; Distributed BESS VS'!D54:'VS to VN &amp; Distributed BESS VS'!AD54)</f>
        <v>784.77131950234025</v>
      </c>
      <c r="C54" s="88" t="s">
        <v>32</v>
      </c>
      <c r="D54" s="63">
        <f t="shared" ref="D54:AD54" si="80">D9-D29</f>
        <v>13</v>
      </c>
      <c r="E54" s="63">
        <f t="shared" si="80"/>
        <v>27</v>
      </c>
      <c r="F54" s="63">
        <f t="shared" si="80"/>
        <v>34.519999999999982</v>
      </c>
      <c r="G54" s="63">
        <f t="shared" si="80"/>
        <v>42.039999999999964</v>
      </c>
      <c r="H54" s="63">
        <f t="shared" si="80"/>
        <v>49.559999999999945</v>
      </c>
      <c r="I54" s="63">
        <f t="shared" si="80"/>
        <v>57.079999999999927</v>
      </c>
      <c r="J54" s="63">
        <f t="shared" si="80"/>
        <v>64.599999999999909</v>
      </c>
      <c r="K54" s="63">
        <f t="shared" si="80"/>
        <v>75.024999999999935</v>
      </c>
      <c r="L54" s="63">
        <f t="shared" si="80"/>
        <v>85.44999999999996</v>
      </c>
      <c r="M54" s="63">
        <f t="shared" si="80"/>
        <v>95.874999999999986</v>
      </c>
      <c r="N54" s="63">
        <f t="shared" si="80"/>
        <v>106.3</v>
      </c>
      <c r="O54" s="63">
        <f t="shared" si="80"/>
        <v>120.25</v>
      </c>
      <c r="P54" s="63">
        <f t="shared" si="80"/>
        <v>134.19999999999999</v>
      </c>
      <c r="Q54" s="63">
        <f t="shared" si="80"/>
        <v>148.14999999999998</v>
      </c>
      <c r="R54" s="63">
        <f t="shared" si="80"/>
        <v>162.09999999999997</v>
      </c>
      <c r="S54" s="63">
        <f t="shared" si="80"/>
        <v>167.83999999999995</v>
      </c>
      <c r="T54" s="63">
        <f t="shared" si="80"/>
        <v>176.00833333333333</v>
      </c>
      <c r="U54" s="63">
        <f t="shared" si="80"/>
        <v>181.42666666666665</v>
      </c>
      <c r="V54" s="63">
        <f t="shared" si="80"/>
        <v>186.84499999999997</v>
      </c>
      <c r="W54" s="63">
        <f t="shared" si="80"/>
        <v>192.26333333333329</v>
      </c>
      <c r="X54" s="63">
        <f t="shared" si="80"/>
        <v>197.68166666666662</v>
      </c>
      <c r="Y54" s="63">
        <f t="shared" si="80"/>
        <v>203.1</v>
      </c>
      <c r="Z54" s="63">
        <f t="shared" si="80"/>
        <v>198.15309090909093</v>
      </c>
      <c r="AA54" s="63">
        <f t="shared" si="80"/>
        <v>193.20618181818185</v>
      </c>
      <c r="AB54" s="63">
        <f t="shared" si="80"/>
        <v>188.25927272727279</v>
      </c>
      <c r="AC54" s="63">
        <f t="shared" si="80"/>
        <v>183.31236363636373</v>
      </c>
      <c r="AD54" s="63">
        <f t="shared" si="80"/>
        <v>132.49400000000009</v>
      </c>
    </row>
    <row r="55" spans="1:30" x14ac:dyDescent="0.35">
      <c r="A55" s="5">
        <f t="shared" si="68"/>
        <v>2.8717156694181529</v>
      </c>
      <c r="B55" s="11">
        <f>NPV('Cost Assumptions'!$B$3,'VS to VN &amp; Distributed BESS VS'!D55:'VS to VN &amp; Distributed BESS VS'!AD55)</f>
        <v>366.29743351294871</v>
      </c>
      <c r="C55" s="88" t="s">
        <v>33</v>
      </c>
      <c r="D55" s="63">
        <f t="shared" ref="D55:AD55" si="81">D10-D30</f>
        <v>4.7253529883901121E-2</v>
      </c>
      <c r="E55" s="63">
        <f t="shared" si="81"/>
        <v>0.28011551949195379</v>
      </c>
      <c r="F55" s="63">
        <f t="shared" si="81"/>
        <v>0.59718244793816533</v>
      </c>
      <c r="G55" s="63">
        <f t="shared" si="81"/>
        <v>0.91424937638437687</v>
      </c>
      <c r="H55" s="63">
        <f t="shared" si="81"/>
        <v>1.2313163048305884</v>
      </c>
      <c r="I55" s="63">
        <f t="shared" si="81"/>
        <v>1.5483832332767999</v>
      </c>
      <c r="J55" s="63">
        <f t="shared" si="81"/>
        <v>1.8654501617230115</v>
      </c>
      <c r="K55" s="63">
        <f t="shared" si="81"/>
        <v>3.796086780774603</v>
      </c>
      <c r="L55" s="63">
        <f t="shared" si="81"/>
        <v>5.726723399826195</v>
      </c>
      <c r="M55" s="63">
        <f t="shared" si="81"/>
        <v>7.6573600188777871</v>
      </c>
      <c r="N55" s="63">
        <f t="shared" si="81"/>
        <v>9.5879966379293773</v>
      </c>
      <c r="O55" s="63">
        <f t="shared" si="81"/>
        <v>22.507331657050738</v>
      </c>
      <c r="P55" s="63">
        <f t="shared" si="81"/>
        <v>35.426666676172097</v>
      </c>
      <c r="Q55" s="63">
        <f t="shared" si="81"/>
        <v>48.346001695293459</v>
      </c>
      <c r="R55" s="63">
        <f t="shared" si="81"/>
        <v>61.265336714414822</v>
      </c>
      <c r="S55" s="63">
        <f t="shared" si="81"/>
        <v>74.175035573536178</v>
      </c>
      <c r="T55" s="63">
        <f t="shared" si="81"/>
        <v>84.213393285990875</v>
      </c>
      <c r="U55" s="63">
        <f t="shared" si="81"/>
        <v>111.11686928486638</v>
      </c>
      <c r="V55" s="63">
        <f t="shared" si="81"/>
        <v>138.02034528374188</v>
      </c>
      <c r="W55" s="63">
        <f t="shared" si="81"/>
        <v>164.92382128261738</v>
      </c>
      <c r="X55" s="63">
        <f t="shared" si="81"/>
        <v>191.82729728149289</v>
      </c>
      <c r="Y55" s="63">
        <f t="shared" si="81"/>
        <v>218.73077328036842</v>
      </c>
      <c r="Z55" s="63">
        <f t="shared" si="81"/>
        <v>262.26484762150858</v>
      </c>
      <c r="AA55" s="63">
        <f t="shared" si="81"/>
        <v>305.79892196264871</v>
      </c>
      <c r="AB55" s="63">
        <f t="shared" si="81"/>
        <v>349.33299630378883</v>
      </c>
      <c r="AC55" s="63">
        <f t="shared" si="81"/>
        <v>392.86707064492896</v>
      </c>
      <c r="AD55" s="63">
        <f t="shared" si="81"/>
        <v>377.64684345879641</v>
      </c>
    </row>
    <row r="56" spans="1:30" x14ac:dyDescent="0.35">
      <c r="A56" s="5">
        <f t="shared" si="68"/>
        <v>4.9356974932961553E-2</v>
      </c>
      <c r="B56" s="11">
        <f>NPV('Cost Assumptions'!$B$3,'VS to VN &amp; Distributed BESS VS'!D56:'VS to VN &amp; Distributed BESS VS'!AD56)</f>
        <v>8.0533173660107948</v>
      </c>
      <c r="C56" s="88" t="s">
        <v>34</v>
      </c>
      <c r="D56" s="63">
        <f t="shared" ref="D56:AD56" si="82">D11-D31</f>
        <v>2.3626764941950561E-2</v>
      </c>
      <c r="E56" s="63">
        <f t="shared" si="82"/>
        <v>7.0028879872988448E-2</v>
      </c>
      <c r="F56" s="63">
        <f t="shared" si="82"/>
        <v>0.10932167994761965</v>
      </c>
      <c r="G56" s="63">
        <f t="shared" si="82"/>
        <v>0.14861448002225086</v>
      </c>
      <c r="H56" s="63">
        <f t="shared" si="82"/>
        <v>0.18790728009688207</v>
      </c>
      <c r="I56" s="63">
        <f t="shared" si="82"/>
        <v>0.22720008017151327</v>
      </c>
      <c r="J56" s="63">
        <f t="shared" si="82"/>
        <v>0.26649288024614448</v>
      </c>
      <c r="K56" s="63">
        <f t="shared" si="82"/>
        <v>0.37108388586191865</v>
      </c>
      <c r="L56" s="63">
        <f t="shared" si="82"/>
        <v>0.47567489147769282</v>
      </c>
      <c r="M56" s="63">
        <f t="shared" si="82"/>
        <v>0.58026589709346699</v>
      </c>
      <c r="N56" s="63">
        <f t="shared" si="82"/>
        <v>0.68485690270924116</v>
      </c>
      <c r="O56" s="63">
        <f t="shared" si="82"/>
        <v>0.96307447636877097</v>
      </c>
      <c r="P56" s="63">
        <f t="shared" si="82"/>
        <v>1.2412920500283007</v>
      </c>
      <c r="Q56" s="63">
        <f t="shared" si="82"/>
        <v>1.5195096236878305</v>
      </c>
      <c r="R56" s="63">
        <f t="shared" si="82"/>
        <v>1.7977271973473603</v>
      </c>
      <c r="S56" s="63">
        <f t="shared" si="82"/>
        <v>2.0663086110068902</v>
      </c>
      <c r="T56" s="63">
        <f t="shared" si="82"/>
        <v>2.1944172113330866</v>
      </c>
      <c r="U56" s="63">
        <f t="shared" si="82"/>
        <v>2.4641409512565389</v>
      </c>
      <c r="V56" s="63">
        <f t="shared" si="82"/>
        <v>2.7338646911799911</v>
      </c>
      <c r="W56" s="63">
        <f t="shared" si="82"/>
        <v>3.0035884311034433</v>
      </c>
      <c r="X56" s="63">
        <f t="shared" si="82"/>
        <v>3.2733121710268964</v>
      </c>
      <c r="Y56" s="63">
        <f t="shared" si="82"/>
        <v>3.5430359109503486</v>
      </c>
      <c r="Z56" s="63">
        <f t="shared" si="82"/>
        <v>3.8054138717701393</v>
      </c>
      <c r="AA56" s="63">
        <f t="shared" si="82"/>
        <v>4.06779183258993</v>
      </c>
      <c r="AB56" s="63">
        <f t="shared" si="82"/>
        <v>4.3301697934097207</v>
      </c>
      <c r="AC56" s="63">
        <f t="shared" si="82"/>
        <v>4.5925477542295114</v>
      </c>
      <c r="AD56" s="63">
        <f t="shared" si="82"/>
        <v>4.6157067332311223</v>
      </c>
    </row>
    <row r="57" spans="1:30" x14ac:dyDescent="0.35">
      <c r="A57" s="5">
        <f t="shared" si="68"/>
        <v>0.56109090909090908</v>
      </c>
      <c r="B57" s="11">
        <f>NPV('Cost Assumptions'!$B$3,'VS to VN &amp; Distributed BESS VS'!D57:'VS to VN &amp; Distributed BESS VS'!AD57)</f>
        <v>119.99392539732808</v>
      </c>
      <c r="C57" s="88" t="s">
        <v>35</v>
      </c>
      <c r="D57" s="63">
        <f t="shared" ref="D57:AD57" si="83">D12-D32</f>
        <v>2</v>
      </c>
      <c r="E57" s="63">
        <f t="shared" si="83"/>
        <v>4</v>
      </c>
      <c r="F57" s="63">
        <f t="shared" si="83"/>
        <v>4.5999999999999996</v>
      </c>
      <c r="G57" s="63">
        <f t="shared" si="83"/>
        <v>5.1999999999999993</v>
      </c>
      <c r="H57" s="63">
        <f t="shared" si="83"/>
        <v>5.7999999999999989</v>
      </c>
      <c r="I57" s="63">
        <f t="shared" si="83"/>
        <v>6.3999999999999986</v>
      </c>
      <c r="J57" s="63">
        <f t="shared" si="83"/>
        <v>7</v>
      </c>
      <c r="K57" s="63">
        <f t="shared" si="83"/>
        <v>8.75</v>
      </c>
      <c r="L57" s="63">
        <f t="shared" si="83"/>
        <v>10.5</v>
      </c>
      <c r="M57" s="63">
        <f t="shared" si="83"/>
        <v>12.25</v>
      </c>
      <c r="N57" s="63">
        <f t="shared" si="83"/>
        <v>14</v>
      </c>
      <c r="O57" s="63">
        <f t="shared" si="83"/>
        <v>17.833333333333332</v>
      </c>
      <c r="P57" s="63">
        <f t="shared" si="83"/>
        <v>21.666666666666664</v>
      </c>
      <c r="Q57" s="63">
        <f t="shared" si="83"/>
        <v>25.499999999999996</v>
      </c>
      <c r="R57" s="63">
        <f t="shared" si="83"/>
        <v>29.333333333333329</v>
      </c>
      <c r="S57" s="63">
        <f t="shared" si="83"/>
        <v>32.166666666666664</v>
      </c>
      <c r="T57" s="63">
        <f t="shared" si="83"/>
        <v>33</v>
      </c>
      <c r="U57" s="63">
        <f t="shared" si="83"/>
        <v>33.200000000000003</v>
      </c>
      <c r="V57" s="63">
        <f t="shared" si="83"/>
        <v>33.400000000000006</v>
      </c>
      <c r="W57" s="63">
        <f t="shared" si="83"/>
        <v>33.600000000000009</v>
      </c>
      <c r="X57" s="63">
        <f t="shared" si="83"/>
        <v>33.800000000000011</v>
      </c>
      <c r="Y57" s="63">
        <f t="shared" si="83"/>
        <v>34</v>
      </c>
      <c r="Z57" s="63">
        <f t="shared" si="83"/>
        <v>33.709090909090904</v>
      </c>
      <c r="AA57" s="63">
        <f t="shared" si="83"/>
        <v>33.418181818181814</v>
      </c>
      <c r="AB57" s="63">
        <f t="shared" si="83"/>
        <v>33.127272727272718</v>
      </c>
      <c r="AC57" s="63">
        <f t="shared" si="83"/>
        <v>32.836363636363622</v>
      </c>
      <c r="AD57" s="63">
        <f t="shared" si="83"/>
        <v>20</v>
      </c>
    </row>
    <row r="59" spans="1:30" ht="15" thickBot="1" x14ac:dyDescent="0.4">
      <c r="A59" s="166" t="s">
        <v>156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.5" thickTop="1" thickBot="1" x14ac:dyDescent="0.4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</row>
    <row r="61" spans="1:30" ht="15" thickTop="1" x14ac:dyDescent="0.35">
      <c r="A61" s="88" t="str">
        <f>'Baseline System Analysis'!A17</f>
        <v>Residential</v>
      </c>
      <c r="B61" s="88" t="str">
        <f>'Baseline System Analysis'!B17</f>
        <v>Cost of Reliability (N-1)</v>
      </c>
      <c r="C61" s="88" t="str">
        <f>'Baseline System Analysis'!C17</f>
        <v>$/kWh</v>
      </c>
      <c r="D61" s="5">
        <f>'Baseline System Analysis'!D17</f>
        <v>4.4933261328125003</v>
      </c>
      <c r="E61" s="5">
        <f>'Baseline System Analysis'!E17</f>
        <v>4.6056592861328127</v>
      </c>
      <c r="F61" s="5">
        <f>'Baseline System Analysis'!F17</f>
        <v>4.720800768286133</v>
      </c>
      <c r="G61" s="5">
        <f>'Baseline System Analysis'!G17</f>
        <v>4.8388207874932858</v>
      </c>
      <c r="H61" s="5">
        <f>'Baseline System Analysis'!H17</f>
        <v>4.9597913071806179</v>
      </c>
      <c r="I61" s="5">
        <f>'Baseline System Analysis'!I17</f>
        <v>5.0837860898601326</v>
      </c>
      <c r="J61" s="5">
        <f>'Baseline System Analysis'!J17</f>
        <v>5.2108807421066352</v>
      </c>
      <c r="K61" s="5">
        <f>'Baseline System Analysis'!K17</f>
        <v>5.341152760659301</v>
      </c>
      <c r="L61" s="5">
        <f>'Baseline System Analysis'!L17</f>
        <v>5.4746815796757833</v>
      </c>
      <c r="M61" s="5">
        <f>'Baseline System Analysis'!M17</f>
        <v>5.6115486191676771</v>
      </c>
      <c r="N61" s="5">
        <f>'Baseline System Analysis'!N17</f>
        <v>5.7518373346468685</v>
      </c>
      <c r="O61" s="5">
        <f>'Baseline System Analysis'!O17</f>
        <v>5.8956332680130394</v>
      </c>
      <c r="P61" s="5">
        <f>'Baseline System Analysis'!P17</f>
        <v>6.0430240997133646</v>
      </c>
      <c r="Q61" s="5">
        <f>'Baseline System Analysis'!Q17</f>
        <v>6.1940997022061985</v>
      </c>
      <c r="R61" s="5">
        <f>'Baseline System Analysis'!R17</f>
        <v>6.3489521947613525</v>
      </c>
      <c r="S61" s="5">
        <f>'Baseline System Analysis'!S17</f>
        <v>6.5076759996303855</v>
      </c>
      <c r="T61" s="5">
        <f>'Baseline System Analysis'!T17</f>
        <v>6.6703678996211444</v>
      </c>
      <c r="U61" s="5">
        <f>'Baseline System Analysis'!U17</f>
        <v>6.8371270971116722</v>
      </c>
      <c r="V61" s="5">
        <f>'Baseline System Analysis'!V17</f>
        <v>7.0080552745394638</v>
      </c>
      <c r="W61" s="5">
        <f>'Baseline System Analysis'!W17</f>
        <v>7.1832566564029499</v>
      </c>
      <c r="X61" s="5">
        <f>'Baseline System Analysis'!X17</f>
        <v>7.3628380728130232</v>
      </c>
      <c r="Y61" s="5">
        <f>'Baseline System Analysis'!Y17</f>
        <v>7.5469090246333481</v>
      </c>
      <c r="Z61" s="5">
        <f>'Baseline System Analysis'!Z17</f>
        <v>7.7355817502491808</v>
      </c>
      <c r="AA61" s="5">
        <f>'Baseline System Analysis'!AA17</f>
        <v>7.92897129400541</v>
      </c>
      <c r="AB61" s="5">
        <f>'Baseline System Analysis'!AB17</f>
        <v>8.127195576355545</v>
      </c>
      <c r="AC61" s="5">
        <f>'Baseline System Analysis'!AC17</f>
        <v>8.3303754657644333</v>
      </c>
      <c r="AD61" s="5">
        <f>'Baseline System Analysis'!AD17</f>
        <v>8.5386348524085438</v>
      </c>
    </row>
    <row r="62" spans="1:30" x14ac:dyDescent="0.35">
      <c r="A62" s="88" t="str">
        <f>'Baseline System Analysis'!A18</f>
        <v>Residential</v>
      </c>
      <c r="B62" s="88" t="str">
        <f>'Baseline System Analysis'!B18</f>
        <v>Cost of Reliability (N-0)</v>
      </c>
      <c r="C62" s="88" t="str">
        <f>'Baseline System Analysis'!C18</f>
        <v>$/kWh</v>
      </c>
      <c r="D62" s="5">
        <f>'Baseline System Analysis'!D18</f>
        <v>3.7920011132812492</v>
      </c>
      <c r="E62" s="5">
        <f>'Baseline System Analysis'!E18</f>
        <v>3.8868011411132799</v>
      </c>
      <c r="F62" s="5">
        <f>'Baseline System Analysis'!F18</f>
        <v>3.9839711696411118</v>
      </c>
      <c r="G62" s="5">
        <f>'Baseline System Analysis'!G18</f>
        <v>4.0835704488821394</v>
      </c>
      <c r="H62" s="5">
        <f>'Baseline System Analysis'!H18</f>
        <v>4.1856597101041926</v>
      </c>
      <c r="I62" s="5">
        <f>'Baseline System Analysis'!I18</f>
        <v>4.2903012028567966</v>
      </c>
      <c r="J62" s="5">
        <f>'Baseline System Analysis'!J18</f>
        <v>4.397558732928216</v>
      </c>
      <c r="K62" s="5">
        <f>'Baseline System Analysis'!K18</f>
        <v>4.5074977012514212</v>
      </c>
      <c r="L62" s="5">
        <f>'Baseline System Analysis'!L18</f>
        <v>4.6201851437827059</v>
      </c>
      <c r="M62" s="5">
        <f>'Baseline System Analysis'!M18</f>
        <v>4.7356897723772731</v>
      </c>
      <c r="N62" s="5">
        <f>'Baseline System Analysis'!N18</f>
        <v>4.8540820166867045</v>
      </c>
      <c r="O62" s="5">
        <f>'Baseline System Analysis'!O18</f>
        <v>4.9754340671038717</v>
      </c>
      <c r="P62" s="5">
        <f>'Baseline System Analysis'!P18</f>
        <v>5.0998199187814679</v>
      </c>
      <c r="Q62" s="5">
        <f>'Baseline System Analysis'!Q18</f>
        <v>5.2273154167510043</v>
      </c>
      <c r="R62" s="5">
        <f>'Baseline System Analysis'!R18</f>
        <v>5.3579983021697792</v>
      </c>
      <c r="S62" s="5">
        <f>'Baseline System Analysis'!S18</f>
        <v>5.4919482597240235</v>
      </c>
      <c r="T62" s="5">
        <f>'Baseline System Analysis'!T18</f>
        <v>5.6292469662171234</v>
      </c>
      <c r="U62" s="5">
        <f>'Baseline System Analysis'!U18</f>
        <v>5.769978140372551</v>
      </c>
      <c r="V62" s="5">
        <f>'Baseline System Analysis'!V18</f>
        <v>5.914227593881864</v>
      </c>
      <c r="W62" s="5">
        <f>'Baseline System Analysis'!W18</f>
        <v>6.06208328372891</v>
      </c>
      <c r="X62" s="5">
        <f>'Baseline System Analysis'!X18</f>
        <v>6.2136353658221326</v>
      </c>
      <c r="Y62" s="5">
        <f>'Baseline System Analysis'!Y18</f>
        <v>6.3689762499676856</v>
      </c>
      <c r="Z62" s="5">
        <f>'Baseline System Analysis'!Z18</f>
        <v>6.5282006562168773</v>
      </c>
      <c r="AA62" s="5">
        <f>'Baseline System Analysis'!AA18</f>
        <v>6.6914056726222988</v>
      </c>
      <c r="AB62" s="5">
        <f>'Baseline System Analysis'!AB18</f>
        <v>6.858690814437856</v>
      </c>
      <c r="AC62" s="5">
        <f>'Baseline System Analysis'!AC18</f>
        <v>7.0301580847988019</v>
      </c>
      <c r="AD62" s="5">
        <f>'Baseline System Analysis'!AD18</f>
        <v>7.2059120369187717</v>
      </c>
    </row>
    <row r="63" spans="1:30" x14ac:dyDescent="0.35">
      <c r="A63" s="88" t="str">
        <f>'Baseline System Analysis'!A19</f>
        <v>Commerical</v>
      </c>
      <c r="B63" s="88" t="str">
        <f>'Baseline System Analysis'!B19</f>
        <v>Cost of Reliability (N-1)</v>
      </c>
      <c r="C63" s="88" t="str">
        <f>'Baseline System Analysis'!C19</f>
        <v>$/kWh</v>
      </c>
      <c r="D63" s="5">
        <f>'Baseline System Analysis'!D19</f>
        <v>166.59767191406246</v>
      </c>
      <c r="E63" s="5">
        <f>'Baseline System Analysis'!E19</f>
        <v>170.76261371191401</v>
      </c>
      <c r="F63" s="5">
        <f>'Baseline System Analysis'!F19</f>
        <v>175.03167905471184</v>
      </c>
      <c r="G63" s="5">
        <f>'Baseline System Analysis'!G19</f>
        <v>179.40747103107964</v>
      </c>
      <c r="H63" s="5">
        <f>'Baseline System Analysis'!H19</f>
        <v>183.89265780685662</v>
      </c>
      <c r="I63" s="5">
        <f>'Baseline System Analysis'!I19</f>
        <v>188.48997425202802</v>
      </c>
      <c r="J63" s="5">
        <f>'Baseline System Analysis'!J19</f>
        <v>193.20222360832869</v>
      </c>
      <c r="K63" s="5">
        <f>'Baseline System Analysis'!K19</f>
        <v>198.03227919853688</v>
      </c>
      <c r="L63" s="5">
        <f>'Baseline System Analysis'!L19</f>
        <v>202.98308617850029</v>
      </c>
      <c r="M63" s="5">
        <f>'Baseline System Analysis'!M19</f>
        <v>208.05766333296279</v>
      </c>
      <c r="N63" s="5">
        <f>'Baseline System Analysis'!N19</f>
        <v>213.25910491628684</v>
      </c>
      <c r="O63" s="5">
        <f>'Baseline System Analysis'!O19</f>
        <v>218.590582539194</v>
      </c>
      <c r="P63" s="5">
        <f>'Baseline System Analysis'!P19</f>
        <v>224.05534710267384</v>
      </c>
      <c r="Q63" s="5">
        <f>'Baseline System Analysis'!Q19</f>
        <v>229.65673078024065</v>
      </c>
      <c r="R63" s="5">
        <f>'Baseline System Analysis'!R19</f>
        <v>235.39814904974665</v>
      </c>
      <c r="S63" s="5">
        <f>'Baseline System Analysis'!S19</f>
        <v>241.2831027759903</v>
      </c>
      <c r="T63" s="5">
        <f>'Baseline System Analysis'!T19</f>
        <v>247.31518034539005</v>
      </c>
      <c r="U63" s="5">
        <f>'Baseline System Analysis'!U19</f>
        <v>253.49805985402477</v>
      </c>
      <c r="V63" s="5">
        <f>'Baseline System Analysis'!V19</f>
        <v>259.83551135037538</v>
      </c>
      <c r="W63" s="5">
        <f>'Baseline System Analysis'!W19</f>
        <v>266.33139913413476</v>
      </c>
      <c r="X63" s="5">
        <f>'Baseline System Analysis'!X19</f>
        <v>272.98968411248808</v>
      </c>
      <c r="Y63" s="5">
        <f>'Baseline System Analysis'!Y19</f>
        <v>279.81442621530027</v>
      </c>
      <c r="Z63" s="5">
        <f>'Baseline System Analysis'!Z19</f>
        <v>286.80978687068273</v>
      </c>
      <c r="AA63" s="5">
        <f>'Baseline System Analysis'!AA19</f>
        <v>293.98003154244975</v>
      </c>
      <c r="AB63" s="5">
        <f>'Baseline System Analysis'!AB19</f>
        <v>301.32953233101097</v>
      </c>
      <c r="AC63" s="5">
        <f>'Baseline System Analysis'!AC19</f>
        <v>308.86277063928623</v>
      </c>
      <c r="AD63" s="5">
        <f>'Baseline System Analysis'!AD19</f>
        <v>316.58433990526834</v>
      </c>
    </row>
    <row r="64" spans="1:30" x14ac:dyDescent="0.35">
      <c r="A64" s="88" t="str">
        <f>'Baseline System Analysis'!A20</f>
        <v>Commerical</v>
      </c>
      <c r="B64" s="88" t="str">
        <f>'Baseline System Analysis'!B20</f>
        <v>Cost of Reliability (N-0)</v>
      </c>
      <c r="C64" s="88" t="str">
        <f>'Baseline System Analysis'!C20</f>
        <v>$/kWh</v>
      </c>
      <c r="D64" s="5">
        <f>'Baseline System Analysis'!D20</f>
        <v>153.83719106445315</v>
      </c>
      <c r="E64" s="5">
        <f>'Baseline System Analysis'!E20</f>
        <v>157.68312084106446</v>
      </c>
      <c r="F64" s="5">
        <f>'Baseline System Analysis'!F20</f>
        <v>161.62519886209105</v>
      </c>
      <c r="G64" s="5">
        <f>'Baseline System Analysis'!G20</f>
        <v>165.6658288336433</v>
      </c>
      <c r="H64" s="5">
        <f>'Baseline System Analysis'!H20</f>
        <v>169.80747455448437</v>
      </c>
      <c r="I64" s="5">
        <f>'Baseline System Analysis'!I20</f>
        <v>174.05266141834647</v>
      </c>
      <c r="J64" s="5">
        <f>'Baseline System Analysis'!J20</f>
        <v>178.40397795380511</v>
      </c>
      <c r="K64" s="5">
        <f>'Baseline System Analysis'!K20</f>
        <v>182.86407740265022</v>
      </c>
      <c r="L64" s="5">
        <f>'Baseline System Analysis'!L20</f>
        <v>187.43567933771646</v>
      </c>
      <c r="M64" s="5">
        <f>'Baseline System Analysis'!M20</f>
        <v>192.12157132115937</v>
      </c>
      <c r="N64" s="5">
        <f>'Baseline System Analysis'!N20</f>
        <v>196.92461060418833</v>
      </c>
      <c r="O64" s="5">
        <f>'Baseline System Analysis'!O20</f>
        <v>201.84772586929301</v>
      </c>
      <c r="P64" s="5">
        <f>'Baseline System Analysis'!P20</f>
        <v>206.89391901602534</v>
      </c>
      <c r="Q64" s="5">
        <f>'Baseline System Analysis'!Q20</f>
        <v>212.06626699142595</v>
      </c>
      <c r="R64" s="5">
        <f>'Baseline System Analysis'!R20</f>
        <v>217.36792366621157</v>
      </c>
      <c r="S64" s="5">
        <f>'Baseline System Analysis'!S20</f>
        <v>222.80212175786684</v>
      </c>
      <c r="T64" s="5">
        <f>'Baseline System Analysis'!T20</f>
        <v>228.37217480181349</v>
      </c>
      <c r="U64" s="5">
        <f>'Baseline System Analysis'!U20</f>
        <v>234.0814791718588</v>
      </c>
      <c r="V64" s="5">
        <f>'Baseline System Analysis'!V20</f>
        <v>239.93351615115526</v>
      </c>
      <c r="W64" s="5">
        <f>'Baseline System Analysis'!W20</f>
        <v>245.93185405493412</v>
      </c>
      <c r="X64" s="5">
        <f>'Baseline System Analysis'!X20</f>
        <v>252.08015040630744</v>
      </c>
      <c r="Y64" s="5">
        <f>'Baseline System Analysis'!Y20</f>
        <v>258.38215416646511</v>
      </c>
      <c r="Z64" s="5">
        <f>'Baseline System Analysis'!Z20</f>
        <v>264.8417080206267</v>
      </c>
      <c r="AA64" s="5">
        <f>'Baseline System Analysis'!AA20</f>
        <v>271.46275072114236</v>
      </c>
      <c r="AB64" s="5">
        <f>'Baseline System Analysis'!AB20</f>
        <v>278.24931948917089</v>
      </c>
      <c r="AC64" s="5">
        <f>'Baseline System Analysis'!AC20</f>
        <v>285.20555247640016</v>
      </c>
      <c r="AD64" s="5">
        <f>'Baseline System Analysis'!AD20</f>
        <v>292.33569128831016</v>
      </c>
    </row>
    <row r="66" spans="1:30" x14ac:dyDescent="0.35">
      <c r="A66" s="88" t="s">
        <v>130</v>
      </c>
      <c r="B66" s="88" t="s">
        <v>31</v>
      </c>
      <c r="C66" s="20">
        <f>NPV('Cost Assumptions'!$B$3,D66:AD66)</f>
        <v>410561.74782702001</v>
      </c>
      <c r="D66" s="5">
        <f>'Baseline System Analysis'!D24-D35</f>
        <v>85.467055666139231</v>
      </c>
      <c r="E66" s="5">
        <f>'Baseline System Analysis'!E24-E35</f>
        <v>-38.570120586914072</v>
      </c>
      <c r="F66" s="5">
        <f>'Baseline System Analysis'!F24-F35</f>
        <v>-162.6072968399676</v>
      </c>
      <c r="G66" s="5">
        <f>'Baseline System Analysis'!G24-G35</f>
        <v>-286.64447309302159</v>
      </c>
      <c r="H66" s="5">
        <f>'Baseline System Analysis'!H24-H35</f>
        <v>-410.68164934607557</v>
      </c>
      <c r="I66" s="5">
        <f>'Baseline System Analysis'!I24-I35</f>
        <v>-534.71882559912774</v>
      </c>
      <c r="J66" s="5">
        <f>'Baseline System Analysis'!J24-J35</f>
        <v>-658.75600185218173</v>
      </c>
      <c r="K66" s="5">
        <f>'Baseline System Analysis'!K24-K35</f>
        <v>334.47617415517379</v>
      </c>
      <c r="L66" s="5">
        <f>'Baseline System Analysis'!L24-L35</f>
        <v>1327.7083501625311</v>
      </c>
      <c r="M66" s="5">
        <f>'Baseline System Analysis'!M24-M35</f>
        <v>2320.9405261698848</v>
      </c>
      <c r="N66" s="5">
        <f>'Baseline System Analysis'!N24-N35</f>
        <v>3314.1727021772458</v>
      </c>
      <c r="O66" s="5">
        <f>'Baseline System Analysis'!O24-O35</f>
        <v>14057.354987962855</v>
      </c>
      <c r="P66" s="5">
        <f>'Baseline System Analysis'!P24-P35</f>
        <v>24800.537273748458</v>
      </c>
      <c r="Q66" s="5">
        <f>'Baseline System Analysis'!Q24-Q35</f>
        <v>35543.71955953406</v>
      </c>
      <c r="R66" s="5">
        <f>'Baseline System Analysis'!R24-R35</f>
        <v>46286.901845319662</v>
      </c>
      <c r="S66" s="5">
        <f>'Baseline System Analysis'!S24-S35</f>
        <v>57030.08413110525</v>
      </c>
      <c r="T66" s="5">
        <f>'Baseline System Analysis'!T24-T35</f>
        <v>67773.266416890867</v>
      </c>
      <c r="U66" s="5">
        <f>'Baseline System Analysis'!U24-U35</f>
        <v>104904.63724061107</v>
      </c>
      <c r="V66" s="5">
        <f>'Baseline System Analysis'!V24-V35</f>
        <v>142036.00806433131</v>
      </c>
      <c r="W66" s="5">
        <f>'Baseline System Analysis'!W24-W35</f>
        <v>179167.37888805161</v>
      </c>
      <c r="X66" s="5">
        <f>'Baseline System Analysis'!X24-X35</f>
        <v>216298.7497117719</v>
      </c>
      <c r="Y66" s="5">
        <f>'Baseline System Analysis'!Y24-Y35</f>
        <v>253430.12053549208</v>
      </c>
      <c r="Z66" s="5">
        <f>'Baseline System Analysis'!Z24-Z35</f>
        <v>332846.27012962895</v>
      </c>
      <c r="AA66" s="5">
        <f>'Baseline System Analysis'!AA24-AA35</f>
        <v>412262.41972376581</v>
      </c>
      <c r="AB66" s="5">
        <f>'Baseline System Analysis'!AB24-AB35</f>
        <v>491678.56931790279</v>
      </c>
      <c r="AC66" s="5">
        <f>'Baseline System Analysis'!AC24-AC35</f>
        <v>571094.71891203977</v>
      </c>
      <c r="AD66" s="5">
        <f>'Baseline System Analysis'!AD24-AD35</f>
        <v>650510.8685061764</v>
      </c>
    </row>
    <row r="67" spans="1:30" x14ac:dyDescent="0.35">
      <c r="A67" s="88" t="s">
        <v>132</v>
      </c>
      <c r="B67" s="88" t="s">
        <v>31</v>
      </c>
      <c r="C67" s="20">
        <f>NPV('Cost Assumptions'!$B$3,D67:AD67)</f>
        <v>1703620.1545147272</v>
      </c>
      <c r="D67" s="5">
        <f>'Baseline System Analysis'!D25-D36</f>
        <v>354.64433632821692</v>
      </c>
      <c r="E67" s="5">
        <f>'Baseline System Analysis'!E25-E36</f>
        <v>-160.04616879606328</v>
      </c>
      <c r="F67" s="5">
        <f>'Baseline System Analysis'!F25-F36</f>
        <v>-674.73667392034622</v>
      </c>
      <c r="G67" s="5">
        <f>'Baseline System Analysis'!G25-G36</f>
        <v>-1189.4271790446255</v>
      </c>
      <c r="H67" s="5">
        <f>'Baseline System Analysis'!H25-H36</f>
        <v>-1704.1176841689012</v>
      </c>
      <c r="I67" s="5">
        <f>'Baseline System Analysis'!I25-I36</f>
        <v>-2218.8081892931805</v>
      </c>
      <c r="J67" s="5">
        <f>'Baseline System Analysis'!J25-J36</f>
        <v>-2733.498694417467</v>
      </c>
      <c r="K67" s="5">
        <f>'Baseline System Analysis'!K25-K36</f>
        <v>1387.9041447763448</v>
      </c>
      <c r="L67" s="5">
        <f>'Baseline System Analysis'!L25-L36</f>
        <v>5509.3069839701493</v>
      </c>
      <c r="M67" s="5">
        <f>'Baseline System Analysis'!M25-M36</f>
        <v>9630.7098231639538</v>
      </c>
      <c r="N67" s="5">
        <f>'Baseline System Analysis'!N25-N36</f>
        <v>13752.112662357715</v>
      </c>
      <c r="O67" s="5">
        <f>'Baseline System Analysis'!O25-O36</f>
        <v>58330.795314988063</v>
      </c>
      <c r="P67" s="5">
        <f>'Baseline System Analysis'!P25-P36</f>
        <v>102909.47796761838</v>
      </c>
      <c r="Q67" s="5">
        <f>'Baseline System Analysis'!Q25-Q36</f>
        <v>147488.1606202487</v>
      </c>
      <c r="R67" s="5">
        <f>'Baseline System Analysis'!R25-R36</f>
        <v>192066.84327287902</v>
      </c>
      <c r="S67" s="5">
        <f>'Baseline System Analysis'!S25-S36</f>
        <v>236645.5259255094</v>
      </c>
      <c r="T67" s="5">
        <f>'Baseline System Analysis'!T25-T36</f>
        <v>281224.20857813966</v>
      </c>
      <c r="U67" s="5">
        <f>'Baseline System Analysis'!U25-U36</f>
        <v>435300.30562043423</v>
      </c>
      <c r="V67" s="5">
        <f>'Baseline System Analysis'!V25-V36</f>
        <v>589376.40266272845</v>
      </c>
      <c r="W67" s="5">
        <f>'Baseline System Analysis'!W25-W36</f>
        <v>743452.49970502267</v>
      </c>
      <c r="X67" s="5">
        <f>'Baseline System Analysis'!X25-X36</f>
        <v>897528.59674731689</v>
      </c>
      <c r="Y67" s="5">
        <f>'Baseline System Analysis'!Y25-Y36</f>
        <v>1051604.6937896116</v>
      </c>
      <c r="Z67" s="5">
        <f>'Baseline System Analysis'!Z25-Z36</f>
        <v>1381140.8811197844</v>
      </c>
      <c r="AA67" s="5">
        <f>'Baseline System Analysis'!AA25-AA36</f>
        <v>1710677.0684499568</v>
      </c>
      <c r="AB67" s="5">
        <f>'Baseline System Analysis'!AB25-AB36</f>
        <v>2040213.2557801292</v>
      </c>
      <c r="AC67" s="5">
        <f>'Baseline System Analysis'!AC25-AC36</f>
        <v>2369749.4431103016</v>
      </c>
      <c r="AD67" s="5">
        <f>'Baseline System Analysis'!AD25-AD36</f>
        <v>2699285.6304404764</v>
      </c>
    </row>
    <row r="68" spans="1:30" x14ac:dyDescent="0.35">
      <c r="A68" s="88" t="s">
        <v>24</v>
      </c>
      <c r="B68" s="88" t="s">
        <v>31</v>
      </c>
      <c r="C68" s="20">
        <f>NPV('Cost Assumptions'!$B$3,D68:AD68)</f>
        <v>2114181.9023417472</v>
      </c>
      <c r="D68" s="5">
        <f>SUM(D66:D67)</f>
        <v>440.11139199435615</v>
      </c>
      <c r="E68" s="5">
        <f t="shared" ref="E68:AD68" si="84">SUM(E66:E67)</f>
        <v>-198.61628938297736</v>
      </c>
      <c r="F68" s="5">
        <f t="shared" si="84"/>
        <v>-837.34397076031382</v>
      </c>
      <c r="G68" s="5">
        <f t="shared" si="84"/>
        <v>-1476.0716521376471</v>
      </c>
      <c r="H68" s="5">
        <f t="shared" si="84"/>
        <v>-2114.7993335149768</v>
      </c>
      <c r="I68" s="5">
        <f t="shared" si="84"/>
        <v>-2753.5270148923082</v>
      </c>
      <c r="J68" s="5">
        <f t="shared" si="84"/>
        <v>-3392.2546962696488</v>
      </c>
      <c r="K68" s="5">
        <f t="shared" si="84"/>
        <v>1722.3803189315186</v>
      </c>
      <c r="L68" s="5">
        <f t="shared" si="84"/>
        <v>6837.0153341326804</v>
      </c>
      <c r="M68" s="5">
        <f t="shared" si="84"/>
        <v>11951.650349333839</v>
      </c>
      <c r="N68" s="5">
        <f t="shared" si="84"/>
        <v>17066.285364534961</v>
      </c>
      <c r="O68" s="5">
        <f t="shared" si="84"/>
        <v>72388.150302950919</v>
      </c>
      <c r="P68" s="5">
        <f t="shared" si="84"/>
        <v>127710.01524136684</v>
      </c>
      <c r="Q68" s="5">
        <f t="shared" si="84"/>
        <v>183031.88017978275</v>
      </c>
      <c r="R68" s="5">
        <f t="shared" si="84"/>
        <v>238353.74511819868</v>
      </c>
      <c r="S68" s="5">
        <f t="shared" si="84"/>
        <v>293675.61005661462</v>
      </c>
      <c r="T68" s="5">
        <f t="shared" si="84"/>
        <v>348997.47499503056</v>
      </c>
      <c r="U68" s="5">
        <f t="shared" si="84"/>
        <v>540204.94286104525</v>
      </c>
      <c r="V68" s="5">
        <f t="shared" si="84"/>
        <v>731412.4107270597</v>
      </c>
      <c r="W68" s="5">
        <f t="shared" si="84"/>
        <v>922619.87859307427</v>
      </c>
      <c r="X68" s="5">
        <f t="shared" si="84"/>
        <v>1113827.3464590888</v>
      </c>
      <c r="Y68" s="5">
        <f t="shared" si="84"/>
        <v>1305034.8143251035</v>
      </c>
      <c r="Z68" s="5">
        <f t="shared" si="84"/>
        <v>1713987.1512494134</v>
      </c>
      <c r="AA68" s="5">
        <f t="shared" si="84"/>
        <v>2122939.4881737228</v>
      </c>
      <c r="AB68" s="5">
        <f t="shared" si="84"/>
        <v>2531891.8250980321</v>
      </c>
      <c r="AC68" s="5">
        <f t="shared" si="84"/>
        <v>2940844.1620223415</v>
      </c>
      <c r="AD68" s="5">
        <f t="shared" si="84"/>
        <v>3349796.4989466527</v>
      </c>
    </row>
    <row r="69" spans="1:30" x14ac:dyDescent="0.35">
      <c r="A69" s="88"/>
      <c r="B69" s="88"/>
      <c r="C69" s="8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x14ac:dyDescent="0.35">
      <c r="A70" s="88" t="s">
        <v>133</v>
      </c>
      <c r="B70" s="88" t="s">
        <v>31</v>
      </c>
      <c r="C70" s="20">
        <f>NPV('Cost Assumptions'!$B$3,D70:AD70)</f>
        <v>46545720.281911746</v>
      </c>
      <c r="D70" s="63">
        <f>'Baseline System Analysis'!D28-D33</f>
        <v>160316.96625268596</v>
      </c>
      <c r="E70" s="63">
        <f>'Baseline System Analysis'!E28-E33</f>
        <v>426669.25690772623</v>
      </c>
      <c r="F70" s="63">
        <f>'Baseline System Analysis'!F28-F33</f>
        <v>622795.96524369309</v>
      </c>
      <c r="G70" s="63">
        <f>'Baseline System Analysis'!G28-G33</f>
        <v>833703.43870740035</v>
      </c>
      <c r="H70" s="63">
        <f>'Baseline System Analysis'!H28-H33</f>
        <v>1064554.7712044911</v>
      </c>
      <c r="I70" s="63">
        <f>'Baseline System Analysis'!I28-I33</f>
        <v>1155250.6032801536</v>
      </c>
      <c r="J70" s="63">
        <f>'Baseline System Analysis'!J28-J33</f>
        <v>1567814.7930424134</v>
      </c>
      <c r="K70" s="63">
        <f>'Baseline System Analysis'!K28-K33</f>
        <v>2064587.6916558424</v>
      </c>
      <c r="L70" s="63">
        <f>'Baseline System Analysis'!L28-L33</f>
        <v>2485972.1963254735</v>
      </c>
      <c r="M70" s="63">
        <f>'Baseline System Analysis'!M28-M33</f>
        <v>2907214.7827229644</v>
      </c>
      <c r="N70" s="63">
        <f>'Baseline System Analysis'!N28-N33</f>
        <v>3653487.05439856</v>
      </c>
      <c r="O70" s="63">
        <f>'Baseline System Analysis'!O28-O33</f>
        <v>4512360.7012723647</v>
      </c>
      <c r="P70" s="63">
        <f>'Baseline System Analysis'!P28-P33</f>
        <v>5845712.9395959051</v>
      </c>
      <c r="Q70" s="63">
        <f>'Baseline System Analysis'!Q28-Q33</f>
        <v>7145234.3901076168</v>
      </c>
      <c r="R70" s="63">
        <f>'Baseline System Analysis'!R28-R33</f>
        <v>9104342.6872677077</v>
      </c>
      <c r="S70" s="63">
        <f>'Baseline System Analysis'!S28-S33</f>
        <v>11293600.929913701</v>
      </c>
      <c r="T70" s="63">
        <f>'Baseline System Analysis'!T28-T33</f>
        <v>13653110.827528737</v>
      </c>
      <c r="U70" s="63">
        <f>'Baseline System Analysis'!U28-U33</f>
        <v>15952211.347053576</v>
      </c>
      <c r="V70" s="63">
        <f>'Baseline System Analysis'!V28-V33</f>
        <v>17606189.214987557</v>
      </c>
      <c r="W70" s="63">
        <f>'Baseline System Analysis'!W28-W33</f>
        <v>19191520.464875378</v>
      </c>
      <c r="X70" s="63">
        <f>'Baseline System Analysis'!X28-X33</f>
        <v>21130925.636408489</v>
      </c>
      <c r="Y70" s="63">
        <f>'Baseline System Analysis'!Y28-Y33</f>
        <v>22591191.56428675</v>
      </c>
      <c r="Z70" s="63">
        <f>'Baseline System Analysis'!Z28-Z33</f>
        <v>24147156.161201786</v>
      </c>
      <c r="AA70" s="63">
        <f>'Baseline System Analysis'!AA28-AA33</f>
        <v>25250461.823232606</v>
      </c>
      <c r="AB70" s="63">
        <f>'Baseline System Analysis'!AB28-AB33</f>
        <v>26364434.787155628</v>
      </c>
      <c r="AC70" s="63">
        <f>'Baseline System Analysis'!AC28-AC33</f>
        <v>26485898.795468956</v>
      </c>
      <c r="AD70" s="63">
        <f>'Baseline System Analysis'!AD28-AD33</f>
        <v>25894819.565471895</v>
      </c>
    </row>
    <row r="71" spans="1:30" x14ac:dyDescent="0.35">
      <c r="A71" s="88" t="s">
        <v>134</v>
      </c>
      <c r="B71" s="88" t="s">
        <v>31</v>
      </c>
      <c r="C71" s="20">
        <f>NPV('Cost Assumptions'!$B$3,D71:AD71)</f>
        <v>204943972.95528826</v>
      </c>
      <c r="D71" s="63">
        <f>'Baseline System Analysis'!D29-D34</f>
        <v>903378.82566768141</v>
      </c>
      <c r="E71" s="63">
        <f>'Baseline System Analysis'!E29-E34</f>
        <v>2253314.5961599764</v>
      </c>
      <c r="F71" s="63">
        <f>'Baseline System Analysis'!F29-F34</f>
        <v>3310509.516156707</v>
      </c>
      <c r="G71" s="63">
        <f>'Baseline System Analysis'!G29-G34</f>
        <v>4447440.2170750583</v>
      </c>
      <c r="H71" s="63">
        <f>'Baseline System Analysis'!H29-H34</f>
        <v>5587242.1815372296</v>
      </c>
      <c r="I71" s="63">
        <f>'Baseline System Analysis'!I29-I34</f>
        <v>5454561.6522228802</v>
      </c>
      <c r="J71" s="63">
        <f>'Baseline System Analysis'!J29-J34</f>
        <v>7543245.1947770724</v>
      </c>
      <c r="K71" s="63">
        <f>'Baseline System Analysis'!K29-K34</f>
        <v>10054559.779896669</v>
      </c>
      <c r="L71" s="63">
        <f>'Baseline System Analysis'!L29-L34</f>
        <v>11610814.214658689</v>
      </c>
      <c r="M71" s="63">
        <f>'Baseline System Analysis'!M29-M34</f>
        <v>12826351.057208685</v>
      </c>
      <c r="N71" s="63">
        <f>'Baseline System Analysis'!N29-N34</f>
        <v>16062284.122916382</v>
      </c>
      <c r="O71" s="63">
        <f>'Baseline System Analysis'!O29-O34</f>
        <v>19403643.120637149</v>
      </c>
      <c r="P71" s="63">
        <f>'Baseline System Analysis'!P29-P34</f>
        <v>25219740.504592769</v>
      </c>
      <c r="Q71" s="63">
        <f>'Baseline System Analysis'!Q29-Q34</f>
        <v>31071411.196852271</v>
      </c>
      <c r="R71" s="63">
        <f>'Baseline System Analysis'!R29-R34</f>
        <v>39644741.256940469</v>
      </c>
      <c r="S71" s="63">
        <f>'Baseline System Analysis'!S29-S34</f>
        <v>49599271.300797775</v>
      </c>
      <c r="T71" s="63">
        <f>'Baseline System Analysis'!T29-T34</f>
        <v>60430397.751430772</v>
      </c>
      <c r="U71" s="63">
        <f>'Baseline System Analysis'!U29-U34</f>
        <v>70869056.210212797</v>
      </c>
      <c r="V71" s="63">
        <f>'Baseline System Analysis'!V29-V34</f>
        <v>77016835.258961186</v>
      </c>
      <c r="W71" s="63">
        <f>'Baseline System Analysis'!W29-W34</f>
        <v>83157933.201460063</v>
      </c>
      <c r="X71" s="63">
        <f>'Baseline System Analysis'!X29-X34</f>
        <v>90916024.340420872</v>
      </c>
      <c r="Y71" s="63">
        <f>'Baseline System Analysis'!Y29-Y34</f>
        <v>96947933.560239181</v>
      </c>
      <c r="Z71" s="63">
        <f>'Baseline System Analysis'!Z29-Z34</f>
        <v>104034944.17479885</v>
      </c>
      <c r="AA71" s="63">
        <f>'Baseline System Analysis'!AA29-AA34</f>
        <v>107467331.44359306</v>
      </c>
      <c r="AB71" s="63">
        <f>'Baseline System Analysis'!AB29-AB34</f>
        <v>110956882.95821531</v>
      </c>
      <c r="AC71" s="63">
        <f>'Baseline System Analysis'!AC29-AC34</f>
        <v>111667173.08712886</v>
      </c>
      <c r="AD71" s="63">
        <f>'Baseline System Analysis'!AD29-AD34</f>
        <v>107259495.30836222</v>
      </c>
    </row>
    <row r="72" spans="1:30" x14ac:dyDescent="0.35">
      <c r="A72" s="88" t="s">
        <v>24</v>
      </c>
      <c r="B72" s="88" t="s">
        <v>31</v>
      </c>
      <c r="C72" s="20">
        <f>NPV('Cost Assumptions'!$B$3,D72:AD72)</f>
        <v>251489693.23719999</v>
      </c>
      <c r="D72" s="63">
        <f>SUM(D70:D71)</f>
        <v>1063695.7919203674</v>
      </c>
      <c r="E72" s="63">
        <f t="shared" ref="E72:AD72" si="85">SUM(E70:E71)</f>
        <v>2679983.8530677026</v>
      </c>
      <c r="F72" s="63">
        <f t="shared" si="85"/>
        <v>3933305.4814003999</v>
      </c>
      <c r="G72" s="63">
        <f t="shared" si="85"/>
        <v>5281143.6557824584</v>
      </c>
      <c r="H72" s="63">
        <f t="shared" si="85"/>
        <v>6651796.9527417207</v>
      </c>
      <c r="I72" s="63">
        <f t="shared" si="85"/>
        <v>6609812.2555030342</v>
      </c>
      <c r="J72" s="63">
        <f t="shared" si="85"/>
        <v>9111059.9878194854</v>
      </c>
      <c r="K72" s="63">
        <f t="shared" si="85"/>
        <v>12119147.471552512</v>
      </c>
      <c r="L72" s="63">
        <f t="shared" si="85"/>
        <v>14096786.410984162</v>
      </c>
      <c r="M72" s="63">
        <f t="shared" si="85"/>
        <v>15733565.83993165</v>
      </c>
      <c r="N72" s="63">
        <f t="shared" si="85"/>
        <v>19715771.177314941</v>
      </c>
      <c r="O72" s="63">
        <f t="shared" si="85"/>
        <v>23916003.821909513</v>
      </c>
      <c r="P72" s="63">
        <f t="shared" si="85"/>
        <v>31065453.444188673</v>
      </c>
      <c r="Q72" s="63">
        <f t="shared" si="85"/>
        <v>38216645.586959884</v>
      </c>
      <c r="R72" s="63">
        <f t="shared" si="85"/>
        <v>48749083.944208175</v>
      </c>
      <c r="S72" s="63">
        <f t="shared" si="85"/>
        <v>60892872.230711475</v>
      </c>
      <c r="T72" s="63">
        <f t="shared" si="85"/>
        <v>74083508.57895951</v>
      </c>
      <c r="U72" s="63">
        <f t="shared" si="85"/>
        <v>86821267.557266369</v>
      </c>
      <c r="V72" s="63">
        <f t="shared" si="85"/>
        <v>94623024.473948747</v>
      </c>
      <c r="W72" s="63">
        <f t="shared" si="85"/>
        <v>102349453.66633543</v>
      </c>
      <c r="X72" s="63">
        <f t="shared" si="85"/>
        <v>112046949.97682936</v>
      </c>
      <c r="Y72" s="63">
        <f t="shared" si="85"/>
        <v>119539125.12452593</v>
      </c>
      <c r="Z72" s="63">
        <f t="shared" si="85"/>
        <v>128182100.33600064</v>
      </c>
      <c r="AA72" s="63">
        <f t="shared" si="85"/>
        <v>132717793.26682566</v>
      </c>
      <c r="AB72" s="63">
        <f t="shared" si="85"/>
        <v>137321317.74537092</v>
      </c>
      <c r="AC72" s="63">
        <f t="shared" si="85"/>
        <v>138153071.8825978</v>
      </c>
      <c r="AD72" s="63">
        <f t="shared" si="85"/>
        <v>133154314.8738341</v>
      </c>
    </row>
    <row r="74" spans="1:30" x14ac:dyDescent="0.35">
      <c r="A74" s="88" t="s">
        <v>130</v>
      </c>
      <c r="B74" s="88" t="s">
        <v>157</v>
      </c>
      <c r="C74" s="20">
        <f>NPV('Cost Assumptions'!$B$3,D74:AD74)</f>
        <v>309103531.77830279</v>
      </c>
      <c r="D74" s="63">
        <f>ABS((D50*D61*1000*'Cost Assumptions'!$B$6)/'Cost Assumptions'!$B$14)</f>
        <v>6621897.8890077285</v>
      </c>
      <c r="E74" s="63">
        <f>ABS((E50*E61*1000*'Cost Assumptions'!$B$6)/'Cost Assumptions'!$B$14)</f>
        <v>9025240.0833087191</v>
      </c>
      <c r="F74" s="63">
        <f>ABS((F50*F61*1000*'Cost Assumptions'!$B$6)/'Cost Assumptions'!$B$14)</f>
        <v>11544610.701144125</v>
      </c>
      <c r="G74" s="63">
        <f>ABS((G50*G61*1000*'Cost Assumptions'!$B$6)/'Cost Assumptions'!$B$14)</f>
        <v>14184309.074819231</v>
      </c>
      <c r="H74" s="63">
        <f>ABS((H50*H61*1000*'Cost Assumptions'!$B$6)/'Cost Assumptions'!$B$14)</f>
        <v>16948776.985489886</v>
      </c>
      <c r="I74" s="63">
        <f>ABS((I50*I61*1000*'Cost Assumptions'!$B$6)/'Cost Assumptions'!$B$14)</f>
        <v>19842603.098522302</v>
      </c>
      <c r="J74" s="63">
        <f>ABS((J50*J61*1000*'Cost Assumptions'!$B$6)/'Cost Assumptions'!$B$14)</f>
        <v>22870527.531590406</v>
      </c>
      <c r="K74" s="63">
        <f>ABS((K50*K61*1000*'Cost Assumptions'!$B$6)/'Cost Assumptions'!$B$14)</f>
        <v>26037446.559375346</v>
      </c>
      <c r="L74" s="63">
        <f>ABS((L50*L61*1000*'Cost Assumptions'!$B$6)/'Cost Assumptions'!$B$14)</f>
        <v>29841138.801012903</v>
      </c>
      <c r="M74" s="63">
        <f>ABS((M50*M61*1000*'Cost Assumptions'!$B$6)/'Cost Assumptions'!$B$14)</f>
        <v>32808663.499182958</v>
      </c>
      <c r="N74" s="63">
        <f>ABS((N50*N61*1000*'Cost Assumptions'!$B$6)/'Cost Assumptions'!$B$14)</f>
        <v>36423579.080628879</v>
      </c>
      <c r="O74" s="63">
        <f>ABS((O50*O61*1000*'Cost Assumptions'!$B$6)/'Cost Assumptions'!$B$14)</f>
        <v>40198735.026460111</v>
      </c>
      <c r="P74" s="63">
        <f>ABS((P50*P61*1000*'Cost Assumptions'!$B$6)/'Cost Assumptions'!$B$14)</f>
        <v>44139884.032657534</v>
      </c>
      <c r="Q74" s="63">
        <f>ABS((Q50*Q61*1000*'Cost Assumptions'!$B$6)/'Cost Assumptions'!$B$14)</f>
        <v>48252966.279773265</v>
      </c>
      <c r="R74" s="63">
        <f>ABS((R50*R61*1000*'Cost Assumptions'!$B$6)/'Cost Assumptions'!$B$14)</f>
        <v>52544115.211724363</v>
      </c>
      <c r="S74" s="63">
        <f>ABS((S50*S61*1000*'Cost Assumptions'!$B$6)/'Cost Assumptions'!$B$14)</f>
        <v>57019663.486348182</v>
      </c>
      <c r="T74" s="63">
        <f>ABS((T50*T61*1000*'Cost Assumptions'!$B$6)/'Cost Assumptions'!$B$14)</f>
        <v>61686149.102695853</v>
      </c>
      <c r="U74" s="63">
        <f>ABS((U50*U61*1000*'Cost Assumptions'!$B$6)/'Cost Assumptions'!$B$14)</f>
        <v>66550321.710181929</v>
      </c>
      <c r="V74" s="63">
        <f>ABS((V50*V61*1000*'Cost Assumptions'!$B$6)/'Cost Assumptions'!$B$14)</f>
        <v>71619149.104853138</v>
      </c>
      <c r="W74" s="63">
        <f>ABS((W50*W61*1000*'Cost Assumptions'!$B$6)/'Cost Assumptions'!$B$14)</f>
        <v>76899823.918189034</v>
      </c>
      <c r="X74" s="63">
        <f>ABS((X50*X61*1000*'Cost Assumptions'!$B$6)/'Cost Assumptions'!$B$14)</f>
        <v>82399770.504001215</v>
      </c>
      <c r="Y74" s="63">
        <f>ABS((Y50*Y61*1000*'Cost Assumptions'!$B$6)/'Cost Assumptions'!$B$14)</f>
        <v>93867405.793081671</v>
      </c>
      <c r="Z74" s="63">
        <f>ABS((Z50*Z61*1000*'Cost Assumptions'!$B$6)/'Cost Assumptions'!$B$14)</f>
        <v>105856922.99005112</v>
      </c>
      <c r="AA74" s="63">
        <f>ABS((AA50*AA61*1000*'Cost Assumptions'!$B$6)/'Cost Assumptions'!$B$14)</f>
        <v>118387248.91824836</v>
      </c>
      <c r="AB74" s="63">
        <f>ABS((AB50*AB61*1000*'Cost Assumptions'!$B$6)/'Cost Assumptions'!$B$14)</f>
        <v>131477930.56598669</v>
      </c>
      <c r="AC74" s="63">
        <f>ABS((AC50*AC61*1000*'Cost Assumptions'!$B$6)/'Cost Assumptions'!$B$14)</f>
        <v>145149154.26553807</v>
      </c>
      <c r="AD74" s="63">
        <f>ABS((AD50*AD61*1000*'Cost Assumptions'!$B$6)/'Cost Assumptions'!$B$14)</f>
        <v>159421765.44346324</v>
      </c>
    </row>
    <row r="75" spans="1:30" x14ac:dyDescent="0.35">
      <c r="A75" s="88" t="s">
        <v>132</v>
      </c>
      <c r="B75" s="88" t="s">
        <v>157</v>
      </c>
      <c r="C75" s="20">
        <f>NPV('Cost Assumptions'!$B$3,D75:AD75)</f>
        <v>1273392959.8544135</v>
      </c>
      <c r="D75" s="63">
        <f>ABS((D50*D63*1000*'Cost Assumptions'!$B$7)/'Cost Assumptions'!$B$14)</f>
        <v>27279785.8511209</v>
      </c>
      <c r="E75" s="63">
        <f>ABS((E50*E63*1000*'Cost Assumptions'!$B$7)/'Cost Assumptions'!$B$14)</f>
        <v>37180672.498184308</v>
      </c>
      <c r="F75" s="63">
        <f>ABS((F50*F63*1000*'Cost Assumptions'!$B$7)/'Cost Assumptions'!$B$14)</f>
        <v>47559553.611443922</v>
      </c>
      <c r="G75" s="63">
        <f>ABS((G50*G63*1000*'Cost Assumptions'!$B$7)/'Cost Assumptions'!$B$14)</f>
        <v>58434140.860055134</v>
      </c>
      <c r="H75" s="63">
        <f>ABS((H50*H63*1000*'Cost Assumptions'!$B$7)/'Cost Assumptions'!$B$14)</f>
        <v>69822732.750089809</v>
      </c>
      <c r="I75" s="63">
        <f>ABS((I50*I63*1000*'Cost Assumptions'!$B$7)/'Cost Assumptions'!$B$14)</f>
        <v>81744232.896588638</v>
      </c>
      <c r="J75" s="63">
        <f>ABS((J50*J63*1000*'Cost Assumptions'!$B$7)/'Cost Assumptions'!$B$14)</f>
        <v>94218168.842443585</v>
      </c>
      <c r="K75" s="63">
        <f>ABS((K50*K63*1000*'Cost Assumptions'!$B$7)/'Cost Assumptions'!$B$14)</f>
        <v>107264711.44003093</v>
      </c>
      <c r="L75" s="63">
        <f>ABS((L50*L63*1000*'Cost Assumptions'!$B$7)/'Cost Assumptions'!$B$14)</f>
        <v>122934525.67375529</v>
      </c>
      <c r="M75" s="63">
        <f>ABS((M50*M63*1000*'Cost Assumptions'!$B$7)/'Cost Assumptions'!$B$14)</f>
        <v>135159636.90785828</v>
      </c>
      <c r="N75" s="63">
        <f>ABS((N50*N63*1000*'Cost Assumptions'!$B$7)/'Cost Assumptions'!$B$14)</f>
        <v>150051760.67428231</v>
      </c>
      <c r="O75" s="63">
        <f>ABS((O50*O63*1000*'Cost Assumptions'!$B$7)/'Cost Assumptions'!$B$14)</f>
        <v>165604015.85596013</v>
      </c>
      <c r="P75" s="63">
        <f>ABS((P50*P63*1000*'Cost Assumptions'!$B$7)/'Cost Assumptions'!$B$14)</f>
        <v>181840101.44630048</v>
      </c>
      <c r="Q75" s="63">
        <f>ABS((Q50*Q63*1000*'Cost Assumptions'!$B$7)/'Cost Assumptions'!$B$14)</f>
        <v>198784488.80624774</v>
      </c>
      <c r="R75" s="63">
        <f>ABS((R50*R63*1000*'Cost Assumptions'!$B$7)/'Cost Assumptions'!$B$14)</f>
        <v>216462445.47078848</v>
      </c>
      <c r="S75" s="63">
        <f>ABS((S50*S63*1000*'Cost Assumptions'!$B$7)/'Cost Assumptions'!$B$14)</f>
        <v>234900059.66305235</v>
      </c>
      <c r="T75" s="63">
        <f>ABS((T50*T63*1000*'Cost Assumptions'!$B$7)/'Cost Assumptions'!$B$14)</f>
        <v>254124265.53651026</v>
      </c>
      <c r="U75" s="63">
        <f>ABS((U50*U63*1000*'Cost Assumptions'!$B$7)/'Cost Assumptions'!$B$14)</f>
        <v>274162869.16635156</v>
      </c>
      <c r="V75" s="63">
        <f>ABS((V50*V63*1000*'Cost Assumptions'!$B$7)/'Cost Assumptions'!$B$14)</f>
        <v>295044575.3117246</v>
      </c>
      <c r="W75" s="63">
        <f>ABS((W50*W63*1000*'Cost Assumptions'!$B$7)/'Cost Assumptions'!$B$14)</f>
        <v>316799014.97113734</v>
      </c>
      <c r="X75" s="63">
        <f>ABS((X50*X63*1000*'Cost Assumptions'!$B$7)/'Cost Assumptions'!$B$14)</f>
        <v>339456773.75395095</v>
      </c>
      <c r="Y75" s="63">
        <f>ABS((Y50*Y63*1000*'Cost Assumptions'!$B$7)/'Cost Assumptions'!$B$14)</f>
        <v>386699216.95504189</v>
      </c>
      <c r="Z75" s="63">
        <f>ABS((Z50*Z63*1000*'Cost Assumptions'!$B$7)/'Cost Assumptions'!$B$14)</f>
        <v>436091621.83259118</v>
      </c>
      <c r="AA75" s="63">
        <f>ABS((AA50*AA63*1000*'Cost Assumptions'!$B$7)/'Cost Assumptions'!$B$14)</f>
        <v>487711959.94342077</v>
      </c>
      <c r="AB75" s="63">
        <f>ABS((AB50*AB63*1000*'Cost Assumptions'!$B$7)/'Cost Assumptions'!$B$14)</f>
        <v>541640757.69614661</v>
      </c>
      <c r="AC75" s="63">
        <f>ABS((AC50*AC63*1000*'Cost Assumptions'!$B$7)/'Cost Assumptions'!$B$14)</f>
        <v>597961175.36154413</v>
      </c>
      <c r="AD75" s="63">
        <f>ABS((AD50*AD63*1000*'Cost Assumptions'!$B$7)/'Cost Assumptions'!$B$14)</f>
        <v>656759088.43665159</v>
      </c>
    </row>
    <row r="76" spans="1:30" x14ac:dyDescent="0.35">
      <c r="A76" s="88" t="s">
        <v>24</v>
      </c>
      <c r="B76" s="88" t="s">
        <v>157</v>
      </c>
      <c r="C76" s="20">
        <f>NPV('Cost Assumptions'!$B$3,D76:AD76)</f>
        <v>1582496491.6327162</v>
      </c>
      <c r="D76" s="63">
        <f>SUM(D74:D75)</f>
        <v>33901683.740128629</v>
      </c>
      <c r="E76" s="63">
        <f t="shared" ref="E76:AD76" si="86">SUM(E74:E75)</f>
        <v>46205912.581493028</v>
      </c>
      <c r="F76" s="63">
        <f t="shared" si="86"/>
        <v>59104164.312588051</v>
      </c>
      <c r="G76" s="63">
        <f t="shared" si="86"/>
        <v>72618449.934874371</v>
      </c>
      <c r="H76" s="63">
        <f t="shared" si="86"/>
        <v>86771509.735579699</v>
      </c>
      <c r="I76" s="63">
        <f t="shared" si="86"/>
        <v>101586835.99511094</v>
      </c>
      <c r="J76" s="63">
        <f t="shared" si="86"/>
        <v>117088696.37403399</v>
      </c>
      <c r="K76" s="63">
        <f t="shared" si="86"/>
        <v>133302157.99940628</v>
      </c>
      <c r="L76" s="63">
        <f t="shared" si="86"/>
        <v>152775664.47476819</v>
      </c>
      <c r="M76" s="63">
        <f t="shared" si="86"/>
        <v>167968300.40704125</v>
      </c>
      <c r="N76" s="63">
        <f t="shared" si="86"/>
        <v>186475339.75491118</v>
      </c>
      <c r="O76" s="63">
        <f t="shared" si="86"/>
        <v>205802750.88242024</v>
      </c>
      <c r="P76" s="63">
        <f t="shared" si="86"/>
        <v>225979985.47895801</v>
      </c>
      <c r="Q76" s="63">
        <f t="shared" si="86"/>
        <v>247037455.08602101</v>
      </c>
      <c r="R76" s="63">
        <f t="shared" si="86"/>
        <v>269006560.68251282</v>
      </c>
      <c r="S76" s="63">
        <f t="shared" si="86"/>
        <v>291919723.14940053</v>
      </c>
      <c r="T76" s="63">
        <f t="shared" si="86"/>
        <v>315810414.63920611</v>
      </c>
      <c r="U76" s="63">
        <f t="shared" si="86"/>
        <v>340713190.87653351</v>
      </c>
      <c r="V76" s="63">
        <f t="shared" si="86"/>
        <v>366663724.41657776</v>
      </c>
      <c r="W76" s="63">
        <f t="shared" si="86"/>
        <v>393698838.88932639</v>
      </c>
      <c r="X76" s="63">
        <f t="shared" si="86"/>
        <v>421856544.25795215</v>
      </c>
      <c r="Y76" s="63">
        <f t="shared" si="86"/>
        <v>480566622.74812353</v>
      </c>
      <c r="Z76" s="63">
        <f t="shared" si="86"/>
        <v>541948544.82264233</v>
      </c>
      <c r="AA76" s="63">
        <f t="shared" si="86"/>
        <v>606099208.86166906</v>
      </c>
      <c r="AB76" s="63">
        <f t="shared" si="86"/>
        <v>673118688.26213336</v>
      </c>
      <c r="AC76" s="63">
        <f t="shared" si="86"/>
        <v>743110329.62708223</v>
      </c>
      <c r="AD76" s="63">
        <f t="shared" si="86"/>
        <v>816180853.88011479</v>
      </c>
    </row>
    <row r="77" spans="1:30" x14ac:dyDescent="0.35">
      <c r="A77" s="88"/>
      <c r="B77" s="88"/>
      <c r="C77" s="20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x14ac:dyDescent="0.35">
      <c r="A78" s="88" t="s">
        <v>130</v>
      </c>
      <c r="B78" s="88" t="s">
        <v>164</v>
      </c>
      <c r="C78" s="20">
        <f>NPV('Cost Assumptions'!$B$3,D78:AD78)</f>
        <v>0</v>
      </c>
      <c r="D78" s="63">
        <f>ABS(((MIN(ABS(D51),'Baseline System Analysis'!D14)*D62*1000*'Cost Assumptions'!$B$6)*'Cost Assumptions'!$B$13))</f>
        <v>0</v>
      </c>
      <c r="E78" s="63">
        <f>ABS(((MIN(ABS(E51),'Baseline System Analysis'!E14)*E62*1000*'Cost Assumptions'!$B$6)*'Cost Assumptions'!$B$13))</f>
        <v>0</v>
      </c>
      <c r="F78" s="63">
        <f>ABS(((MIN(ABS(F51),'Baseline System Analysis'!F14)*F62*1000*'Cost Assumptions'!$B$6)*'Cost Assumptions'!$B$13))</f>
        <v>0</v>
      </c>
      <c r="G78" s="63">
        <f>ABS(((MIN(ABS(G51),'Baseline System Analysis'!G14)*G62*1000*'Cost Assumptions'!$B$6)*'Cost Assumptions'!$B$13))</f>
        <v>0</v>
      </c>
      <c r="H78" s="63">
        <f>ABS(((MIN(ABS(H51),'Baseline System Analysis'!H14)*H62*1000*'Cost Assumptions'!$B$6)*'Cost Assumptions'!$B$13))</f>
        <v>0</v>
      </c>
      <c r="I78" s="63">
        <f>ABS(((MIN(ABS(I51),'Baseline System Analysis'!I14)*I62*1000*'Cost Assumptions'!$B$6)*'Cost Assumptions'!$B$13))</f>
        <v>0</v>
      </c>
      <c r="J78" s="63">
        <f>ABS(((MIN(ABS(J51),'Baseline System Analysis'!J14)*J62*1000*'Cost Assumptions'!$B$6)*'Cost Assumptions'!$B$13))</f>
        <v>0</v>
      </c>
      <c r="K78" s="63">
        <f>ABS(((MIN(ABS(K51),'Baseline System Analysis'!K14)*K62*1000*'Cost Assumptions'!$B$6)*'Cost Assumptions'!$B$13))</f>
        <v>0</v>
      </c>
      <c r="L78" s="63">
        <f>ABS(((MIN(ABS(L51),'Baseline System Analysis'!L14)*L62*1000*'Cost Assumptions'!$B$6)*'Cost Assumptions'!$B$13))</f>
        <v>0</v>
      </c>
      <c r="M78" s="63">
        <f>ABS(((MIN(ABS(M51),'Baseline System Analysis'!M14)*M62*1000*'Cost Assumptions'!$B$6)*'Cost Assumptions'!$B$13))</f>
        <v>0</v>
      </c>
      <c r="N78" s="63">
        <f>ABS(((MIN(ABS(N51),'Baseline System Analysis'!N14)*N62*1000*'Cost Assumptions'!$B$6)*'Cost Assumptions'!$B$13))</f>
        <v>0</v>
      </c>
      <c r="O78" s="63">
        <f>ABS(((MIN(ABS(O51),'Baseline System Analysis'!O14)*O62*1000*'Cost Assumptions'!$B$6)*'Cost Assumptions'!$B$13))</f>
        <v>0</v>
      </c>
      <c r="P78" s="63">
        <f>ABS(((MIN(ABS(P51),'Baseline System Analysis'!P14)*P62*1000*'Cost Assumptions'!$B$6)*'Cost Assumptions'!$B$13))</f>
        <v>0</v>
      </c>
      <c r="Q78" s="63">
        <f>ABS(((MIN(ABS(Q51),'Baseline System Analysis'!Q14)*Q62*1000*'Cost Assumptions'!$B$6)*'Cost Assumptions'!$B$13))</f>
        <v>0</v>
      </c>
      <c r="R78" s="63">
        <f>ABS(((MIN(ABS(R51),'Baseline System Analysis'!R14)*R62*1000*'Cost Assumptions'!$B$6)*'Cost Assumptions'!$B$13))</f>
        <v>0</v>
      </c>
      <c r="S78" s="63">
        <f>ABS(((MIN(ABS(S51),'Baseline System Analysis'!S14)*S62*1000*'Cost Assumptions'!$B$6)*'Cost Assumptions'!$B$13))</f>
        <v>0</v>
      </c>
      <c r="T78" s="63">
        <f>ABS(((MIN(ABS(T51),'Baseline System Analysis'!T14)*T62*1000*'Cost Assumptions'!$B$6)*'Cost Assumptions'!$B$13))</f>
        <v>0</v>
      </c>
      <c r="U78" s="63">
        <f>ABS(((MIN(ABS(U51),'Baseline System Analysis'!U14)*U62*1000*'Cost Assumptions'!$B$6)*'Cost Assumptions'!$B$13))</f>
        <v>0</v>
      </c>
      <c r="V78" s="63">
        <f>ABS(((MIN(ABS(V51),'Baseline System Analysis'!V14)*V62*1000*'Cost Assumptions'!$B$6)*'Cost Assumptions'!$B$13))</f>
        <v>0</v>
      </c>
      <c r="W78" s="63">
        <f>ABS(((MIN(ABS(W51),'Baseline System Analysis'!W14)*W62*1000*'Cost Assumptions'!$B$6)*'Cost Assumptions'!$B$13))</f>
        <v>0</v>
      </c>
      <c r="X78" s="63">
        <f>ABS(((MIN(ABS(X51),'Baseline System Analysis'!X14)*X62*1000*'Cost Assumptions'!$B$6)*'Cost Assumptions'!$B$13))</f>
        <v>0</v>
      </c>
      <c r="Y78" s="63">
        <f>ABS(((MIN(ABS(Y51),'Baseline System Analysis'!Y14)*Y62*1000*'Cost Assumptions'!$B$6)*'Cost Assumptions'!$B$13))</f>
        <v>0</v>
      </c>
      <c r="Z78" s="63">
        <f>ABS(((MIN(ABS(Z51),'Baseline System Analysis'!Z14)*Z62*1000*'Cost Assumptions'!$B$6)*'Cost Assumptions'!$B$13))</f>
        <v>0</v>
      </c>
      <c r="AA78" s="63">
        <f>ABS(((MIN(ABS(AA51),'Baseline System Analysis'!AA14)*AA62*1000*'Cost Assumptions'!$B$6)*'Cost Assumptions'!$B$13))</f>
        <v>0</v>
      </c>
      <c r="AB78" s="63">
        <f>ABS(((MIN(ABS(AB51),'Baseline System Analysis'!AB14)*AB62*1000*'Cost Assumptions'!$B$6)*'Cost Assumptions'!$B$13))</f>
        <v>0</v>
      </c>
      <c r="AC78" s="63">
        <f>ABS(((MIN(ABS(AC51),'Baseline System Analysis'!AC14)*AC62*1000*'Cost Assumptions'!$B$6)*'Cost Assumptions'!$B$13))</f>
        <v>0</v>
      </c>
      <c r="AD78" s="63">
        <f>ABS(((MIN(ABS(AD51),'Baseline System Analysis'!AD14)*AD62*1000*'Cost Assumptions'!$B$6)*'Cost Assumptions'!$B$13))</f>
        <v>0</v>
      </c>
    </row>
    <row r="79" spans="1:30" x14ac:dyDescent="0.35">
      <c r="A79" s="88" t="s">
        <v>132</v>
      </c>
      <c r="B79" s="88" t="s">
        <v>164</v>
      </c>
      <c r="C79" s="20">
        <f>NPV('Cost Assumptions'!$B$3,D79:AD79)</f>
        <v>0</v>
      </c>
      <c r="D79" s="63">
        <f>ABS(((MIN(ABS(D51),'Baseline System Analysis'!D14)*D64*1000*'Cost Assumptions'!$B$6)*'Cost Assumptions'!$B$13))</f>
        <v>0</v>
      </c>
      <c r="E79" s="63">
        <f>ABS(((MIN(ABS(E51),'Baseline System Analysis'!E14)*E64*1000*'Cost Assumptions'!$B$6)*'Cost Assumptions'!$B$13))</f>
        <v>0</v>
      </c>
      <c r="F79" s="63">
        <f>ABS(((MIN(ABS(F51),'Baseline System Analysis'!F14)*F64*1000*'Cost Assumptions'!$B$6)*'Cost Assumptions'!$B$13))</f>
        <v>0</v>
      </c>
      <c r="G79" s="63">
        <f>ABS(((MIN(ABS(G51),'Baseline System Analysis'!G14)*G64*1000*'Cost Assumptions'!$B$6)*'Cost Assumptions'!$B$13))</f>
        <v>0</v>
      </c>
      <c r="H79" s="63">
        <f>ABS(((MIN(ABS(H51),'Baseline System Analysis'!H14)*H64*1000*'Cost Assumptions'!$B$6)*'Cost Assumptions'!$B$13))</f>
        <v>0</v>
      </c>
      <c r="I79" s="63">
        <f>ABS(((MIN(ABS(I51),'Baseline System Analysis'!I14)*I64*1000*'Cost Assumptions'!$B$6)*'Cost Assumptions'!$B$13))</f>
        <v>0</v>
      </c>
      <c r="J79" s="63">
        <f>ABS(((MIN(ABS(J51),'Baseline System Analysis'!J14)*J64*1000*'Cost Assumptions'!$B$6)*'Cost Assumptions'!$B$13))</f>
        <v>0</v>
      </c>
      <c r="K79" s="63">
        <f>ABS(((MIN(ABS(K51),'Baseline System Analysis'!K14)*K64*1000*'Cost Assumptions'!$B$6)*'Cost Assumptions'!$B$13))</f>
        <v>0</v>
      </c>
      <c r="L79" s="63">
        <f>ABS(((MIN(ABS(L51),'Baseline System Analysis'!L14)*L64*1000*'Cost Assumptions'!$B$6)*'Cost Assumptions'!$B$13))</f>
        <v>0</v>
      </c>
      <c r="M79" s="63">
        <f>ABS(((MIN(ABS(M51),'Baseline System Analysis'!M14)*M64*1000*'Cost Assumptions'!$B$6)*'Cost Assumptions'!$B$13))</f>
        <v>0</v>
      </c>
      <c r="N79" s="63">
        <f>ABS(((MIN(ABS(N51),'Baseline System Analysis'!N14)*N64*1000*'Cost Assumptions'!$B$6)*'Cost Assumptions'!$B$13))</f>
        <v>0</v>
      </c>
      <c r="O79" s="63">
        <f>ABS(((MIN(ABS(O51),'Baseline System Analysis'!O14)*O64*1000*'Cost Assumptions'!$B$6)*'Cost Assumptions'!$B$13))</f>
        <v>0</v>
      </c>
      <c r="P79" s="63">
        <f>ABS(((MIN(ABS(P51),'Baseline System Analysis'!P14)*P64*1000*'Cost Assumptions'!$B$6)*'Cost Assumptions'!$B$13))</f>
        <v>0</v>
      </c>
      <c r="Q79" s="63">
        <f>ABS(((MIN(ABS(Q51),'Baseline System Analysis'!Q14)*Q64*1000*'Cost Assumptions'!$B$6)*'Cost Assumptions'!$B$13))</f>
        <v>0</v>
      </c>
      <c r="R79" s="63">
        <f>ABS(((MIN(ABS(R51),'Baseline System Analysis'!R14)*R64*1000*'Cost Assumptions'!$B$6)*'Cost Assumptions'!$B$13))</f>
        <v>0</v>
      </c>
      <c r="S79" s="63">
        <f>ABS(((MIN(ABS(S51),'Baseline System Analysis'!S14)*S64*1000*'Cost Assumptions'!$B$6)*'Cost Assumptions'!$B$13))</f>
        <v>0</v>
      </c>
      <c r="T79" s="63">
        <f>ABS(((MIN(ABS(T51),'Baseline System Analysis'!T14)*T64*1000*'Cost Assumptions'!$B$6)*'Cost Assumptions'!$B$13))</f>
        <v>0</v>
      </c>
      <c r="U79" s="63">
        <f>ABS(((MIN(ABS(U51),'Baseline System Analysis'!U14)*U64*1000*'Cost Assumptions'!$B$6)*'Cost Assumptions'!$B$13))</f>
        <v>0</v>
      </c>
      <c r="V79" s="63">
        <f>ABS(((MIN(ABS(V51),'Baseline System Analysis'!V14)*V64*1000*'Cost Assumptions'!$B$6)*'Cost Assumptions'!$B$13))</f>
        <v>0</v>
      </c>
      <c r="W79" s="63">
        <f>ABS(((MIN(ABS(W51),'Baseline System Analysis'!W14)*W64*1000*'Cost Assumptions'!$B$6)*'Cost Assumptions'!$B$13))</f>
        <v>0</v>
      </c>
      <c r="X79" s="63">
        <f>ABS(((MIN(ABS(X51),'Baseline System Analysis'!X14)*X64*1000*'Cost Assumptions'!$B$6)*'Cost Assumptions'!$B$13))</f>
        <v>0</v>
      </c>
      <c r="Y79" s="63">
        <f>ABS(((MIN(ABS(Y51),'Baseline System Analysis'!Y14)*Y64*1000*'Cost Assumptions'!$B$6)*'Cost Assumptions'!$B$13))</f>
        <v>0</v>
      </c>
      <c r="Z79" s="63">
        <f>ABS(((MIN(ABS(Z51),'Baseline System Analysis'!Z14)*Z64*1000*'Cost Assumptions'!$B$6)*'Cost Assumptions'!$B$13))</f>
        <v>0</v>
      </c>
      <c r="AA79" s="63">
        <f>ABS(((MIN(ABS(AA51),'Baseline System Analysis'!AA14)*AA64*1000*'Cost Assumptions'!$B$6)*'Cost Assumptions'!$B$13))</f>
        <v>0</v>
      </c>
      <c r="AB79" s="63">
        <f>ABS(((MIN(ABS(AB51),'Baseline System Analysis'!AB14)*AB64*1000*'Cost Assumptions'!$B$6)*'Cost Assumptions'!$B$13))</f>
        <v>0</v>
      </c>
      <c r="AC79" s="63">
        <f>ABS(((MIN(ABS(AC51),'Baseline System Analysis'!AC14)*AC64*1000*'Cost Assumptions'!$B$6)*'Cost Assumptions'!$B$13))</f>
        <v>0</v>
      </c>
      <c r="AD79" s="63">
        <f>ABS(((MIN(ABS(AD51),'Baseline System Analysis'!AD14)*AD64*1000*'Cost Assumptions'!$B$6)*'Cost Assumptions'!$B$13))</f>
        <v>0</v>
      </c>
    </row>
    <row r="80" spans="1:30" s="62" customFormat="1" ht="29" x14ac:dyDescent="0.35">
      <c r="A80" s="3" t="s">
        <v>159</v>
      </c>
      <c r="B80" s="88" t="s">
        <v>164</v>
      </c>
      <c r="C80" s="20">
        <f>NPV('Cost Assumptions'!$B$3,D80:AD80)</f>
        <v>0</v>
      </c>
      <c r="D80" s="63">
        <f>SUM(D78:D79)</f>
        <v>0</v>
      </c>
      <c r="E80" s="63">
        <f t="shared" ref="E80:AD80" si="87">SUM(E78:E79)</f>
        <v>0</v>
      </c>
      <c r="F80" s="63">
        <f t="shared" si="87"/>
        <v>0</v>
      </c>
      <c r="G80" s="63">
        <f t="shared" si="87"/>
        <v>0</v>
      </c>
      <c r="H80" s="63">
        <f t="shared" si="87"/>
        <v>0</v>
      </c>
      <c r="I80" s="63">
        <f t="shared" si="87"/>
        <v>0</v>
      </c>
      <c r="J80" s="63">
        <f t="shared" si="87"/>
        <v>0</v>
      </c>
      <c r="K80" s="63">
        <f t="shared" si="87"/>
        <v>0</v>
      </c>
      <c r="L80" s="63">
        <f t="shared" si="87"/>
        <v>0</v>
      </c>
      <c r="M80" s="63">
        <f t="shared" si="87"/>
        <v>0</v>
      </c>
      <c r="N80" s="63">
        <f t="shared" si="87"/>
        <v>0</v>
      </c>
      <c r="O80" s="63">
        <f t="shared" si="87"/>
        <v>0</v>
      </c>
      <c r="P80" s="63">
        <f t="shared" si="87"/>
        <v>0</v>
      </c>
      <c r="Q80" s="63">
        <f t="shared" si="87"/>
        <v>0</v>
      </c>
      <c r="R80" s="63">
        <f t="shared" si="87"/>
        <v>0</v>
      </c>
      <c r="S80" s="63">
        <f t="shared" si="87"/>
        <v>0</v>
      </c>
      <c r="T80" s="63">
        <f t="shared" si="87"/>
        <v>0</v>
      </c>
      <c r="U80" s="63">
        <f t="shared" si="87"/>
        <v>0</v>
      </c>
      <c r="V80" s="63">
        <f t="shared" si="87"/>
        <v>0</v>
      </c>
      <c r="W80" s="63">
        <f t="shared" si="87"/>
        <v>0</v>
      </c>
      <c r="X80" s="63">
        <f t="shared" si="87"/>
        <v>0</v>
      </c>
      <c r="Y80" s="63">
        <f t="shared" si="87"/>
        <v>0</v>
      </c>
      <c r="Z80" s="63">
        <f t="shared" si="87"/>
        <v>0</v>
      </c>
      <c r="AA80" s="63">
        <f t="shared" si="87"/>
        <v>0</v>
      </c>
      <c r="AB80" s="63">
        <f t="shared" si="87"/>
        <v>0</v>
      </c>
      <c r="AC80" s="63">
        <f t="shared" si="87"/>
        <v>0</v>
      </c>
      <c r="AD80" s="63">
        <f t="shared" si="87"/>
        <v>0</v>
      </c>
    </row>
    <row r="81" spans="1:30" s="62" customFormat="1" x14ac:dyDescent="0.35">
      <c r="A81" s="3"/>
      <c r="B81" s="88"/>
      <c r="C81" s="20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2" customFormat="1" ht="29" x14ac:dyDescent="0.35">
      <c r="A82" s="3" t="s">
        <v>160</v>
      </c>
      <c r="B82" s="88" t="s">
        <v>161</v>
      </c>
      <c r="C82" s="20">
        <f>NPV('Cost Assumptions'!$B$3,D82:AD82)</f>
        <v>175568847.88828719</v>
      </c>
      <c r="D82" s="63">
        <f>('Baseline System Analysis'!D42-D37)</f>
        <v>11220653.292733105</v>
      </c>
      <c r="E82" s="63">
        <f>('Baseline System Analysis'!E42-E37)</f>
        <v>12144894.242926663</v>
      </c>
      <c r="F82" s="63">
        <f>('Baseline System Analysis'!F42-F37)</f>
        <v>12786906.835430916</v>
      </c>
      <c r="G82" s="63">
        <f>('Baseline System Analysis'!G42-G37)</f>
        <v>13548988.63648127</v>
      </c>
      <c r="H82" s="63">
        <f>('Baseline System Analysis'!H42-H37)</f>
        <v>14198598.168851539</v>
      </c>
      <c r="I82" s="63">
        <f>('Baseline System Analysis'!I42-I37)</f>
        <v>15000919.041780714</v>
      </c>
      <c r="J82" s="63">
        <f>('Baseline System Analysis'!J42-J37)</f>
        <v>15909040.459199362</v>
      </c>
      <c r="K82" s="63">
        <f>('Baseline System Analysis'!K42-K37)</f>
        <v>16834711.499928072</v>
      </c>
      <c r="L82" s="63">
        <f>('Baseline System Analysis'!L42-L37)</f>
        <v>17913721.538628906</v>
      </c>
      <c r="M82" s="63">
        <f>('Baseline System Analysis'!M42-M37)</f>
        <v>19199934.429166906</v>
      </c>
      <c r="N82" s="63">
        <f>('Baseline System Analysis'!N42-N37)</f>
        <v>20113909.105925448</v>
      </c>
      <c r="O82" s="63">
        <f>('Baseline System Analysis'!O42-O37)</f>
        <v>21304230.047225248</v>
      </c>
      <c r="P82" s="63">
        <f>('Baseline System Analysis'!P42-P37)</f>
        <v>22569755.278816275</v>
      </c>
      <c r="Q82" s="63">
        <f>('Baseline System Analysis'!Q42-Q37)</f>
        <v>23956380.495810196</v>
      </c>
      <c r="R82" s="63">
        <f>('Baseline System Analysis'!R42-R37)</f>
        <v>25296897.755682193</v>
      </c>
      <c r="S82" s="63">
        <f>('Baseline System Analysis'!S42-S37)</f>
        <v>26952539.311523363</v>
      </c>
      <c r="T82" s="63">
        <f>('Baseline System Analysis'!T42-T37)</f>
        <v>28393160.81304479</v>
      </c>
      <c r="U82" s="63">
        <f>('Baseline System Analysis'!U42-U37)</f>
        <v>29763730.613962401</v>
      </c>
      <c r="V82" s="63">
        <f>('Baseline System Analysis'!V42-V37)</f>
        <v>31534269.371617243</v>
      </c>
      <c r="W82" s="63">
        <f>('Baseline System Analysis'!W42-W37)</f>
        <v>33150927.659656551</v>
      </c>
      <c r="X82" s="63">
        <f>('Baseline System Analysis'!X42-X37)</f>
        <v>34881141.395379439</v>
      </c>
      <c r="Y82" s="63">
        <f>('Baseline System Analysis'!Y42-Y37)</f>
        <v>36682729.525877863</v>
      </c>
      <c r="Z82" s="63">
        <f>('Baseline System Analysis'!Z42-Z37)</f>
        <v>38269131.449534416</v>
      </c>
      <c r="AA82" s="63">
        <f>('Baseline System Analysis'!AA42-AA37)</f>
        <v>40074160.347676061</v>
      </c>
      <c r="AB82" s="63">
        <f>('Baseline System Analysis'!AB42-AB37)</f>
        <v>41880907.301161543</v>
      </c>
      <c r="AC82" s="63">
        <f>('Baseline System Analysis'!AC42-AC37)</f>
        <v>43418755.626572527</v>
      </c>
      <c r="AD82" s="63">
        <f>('Baseline System Analysis'!AD42-AD37)</f>
        <v>45077255.178914092</v>
      </c>
    </row>
    <row r="84" spans="1:30" s="62" customFormat="1" ht="20" thickBot="1" x14ac:dyDescent="0.5">
      <c r="A84" s="142" t="s">
        <v>74</v>
      </c>
      <c r="B84" s="142"/>
      <c r="C84" s="20">
        <f>NPV('Cost Assumptions'!$B$3,D84:AD84)/1000000</f>
        <v>2011.6692146605451</v>
      </c>
      <c r="D84" s="63">
        <f>SUM(D68,D72,D76,D80,D82)</f>
        <v>46186472.936174095</v>
      </c>
      <c r="E84" s="63">
        <f t="shared" ref="E84:AD84" si="88">SUM(E68,E72,E76,E80,E82)</f>
        <v>61030592.061198011</v>
      </c>
      <c r="F84" s="63">
        <f t="shared" si="88"/>
        <v>75823539.285448611</v>
      </c>
      <c r="G84" s="63">
        <f t="shared" si="88"/>
        <v>91447106.155485958</v>
      </c>
      <c r="H84" s="63">
        <f t="shared" si="88"/>
        <v>107619790.05783944</v>
      </c>
      <c r="I84" s="63">
        <f t="shared" si="88"/>
        <v>123194813.7653798</v>
      </c>
      <c r="J84" s="63">
        <f t="shared" si="88"/>
        <v>142105404.56635657</v>
      </c>
      <c r="K84" s="63">
        <f t="shared" si="88"/>
        <v>162257739.35120577</v>
      </c>
      <c r="L84" s="63">
        <f t="shared" si="88"/>
        <v>184793009.43971539</v>
      </c>
      <c r="M84" s="63">
        <f t="shared" si="88"/>
        <v>202913752.32648915</v>
      </c>
      <c r="N84" s="63">
        <f t="shared" si="88"/>
        <v>226322086.3235161</v>
      </c>
      <c r="O84" s="63">
        <f t="shared" si="88"/>
        <v>251095372.90185794</v>
      </c>
      <c r="P84" s="63">
        <f t="shared" si="88"/>
        <v>279742904.21720433</v>
      </c>
      <c r="Q84" s="63">
        <f t="shared" si="88"/>
        <v>309393513.04897088</v>
      </c>
      <c r="R84" s="63">
        <f t="shared" si="88"/>
        <v>343290896.12752134</v>
      </c>
      <c r="S84" s="63">
        <f t="shared" si="88"/>
        <v>380058810.30169201</v>
      </c>
      <c r="T84" s="63">
        <f t="shared" si="88"/>
        <v>418636081.50620544</v>
      </c>
      <c r="U84" s="63">
        <f t="shared" si="88"/>
        <v>457838393.99062335</v>
      </c>
      <c r="V84" s="63">
        <f t="shared" si="88"/>
        <v>493552430.67287081</v>
      </c>
      <c r="W84" s="63">
        <f t="shared" si="88"/>
        <v>530121840.09391141</v>
      </c>
      <c r="X84" s="63">
        <f t="shared" si="88"/>
        <v>569898462.97662008</v>
      </c>
      <c r="Y84" s="63">
        <f t="shared" si="88"/>
        <v>638093512.21285236</v>
      </c>
      <c r="Z84" s="63">
        <f t="shared" si="88"/>
        <v>710113763.75942683</v>
      </c>
      <c r="AA84" s="63">
        <f t="shared" si="88"/>
        <v>781014101.9643445</v>
      </c>
      <c r="AB84" s="63">
        <f t="shared" si="88"/>
        <v>854852805.13376379</v>
      </c>
      <c r="AC84" s="63">
        <f t="shared" si="88"/>
        <v>927623001.29827487</v>
      </c>
      <c r="AD84" s="63">
        <f t="shared" si="88"/>
        <v>997762220.43180966</v>
      </c>
    </row>
    <row r="85" spans="1:30" s="62" customFormat="1" ht="20.5" thickTop="1" thickBot="1" x14ac:dyDescent="0.5">
      <c r="A85" s="142" t="s">
        <v>169</v>
      </c>
      <c r="B85" s="142"/>
      <c r="C85" s="20">
        <f>NPV('Cost Assumptions'!$B$3,D85:AD85)/1000000</f>
        <v>2011.9399185666377</v>
      </c>
      <c r="D85" s="63">
        <f>D84+D44</f>
        <v>46200024.936174057</v>
      </c>
      <c r="E85" s="63">
        <f t="shared" ref="E85:AD85" si="89">E84+E44</f>
        <v>61045659.521774903</v>
      </c>
      <c r="F85" s="63">
        <f t="shared" si="89"/>
        <v>75840189.509631276</v>
      </c>
      <c r="G85" s="63">
        <f t="shared" si="89"/>
        <v>91465408.864291817</v>
      </c>
      <c r="H85" s="63">
        <f t="shared" si="89"/>
        <v>107639817.46910954</v>
      </c>
      <c r="I85" s="63">
        <f t="shared" si="89"/>
        <v>123216640.67504436</v>
      </c>
      <c r="J85" s="63">
        <f>J84+J44</f>
        <v>142129108.43220326</v>
      </c>
      <c r="K85" s="63">
        <f t="shared" si="89"/>
        <v>162283400.37922516</v>
      </c>
      <c r="L85" s="63">
        <f t="shared" si="89"/>
        <v>184820710.67309994</v>
      </c>
      <c r="M85" s="63">
        <f t="shared" si="89"/>
        <v>202943579.73736465</v>
      </c>
      <c r="N85" s="63">
        <f t="shared" si="89"/>
        <v>226354128.9074862</v>
      </c>
      <c r="O85" s="63">
        <f t="shared" si="89"/>
        <v>251129722.77544558</v>
      </c>
      <c r="P85" s="63">
        <f t="shared" si="89"/>
        <v>279779656.71827543</v>
      </c>
      <c r="Q85" s="63">
        <f t="shared" si="89"/>
        <v>309432766.84022856</v>
      </c>
      <c r="R85" s="63">
        <f t="shared" si="89"/>
        <v>343332753.3031618</v>
      </c>
      <c r="S85" s="63">
        <f t="shared" si="89"/>
        <v>380103376.49731487</v>
      </c>
      <c r="T85" s="63">
        <f t="shared" si="89"/>
        <v>418683466.01207501</v>
      </c>
      <c r="U85" s="63">
        <f t="shared" si="89"/>
        <v>457888709.86837971</v>
      </c>
      <c r="V85" s="63">
        <f t="shared" si="89"/>
        <v>493605794.87579215</v>
      </c>
      <c r="W85" s="63">
        <f t="shared" si="89"/>
        <v>530178373.59083235</v>
      </c>
      <c r="X85" s="63">
        <f t="shared" si="89"/>
        <v>569958290.87961376</v>
      </c>
      <c r="Y85" s="63">
        <f t="shared" si="89"/>
        <v>638156804.28335059</v>
      </c>
      <c r="Z85" s="63">
        <f t="shared" si="89"/>
        <v>710180655.81336558</v>
      </c>
      <c r="AA85" s="63">
        <f t="shared" si="89"/>
        <v>781084734.44335163</v>
      </c>
      <c r="AB85" s="63">
        <f t="shared" si="89"/>
        <v>854927323.2515589</v>
      </c>
      <c r="AC85" s="63">
        <f t="shared" si="89"/>
        <v>927701555.19149816</v>
      </c>
      <c r="AD85" s="63">
        <f t="shared" si="89"/>
        <v>997845878.91766882</v>
      </c>
    </row>
    <row r="86" spans="1:30" ht="15" thickTop="1" x14ac:dyDescent="0.3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20" thickBot="1" x14ac:dyDescent="0.5">
      <c r="A87" s="142" t="s">
        <v>163</v>
      </c>
      <c r="B87" s="142"/>
      <c r="C87" s="20">
        <f>Summary!$D$12</f>
        <v>201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15" thickTop="1" x14ac:dyDescent="0.35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20" thickBot="1" x14ac:dyDescent="0.5">
      <c r="A89" s="142" t="s">
        <v>7</v>
      </c>
      <c r="B89" s="142"/>
      <c r="C89" s="53">
        <f>C85/C87</f>
        <v>10.009651336152427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ht="15" thickTop="1" x14ac:dyDescent="0.35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</row>
    <row r="91" spans="1:30" s="62" customFormat="1" ht="42.65" customHeight="1" thickBot="1" x14ac:dyDescent="0.5">
      <c r="A91" s="170" t="s">
        <v>168</v>
      </c>
      <c r="B91" s="170"/>
      <c r="C91" s="88"/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f>2998934.69920191/1000</f>
        <v>2998.93469920191</v>
      </c>
      <c r="Z91" s="63">
        <f>3033902.00303228/1000</f>
        <v>3033.9020030322799</v>
      </c>
      <c r="AA91" s="63">
        <f>3068869.30686265/1000</f>
        <v>3068.8693068626499</v>
      </c>
      <c r="AB91" s="63">
        <f>3103836.61069302/1000</f>
        <v>3103.8366106930198</v>
      </c>
      <c r="AC91" s="63">
        <f>3139343.87809291/1000</f>
        <v>3139.34387809291</v>
      </c>
      <c r="AD91" s="63">
        <f>3174851.1454928/1000</f>
        <v>3174.8511454928002</v>
      </c>
    </row>
    <row r="92" spans="1:30" ht="15" thickTop="1" x14ac:dyDescent="0.35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</row>
    <row r="93" spans="1:30" x14ac:dyDescent="0.35">
      <c r="A93" s="88"/>
      <c r="B93" s="88"/>
      <c r="C93" s="88"/>
      <c r="D93" s="7">
        <v>4.7341499999999979</v>
      </c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</row>
    <row r="94" spans="1:30" x14ac:dyDescent="0.35">
      <c r="A94" s="88"/>
      <c r="B94" s="88"/>
      <c r="C94" s="88"/>
      <c r="D94" s="7">
        <v>251.55361270764803</v>
      </c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  <row r="95" spans="1:30" x14ac:dyDescent="0.35">
      <c r="A95" s="88"/>
      <c r="B95" s="88"/>
      <c r="C95" s="88"/>
      <c r="D95" s="7">
        <v>0</v>
      </c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</row>
    <row r="96" spans="1:30" x14ac:dyDescent="0.35">
      <c r="A96" s="88"/>
      <c r="B96" s="88"/>
      <c r="C96" s="88"/>
      <c r="D96" s="7">
        <v>1848.4207520057885</v>
      </c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</row>
    <row r="97" spans="4:4" x14ac:dyDescent="0.35">
      <c r="D97" s="7">
        <v>45.850483181818184</v>
      </c>
    </row>
  </sheetData>
  <mergeCells count="9">
    <mergeCell ref="B18:B32"/>
    <mergeCell ref="B2:B15"/>
    <mergeCell ref="A91:B91"/>
    <mergeCell ref="B41:AD41"/>
    <mergeCell ref="A59:AD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96"/>
  <sheetViews>
    <sheetView zoomScale="78" zoomScaleNormal="78" workbookViewId="0"/>
  </sheetViews>
  <sheetFormatPr defaultRowHeight="14.5" x14ac:dyDescent="0.35"/>
  <cols>
    <col min="1" max="1" width="23.453125" customWidth="1"/>
    <col min="2" max="2" width="31.1796875" customWidth="1"/>
    <col min="3" max="3" width="14.81640625" bestFit="1" customWidth="1"/>
    <col min="4" max="6" width="14.81640625" customWidth="1"/>
    <col min="7" max="7" width="12.81640625" customWidth="1"/>
    <col min="8" max="12" width="13.54296875" bestFit="1" customWidth="1"/>
    <col min="13" max="13" width="19.26953125" customWidth="1"/>
    <col min="14" max="15" width="14.7265625" bestFit="1" customWidth="1"/>
    <col min="16" max="16" width="16" bestFit="1" customWidth="1"/>
    <col min="17" max="29" width="14.7265625" bestFit="1" customWidth="1"/>
    <col min="30" max="30" width="18.26953125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8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9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9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9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9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9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9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9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9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9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9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9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9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9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7" spans="1:31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  <c r="AE17" s="88"/>
    </row>
    <row r="18" spans="1:31" ht="15" thickTop="1" x14ac:dyDescent="0.35">
      <c r="A18" s="88"/>
      <c r="B18" s="168" t="s">
        <v>18</v>
      </c>
      <c r="C18" s="88" t="s">
        <v>120</v>
      </c>
      <c r="D18" s="63">
        <v>48898.025000000453</v>
      </c>
      <c r="E18" s="63">
        <f>D18+(($AD18-$D$18)/(COLUMN($AD18)-COLUMN($D$18)))</f>
        <v>49299.65961538507</v>
      </c>
      <c r="F18" s="63">
        <f>E18+(($AD18-$D$18)/(COLUMN($AD18)-COLUMN($D$18)))</f>
        <v>49701.294230769687</v>
      </c>
      <c r="G18" s="63">
        <f t="shared" ref="G18:AC18" si="0">F18+(($AD18-$D$18)/(COLUMN($AD18)-COLUMN($D$18)))</f>
        <v>50102.928846154304</v>
      </c>
      <c r="H18" s="63">
        <f t="shared" si="0"/>
        <v>50504.563461538921</v>
      </c>
      <c r="I18" s="63">
        <f t="shared" si="0"/>
        <v>50906.198076923538</v>
      </c>
      <c r="J18" s="63">
        <f t="shared" si="0"/>
        <v>51307.832692308155</v>
      </c>
      <c r="K18" s="63">
        <f t="shared" si="0"/>
        <v>51709.467307692772</v>
      </c>
      <c r="L18" s="63">
        <f t="shared" si="0"/>
        <v>52111.101923077389</v>
      </c>
      <c r="M18" s="63">
        <f t="shared" si="0"/>
        <v>52512.736538462006</v>
      </c>
      <c r="N18" s="63">
        <f t="shared" si="0"/>
        <v>52914.371153846623</v>
      </c>
      <c r="O18" s="63">
        <f t="shared" si="0"/>
        <v>53316.00576923124</v>
      </c>
      <c r="P18" s="63">
        <f t="shared" si="0"/>
        <v>53717.640384615857</v>
      </c>
      <c r="Q18" s="63">
        <f t="shared" si="0"/>
        <v>54119.275000000474</v>
      </c>
      <c r="R18" s="63">
        <f t="shared" si="0"/>
        <v>54520.909615385091</v>
      </c>
      <c r="S18" s="63">
        <f t="shared" si="0"/>
        <v>54922.544230769709</v>
      </c>
      <c r="T18" s="63">
        <f t="shared" si="0"/>
        <v>55324.178846154326</v>
      </c>
      <c r="U18" s="63">
        <f t="shared" si="0"/>
        <v>55725.813461538943</v>
      </c>
      <c r="V18" s="63">
        <f t="shared" si="0"/>
        <v>56127.44807692356</v>
      </c>
      <c r="W18" s="63">
        <f t="shared" si="0"/>
        <v>56529.082692308177</v>
      </c>
      <c r="X18" s="63">
        <f t="shared" si="0"/>
        <v>56930.717307692794</v>
      </c>
      <c r="Y18" s="63">
        <f t="shared" si="0"/>
        <v>57332.351923077411</v>
      </c>
      <c r="Z18" s="63">
        <f t="shared" si="0"/>
        <v>57733.986538462028</v>
      </c>
      <c r="AA18" s="63">
        <f t="shared" si="0"/>
        <v>58135.621153846645</v>
      </c>
      <c r="AB18" s="63">
        <f t="shared" si="0"/>
        <v>58537.255769231262</v>
      </c>
      <c r="AC18" s="63">
        <f t="shared" si="0"/>
        <v>58938.890384615879</v>
      </c>
      <c r="AD18" s="63">
        <v>59340.525000000525</v>
      </c>
      <c r="AE18" s="88"/>
    </row>
    <row r="19" spans="1:31" x14ac:dyDescent="0.35">
      <c r="A19" s="88" t="s">
        <v>30</v>
      </c>
      <c r="B19" s="169"/>
      <c r="C19" s="88" t="s">
        <v>31</v>
      </c>
      <c r="D19" s="63">
        <v>5.3</v>
      </c>
      <c r="E19" s="63">
        <v>15</v>
      </c>
      <c r="F19" s="63">
        <f>E19+(($J19-$E19)/(COLUMN($J19)-COLUMN($E19)))</f>
        <v>24.880000000000003</v>
      </c>
      <c r="G19" s="63">
        <f t="shared" ref="G19:I19" si="1">F19+(($J19-$E19)/(COLUMN($J19)-COLUMN($E19)))</f>
        <v>34.760000000000005</v>
      </c>
      <c r="H19" s="63">
        <f t="shared" si="1"/>
        <v>44.640000000000008</v>
      </c>
      <c r="I19" s="63">
        <f t="shared" si="1"/>
        <v>54.52000000000001</v>
      </c>
      <c r="J19" s="63">
        <v>64.400000000000006</v>
      </c>
      <c r="K19" s="63">
        <f>J19+(($N19-$J19)/(COLUMN($N19)-COLUMN($J19)))</f>
        <v>86.499999999999986</v>
      </c>
      <c r="L19" s="63">
        <f t="shared" ref="L19:M19" si="2">K19+(($N19-$J19)/(COLUMN($N19)-COLUMN($J19)))</f>
        <v>108.59999999999997</v>
      </c>
      <c r="M19" s="63">
        <f t="shared" si="2"/>
        <v>130.69999999999993</v>
      </c>
      <c r="N19" s="63">
        <v>152.79999999999993</v>
      </c>
      <c r="O19" s="63">
        <v>195.8000000000001</v>
      </c>
      <c r="P19" s="63">
        <f>O19+(($T19-$O19)/(COLUMN($T19)-COLUMN($O19)))</f>
        <v>279.94000000000005</v>
      </c>
      <c r="Q19" s="63">
        <f t="shared" ref="Q19:S19" si="3">P19+(($T19-$O19)/(COLUMN($T19)-COLUMN($O19)))</f>
        <v>364.08000000000004</v>
      </c>
      <c r="R19" s="63">
        <f t="shared" si="3"/>
        <v>448.22</v>
      </c>
      <c r="S19" s="63">
        <f t="shared" si="3"/>
        <v>532.36</v>
      </c>
      <c r="T19" s="88">
        <v>616.5</v>
      </c>
      <c r="U19" s="63">
        <f>T19+(($Y19-$T19)/(COLUMN($Y19)-COLUMN($T19)))</f>
        <v>774.78</v>
      </c>
      <c r="V19" s="63">
        <f t="shared" ref="V19:X19" si="4">U19+(($Y19-$T19)/(COLUMN($Y19)-COLUMN($T19)))</f>
        <v>933.06</v>
      </c>
      <c r="W19" s="63">
        <f t="shared" si="4"/>
        <v>1091.3399999999999</v>
      </c>
      <c r="X19" s="63">
        <f t="shared" si="4"/>
        <v>1249.6199999999999</v>
      </c>
      <c r="Y19" s="63">
        <v>1407.8999999999999</v>
      </c>
      <c r="Z19" s="63">
        <f>Y19+(($AD19-$Y19)/(COLUMN($AD19)-COLUMN($Y19)))</f>
        <v>1612.2199999999998</v>
      </c>
      <c r="AA19" s="63">
        <f t="shared" ref="AA19:AC19" si="5">Z19+(($AD19-$Y19)/(COLUMN($AD19)-COLUMN($Y19)))</f>
        <v>1816.5399999999997</v>
      </c>
      <c r="AB19" s="63">
        <f t="shared" si="5"/>
        <v>2020.8599999999997</v>
      </c>
      <c r="AC19" s="63">
        <f t="shared" si="5"/>
        <v>2225.1799999999994</v>
      </c>
      <c r="AD19" s="63">
        <v>2429.4999999999995</v>
      </c>
      <c r="AE19" s="88"/>
    </row>
    <row r="20" spans="1:31" x14ac:dyDescent="0.35">
      <c r="A20" s="88" t="s">
        <v>30</v>
      </c>
      <c r="B20" s="169"/>
      <c r="C20" s="88" t="s">
        <v>32</v>
      </c>
      <c r="D20" s="63">
        <v>3</v>
      </c>
      <c r="E20" s="63">
        <v>6</v>
      </c>
      <c r="F20" s="63">
        <f t="shared" ref="F20:I20" si="6">E20+(($J20-$E20)/(COLUMN($J20)-COLUMN($E20)))</f>
        <v>7.7399999999999975</v>
      </c>
      <c r="G20" s="63">
        <f t="shared" si="6"/>
        <v>9.4799999999999951</v>
      </c>
      <c r="H20" s="63">
        <f t="shared" si="6"/>
        <v>11.219999999999994</v>
      </c>
      <c r="I20" s="63">
        <f t="shared" si="6"/>
        <v>12.959999999999992</v>
      </c>
      <c r="J20" s="63">
        <v>14.699999999999989</v>
      </c>
      <c r="K20" s="63">
        <f t="shared" ref="K20:M23" si="7">J20+(($N20-$J20)/(COLUMN($N20)-COLUMN($J20)))</f>
        <v>17.124999999999986</v>
      </c>
      <c r="L20" s="63">
        <f t="shared" si="7"/>
        <v>19.549999999999983</v>
      </c>
      <c r="M20" s="63">
        <f t="shared" si="7"/>
        <v>21.97499999999998</v>
      </c>
      <c r="N20" s="63">
        <v>24.399999999999977</v>
      </c>
      <c r="O20" s="63">
        <v>28</v>
      </c>
      <c r="P20" s="63">
        <f t="shared" ref="P20:S20" si="8">O20+(($T20-$O20)/(COLUMN($T20)-COLUMN($O20)))</f>
        <v>30.020000000000003</v>
      </c>
      <c r="Q20" s="63">
        <f t="shared" si="8"/>
        <v>32.040000000000006</v>
      </c>
      <c r="R20" s="63">
        <f t="shared" si="8"/>
        <v>34.060000000000009</v>
      </c>
      <c r="S20" s="63">
        <f t="shared" si="8"/>
        <v>36.080000000000013</v>
      </c>
      <c r="T20" s="88">
        <v>38.100000000000023</v>
      </c>
      <c r="U20" s="63">
        <f t="shared" ref="U20:X20" si="9">T20+(($Y20-$T20)/(COLUMN($Y20)-COLUMN($T20)))</f>
        <v>40.500000000000021</v>
      </c>
      <c r="V20" s="63">
        <f t="shared" si="9"/>
        <v>42.90000000000002</v>
      </c>
      <c r="W20" s="63">
        <f t="shared" si="9"/>
        <v>45.300000000000018</v>
      </c>
      <c r="X20" s="63">
        <f t="shared" si="9"/>
        <v>47.700000000000017</v>
      </c>
      <c r="Y20" s="63">
        <v>50.100000000000023</v>
      </c>
      <c r="Z20" s="63">
        <f t="shared" ref="Z20:AC20" si="10">Y20+(($AD20-$Y20)/(COLUMN($AD20)-COLUMN($Y20)))</f>
        <v>57.480000000000018</v>
      </c>
      <c r="AA20" s="63">
        <f t="shared" si="10"/>
        <v>64.860000000000014</v>
      </c>
      <c r="AB20" s="63">
        <f t="shared" si="10"/>
        <v>72.240000000000009</v>
      </c>
      <c r="AC20" s="63">
        <f t="shared" si="10"/>
        <v>79.62</v>
      </c>
      <c r="AD20" s="88">
        <v>87</v>
      </c>
      <c r="AE20" s="88"/>
    </row>
    <row r="21" spans="1:31" x14ac:dyDescent="0.35">
      <c r="A21" s="88" t="s">
        <v>30</v>
      </c>
      <c r="B21" s="169"/>
      <c r="C21" s="88" t="s">
        <v>33</v>
      </c>
      <c r="D21" s="63">
        <v>1.2748597654258032E-5</v>
      </c>
      <c r="E21" s="63">
        <v>2.5497195308516064E-5</v>
      </c>
      <c r="F21" s="63">
        <f t="shared" ref="F21:I21" si="11">E21+(($J21-$E21)/(COLUMN($J21)-COLUMN($E21)))</f>
        <v>0.11374672929740942</v>
      </c>
      <c r="G21" s="63">
        <f t="shared" si="11"/>
        <v>0.22746796139951031</v>
      </c>
      <c r="H21" s="63">
        <f t="shared" si="11"/>
        <v>0.3411891935016112</v>
      </c>
      <c r="I21" s="63">
        <f t="shared" si="11"/>
        <v>0.45491042560371209</v>
      </c>
      <c r="J21" s="63">
        <v>0.56863165770581303</v>
      </c>
      <c r="K21" s="63">
        <f t="shared" si="7"/>
        <v>1.0167381270935458</v>
      </c>
      <c r="L21" s="63">
        <f t="shared" si="7"/>
        <v>1.4648445964812786</v>
      </c>
      <c r="M21" s="63">
        <f t="shared" si="7"/>
        <v>1.9129510658690114</v>
      </c>
      <c r="N21" s="63">
        <v>2.361057535256744</v>
      </c>
      <c r="O21" s="63">
        <v>4.0948150891294413</v>
      </c>
      <c r="P21" s="63">
        <f t="shared" ref="P21:S21" si="12">O21+(($T21-$O21)/(COLUMN($T21)-COLUMN($O21)))</f>
        <v>8.471710628332751</v>
      </c>
      <c r="Q21" s="63">
        <f t="shared" si="12"/>
        <v>12.848606167536062</v>
      </c>
      <c r="R21" s="63">
        <f t="shared" si="12"/>
        <v>17.225501706739372</v>
      </c>
      <c r="S21" s="63">
        <f t="shared" si="12"/>
        <v>21.602397245942683</v>
      </c>
      <c r="T21" s="63">
        <v>25.97929278514599</v>
      </c>
      <c r="U21" s="63">
        <f t="shared" ref="U21:X21" si="13">T21+(($Y21-$T21)/(COLUMN($Y21)-COLUMN($T21)))</f>
        <v>38.949819148020055</v>
      </c>
      <c r="V21" s="63">
        <f t="shared" si="13"/>
        <v>51.920345510894123</v>
      </c>
      <c r="W21" s="63">
        <f t="shared" si="13"/>
        <v>64.890871873768191</v>
      </c>
      <c r="X21" s="63">
        <f t="shared" si="13"/>
        <v>77.861398236642259</v>
      </c>
      <c r="Y21" s="63">
        <v>90.831924599516327</v>
      </c>
      <c r="Z21" s="63">
        <f>Y21+(($AD21-$Y21)/(COLUMN($AD21)-COLUMN($Y21)))</f>
        <v>115.29774551206584</v>
      </c>
      <c r="AA21" s="63">
        <f t="shared" ref="AA21:AC21" si="14">Z21+(($AD21-$Y21)/(COLUMN($AD21)-COLUMN($Y21)))</f>
        <v>139.76356642461536</v>
      </c>
      <c r="AB21" s="63">
        <f t="shared" si="14"/>
        <v>164.22938733716487</v>
      </c>
      <c r="AC21" s="63">
        <f t="shared" si="14"/>
        <v>188.69520824971437</v>
      </c>
      <c r="AD21" s="7">
        <v>213.1610291622639</v>
      </c>
      <c r="AE21" s="88"/>
    </row>
    <row r="22" spans="1:31" x14ac:dyDescent="0.35">
      <c r="A22" s="88" t="s">
        <v>30</v>
      </c>
      <c r="B22" s="169"/>
      <c r="C22" s="88" t="s">
        <v>34</v>
      </c>
      <c r="D22" s="63">
        <v>6.4015209912533424E-3</v>
      </c>
      <c r="E22" s="63">
        <v>1.6555657736000019E-2</v>
      </c>
      <c r="F22" s="63">
        <f t="shared" ref="F22:I22" si="15">E22+(($J22-$E22)/(COLUMN($J22)-COLUMN($E22)))</f>
        <v>2.7460317631445342E-2</v>
      </c>
      <c r="G22" s="63">
        <f t="shared" si="15"/>
        <v>3.8364977526890665E-2</v>
      </c>
      <c r="H22" s="63">
        <f t="shared" si="15"/>
        <v>4.9269637422335991E-2</v>
      </c>
      <c r="I22" s="63">
        <f t="shared" si="15"/>
        <v>6.0174297317781317E-2</v>
      </c>
      <c r="J22" s="63">
        <v>7.1078957213226629E-2</v>
      </c>
      <c r="K22" s="63">
        <f t="shared" si="7"/>
        <v>9.5470959610933256E-2</v>
      </c>
      <c r="L22" s="63">
        <f t="shared" si="7"/>
        <v>0.11986296200863988</v>
      </c>
      <c r="M22" s="63">
        <f t="shared" si="7"/>
        <v>0.1442549644063465</v>
      </c>
      <c r="N22" s="63">
        <v>0.16864696680405314</v>
      </c>
      <c r="O22" s="63">
        <v>0.21613105685997405</v>
      </c>
      <c r="P22" s="63">
        <f t="shared" ref="P22:S22" si="16">O22+(($T22-$O22)/(COLUMN($T22)-COLUMN($O22)))</f>
        <v>0.30502440162760047</v>
      </c>
      <c r="Q22" s="63">
        <f t="shared" si="16"/>
        <v>0.39391774639522692</v>
      </c>
      <c r="R22" s="63">
        <f t="shared" si="16"/>
        <v>0.48281109116285337</v>
      </c>
      <c r="S22" s="63">
        <f t="shared" si="16"/>
        <v>0.57170443593047982</v>
      </c>
      <c r="T22" s="63">
        <v>0.66059778069810626</v>
      </c>
      <c r="U22" s="63">
        <f t="shared" ref="U22:X22" si="17">T22+(($Y22-$T22)/(COLUMN($Y22)-COLUMN($T22)))</f>
        <v>0.82075706120430136</v>
      </c>
      <c r="V22" s="63">
        <f t="shared" si="17"/>
        <v>0.98091634171049646</v>
      </c>
      <c r="W22" s="63">
        <f t="shared" si="17"/>
        <v>1.1410756222166916</v>
      </c>
      <c r="X22" s="63">
        <f t="shared" si="17"/>
        <v>1.3012349027228867</v>
      </c>
      <c r="Y22" s="63">
        <v>1.4613941832290818</v>
      </c>
      <c r="Z22" s="63">
        <f t="shared" ref="Z22:AC23" si="18">Y22+(($AD22-$Y22)/(COLUMN($AD22)-COLUMN($Y22)))</f>
        <v>1.6669605477280995</v>
      </c>
      <c r="AA22" s="63">
        <f t="shared" si="18"/>
        <v>1.8725269122271173</v>
      </c>
      <c r="AB22" s="63">
        <f t="shared" si="18"/>
        <v>2.0780932767261349</v>
      </c>
      <c r="AC22" s="63">
        <f t="shared" si="18"/>
        <v>2.2836596412251526</v>
      </c>
      <c r="AD22" s="7">
        <v>2.4892260057241704</v>
      </c>
      <c r="AE22" s="88"/>
    </row>
    <row r="23" spans="1:31" x14ac:dyDescent="0.35">
      <c r="A23" s="88" t="s">
        <v>30</v>
      </c>
      <c r="B23" s="169"/>
      <c r="C23" s="88" t="s">
        <v>35</v>
      </c>
      <c r="D23" s="63">
        <v>2</v>
      </c>
      <c r="E23" s="63">
        <v>4</v>
      </c>
      <c r="F23" s="63">
        <f t="shared" ref="F23:I23" si="19">E23+(($J23-$E23)/(COLUMN($J23)-COLUMN($E23)))</f>
        <v>4.8</v>
      </c>
      <c r="G23" s="63">
        <f t="shared" si="19"/>
        <v>5.6</v>
      </c>
      <c r="H23" s="63">
        <f t="shared" si="19"/>
        <v>6.3999999999999995</v>
      </c>
      <c r="I23" s="63">
        <f t="shared" si="19"/>
        <v>7.1999999999999993</v>
      </c>
      <c r="J23" s="63">
        <v>8</v>
      </c>
      <c r="K23" s="63">
        <f t="shared" si="7"/>
        <v>9.5</v>
      </c>
      <c r="L23" s="63">
        <f t="shared" si="7"/>
        <v>11</v>
      </c>
      <c r="M23" s="63">
        <f t="shared" si="7"/>
        <v>12.5</v>
      </c>
      <c r="N23" s="63">
        <v>14</v>
      </c>
      <c r="O23" s="63">
        <v>19</v>
      </c>
      <c r="P23" s="63">
        <f t="shared" ref="P23:S23" si="20">O23+(($T23-$O23)/(COLUMN($T23)-COLUMN($O23)))</f>
        <v>23</v>
      </c>
      <c r="Q23" s="63">
        <f t="shared" si="20"/>
        <v>27</v>
      </c>
      <c r="R23" s="63">
        <f t="shared" si="20"/>
        <v>31</v>
      </c>
      <c r="S23" s="63">
        <f t="shared" si="20"/>
        <v>35</v>
      </c>
      <c r="T23" s="88">
        <v>39</v>
      </c>
      <c r="U23" s="63">
        <f t="shared" ref="U23:X23" si="21">T23+(($Y23-$T23)/(COLUMN($Y23)-COLUMN($T23)))</f>
        <v>44.2</v>
      </c>
      <c r="V23" s="63">
        <f t="shared" si="21"/>
        <v>49.400000000000006</v>
      </c>
      <c r="W23" s="63">
        <f t="shared" si="21"/>
        <v>54.600000000000009</v>
      </c>
      <c r="X23" s="63">
        <f t="shared" si="21"/>
        <v>59.800000000000011</v>
      </c>
      <c r="Y23" s="63">
        <v>65</v>
      </c>
      <c r="Z23" s="63">
        <f>Y23+(($AD23-$Y23)/(COLUMN($AD23)-COLUMN($Y23)))</f>
        <v>70.400000000000006</v>
      </c>
      <c r="AA23" s="63">
        <f t="shared" si="18"/>
        <v>75.800000000000011</v>
      </c>
      <c r="AB23" s="63">
        <f t="shared" si="18"/>
        <v>81.200000000000017</v>
      </c>
      <c r="AC23" s="63">
        <f t="shared" si="18"/>
        <v>86.600000000000023</v>
      </c>
      <c r="AD23" s="88">
        <v>92</v>
      </c>
      <c r="AE23" s="88"/>
    </row>
    <row r="24" spans="1:31" x14ac:dyDescent="0.35">
      <c r="A24" s="88" t="s">
        <v>30</v>
      </c>
      <c r="B24" s="169"/>
      <c r="C24" s="88" t="s">
        <v>121</v>
      </c>
      <c r="D24" s="63">
        <v>3548.6092759095109</v>
      </c>
      <c r="E24" s="63">
        <v>5063.9625989576198</v>
      </c>
      <c r="F24" s="63">
        <v>6319.5645329486342</v>
      </c>
      <c r="G24" s="63">
        <v>7575.1664669396487</v>
      </c>
      <c r="H24" s="63">
        <v>8830.7684009306613</v>
      </c>
      <c r="I24" s="63">
        <v>10086.370334921676</v>
      </c>
      <c r="J24" s="63">
        <v>11341.97226891269</v>
      </c>
      <c r="K24" s="63">
        <v>12597.574202903706</v>
      </c>
      <c r="L24" s="63">
        <v>13853.176136894721</v>
      </c>
      <c r="M24" s="63">
        <v>15108.778070885735</v>
      </c>
      <c r="N24" s="63">
        <v>16364.38000487675</v>
      </c>
      <c r="O24" s="63">
        <v>17619.981938867764</v>
      </c>
      <c r="P24" s="63">
        <v>18875.583872858777</v>
      </c>
      <c r="Q24" s="63">
        <v>20131.185806849793</v>
      </c>
      <c r="R24" s="63">
        <v>21386.787740840809</v>
      </c>
      <c r="S24" s="63">
        <v>22642.389674831822</v>
      </c>
      <c r="T24" s="63">
        <v>23897.991608822835</v>
      </c>
      <c r="U24" s="63">
        <v>25153.593542813855</v>
      </c>
      <c r="V24" s="63">
        <v>26409.195476804874</v>
      </c>
      <c r="W24" s="63">
        <v>27664.797410795891</v>
      </c>
      <c r="X24" s="63">
        <v>28920.399344786907</v>
      </c>
      <c r="Y24" s="63">
        <v>30193.504083513959</v>
      </c>
      <c r="Z24" s="63">
        <v>31466.608822241011</v>
      </c>
      <c r="AA24" s="63">
        <v>32739.713560968063</v>
      </c>
      <c r="AB24" s="63">
        <v>34012.818299695115</v>
      </c>
      <c r="AC24" s="63">
        <v>35285.923038422166</v>
      </c>
      <c r="AD24" s="63">
        <v>36649.332482812788</v>
      </c>
      <c r="AE24" s="88"/>
    </row>
    <row r="25" spans="1:31" x14ac:dyDescent="0.35">
      <c r="A25" s="88" t="s">
        <v>30</v>
      </c>
      <c r="B25" s="169"/>
      <c r="C25" s="88" t="s">
        <v>122</v>
      </c>
      <c r="D25" s="63">
        <v>71622.113562371829</v>
      </c>
      <c r="E25" s="63">
        <v>73607.594436515676</v>
      </c>
      <c r="F25" s="63">
        <v>74550.36338726533</v>
      </c>
      <c r="G25" s="63">
        <v>75519.125163101256</v>
      </c>
      <c r="H25" s="63">
        <v>76538.003742809175</v>
      </c>
      <c r="I25" s="63">
        <v>77706.105297228627</v>
      </c>
      <c r="J25" s="63">
        <v>78874.00393351684</v>
      </c>
      <c r="K25" s="63">
        <v>80317.726896694308</v>
      </c>
      <c r="L25" s="63">
        <v>81786.407956990748</v>
      </c>
      <c r="M25" s="63">
        <v>83321.933981206283</v>
      </c>
      <c r="N25" s="63">
        <v>84877.618441557745</v>
      </c>
      <c r="O25" s="63">
        <v>86454.018876266593</v>
      </c>
      <c r="P25" s="63">
        <v>88053.745649940713</v>
      </c>
      <c r="Q25" s="63">
        <v>89615.885699602397</v>
      </c>
      <c r="R25" s="63">
        <v>91191.688071001292</v>
      </c>
      <c r="S25" s="63">
        <v>92777.773770832922</v>
      </c>
      <c r="T25" s="63">
        <v>94381.876267078595</v>
      </c>
      <c r="U25" s="63">
        <v>95851.134924697079</v>
      </c>
      <c r="V25" s="63">
        <v>97316.404381423199</v>
      </c>
      <c r="W25" s="63">
        <v>98773.172513108671</v>
      </c>
      <c r="X25" s="63">
        <v>100231.09394790807</v>
      </c>
      <c r="Y25" s="63">
        <v>101475.43499351648</v>
      </c>
      <c r="Z25" s="63">
        <v>102689.57807234855</v>
      </c>
      <c r="AA25" s="63">
        <v>103864.40847031744</v>
      </c>
      <c r="AB25" s="63">
        <v>105007.56179574483</v>
      </c>
      <c r="AC25" s="63">
        <v>105872.80754896931</v>
      </c>
      <c r="AD25" s="63">
        <v>106661.70483631971</v>
      </c>
      <c r="AE25" s="63"/>
    </row>
    <row r="26" spans="1:31" s="82" customFormat="1" x14ac:dyDescent="0.35">
      <c r="A26" s="88" t="s">
        <v>30</v>
      </c>
      <c r="B26" s="169"/>
      <c r="C26" s="88" t="s">
        <v>123</v>
      </c>
      <c r="D26" s="63">
        <v>15863.893130854603</v>
      </c>
      <c r="E26" s="63">
        <v>17648.235031002652</v>
      </c>
      <c r="F26" s="63">
        <v>18532.236689999794</v>
      </c>
      <c r="G26" s="63">
        <v>19475.112681928011</v>
      </c>
      <c r="H26" s="63">
        <v>20493.71854997455</v>
      </c>
      <c r="I26" s="63">
        <v>21703.204276026223</v>
      </c>
      <c r="J26" s="63">
        <v>22946.050699999509</v>
      </c>
      <c r="K26" s="63">
        <v>24548.26486804448</v>
      </c>
      <c r="L26" s="63">
        <v>26220.989372549484</v>
      </c>
      <c r="M26" s="63">
        <v>28058.997685781676</v>
      </c>
      <c r="N26" s="63">
        <v>29994.707022833591</v>
      </c>
      <c r="O26" s="63">
        <v>32011.425891947838</v>
      </c>
      <c r="P26" s="63">
        <v>34129.673408907925</v>
      </c>
      <c r="Q26" s="63">
        <v>36251.576659394232</v>
      </c>
      <c r="R26" s="63">
        <v>38482.292306296302</v>
      </c>
      <c r="S26" s="63">
        <v>40781.781464548454</v>
      </c>
      <c r="T26" s="63">
        <v>43190.558793671822</v>
      </c>
      <c r="U26" s="63">
        <v>45461.093625999209</v>
      </c>
      <c r="V26" s="63">
        <v>47797.3220414936</v>
      </c>
      <c r="W26" s="63">
        <v>50173.624201748113</v>
      </c>
      <c r="X26" s="63">
        <v>52592.349260380004</v>
      </c>
      <c r="Y26" s="63">
        <v>54727.119526493792</v>
      </c>
      <c r="Z26" s="63">
        <v>56855.98510471324</v>
      </c>
      <c r="AA26" s="63">
        <v>58972.670120360293</v>
      </c>
      <c r="AB26" s="63">
        <v>61079.371371193629</v>
      </c>
      <c r="AC26" s="63">
        <v>62711.988881723832</v>
      </c>
      <c r="AD26" s="63">
        <v>64234.559659609338</v>
      </c>
      <c r="AE26" s="63"/>
    </row>
    <row r="27" spans="1:31" x14ac:dyDescent="0.35">
      <c r="A27" s="88" t="s">
        <v>39</v>
      </c>
      <c r="B27" s="169"/>
      <c r="C27" s="88" t="s">
        <v>31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3.2000000000000499</v>
      </c>
      <c r="Z27" s="63">
        <f>Y27+(($AD27-$Y27)/(COLUMN($AD27)-COLUMN($Y27)))</f>
        <v>25.40000000000002</v>
      </c>
      <c r="AA27" s="63">
        <f t="shared" ref="AA27:AC27" si="22">Z27+(($AD27-$Y27)/(COLUMN($AD27)-COLUMN($Y27)))</f>
        <v>47.599999999999994</v>
      </c>
      <c r="AB27" s="63">
        <f t="shared" si="22"/>
        <v>69.799999999999969</v>
      </c>
      <c r="AC27" s="63">
        <f t="shared" si="22"/>
        <v>91.999999999999943</v>
      </c>
      <c r="AD27" s="88">
        <v>114.1999999999999</v>
      </c>
      <c r="AE27" s="63"/>
    </row>
    <row r="28" spans="1:31" x14ac:dyDescent="0.35">
      <c r="A28" s="88" t="s">
        <v>39</v>
      </c>
      <c r="B28" s="169"/>
      <c r="C28" s="88" t="s">
        <v>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3.2000000000000455</v>
      </c>
      <c r="Z28" s="63">
        <f t="shared" ref="Z28:AC28" si="23">Y28+(($AD28-$Y28)/(COLUMN($AD28)-COLUMN($Y28)))</f>
        <v>10.360000000000037</v>
      </c>
      <c r="AA28" s="63">
        <f t="shared" si="23"/>
        <v>17.520000000000028</v>
      </c>
      <c r="AB28" s="63">
        <f t="shared" si="23"/>
        <v>24.680000000000021</v>
      </c>
      <c r="AC28" s="63">
        <f t="shared" si="23"/>
        <v>31.840000000000011</v>
      </c>
      <c r="AD28" s="63">
        <v>39</v>
      </c>
      <c r="AE28" s="63"/>
    </row>
    <row r="29" spans="1:31" x14ac:dyDescent="0.35">
      <c r="A29" s="88" t="s">
        <v>39</v>
      </c>
      <c r="B29" s="169"/>
      <c r="C29" s="88" t="s">
        <v>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6.374298827129016E-6</v>
      </c>
      <c r="Z29" s="63">
        <f t="shared" ref="Z29:AC29" si="24">Y29+(($AD29-$Y29)/(COLUMN($AD29)-COLUMN($Y29)))</f>
        <v>0.20167508487385605</v>
      </c>
      <c r="AA29" s="63">
        <f t="shared" si="24"/>
        <v>0.40334379544888499</v>
      </c>
      <c r="AB29" s="63">
        <f t="shared" si="24"/>
        <v>0.60501250602391388</v>
      </c>
      <c r="AC29" s="63">
        <f t="shared" si="24"/>
        <v>0.80668121659894276</v>
      </c>
      <c r="AD29" s="63">
        <v>1.0083499271739718</v>
      </c>
      <c r="AE29" s="63"/>
    </row>
    <row r="30" spans="1:31" x14ac:dyDescent="0.35">
      <c r="A30" s="88" t="s">
        <v>39</v>
      </c>
      <c r="B30" s="169"/>
      <c r="C30" s="88" t="s">
        <v>34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3.5318736503467145E-3</v>
      </c>
      <c r="Z30" s="63">
        <f t="shared" ref="Z30:AC30" si="25">Y30+(($AD30-$Y30)/(COLUMN($AD30)-COLUMN($Y30)))</f>
        <v>2.8034247099626666E-2</v>
      </c>
      <c r="AA30" s="63">
        <f t="shared" si="25"/>
        <v>5.2536620548906621E-2</v>
      </c>
      <c r="AB30" s="63">
        <f t="shared" si="25"/>
        <v>7.7038993998186575E-2</v>
      </c>
      <c r="AC30" s="63">
        <f t="shared" si="25"/>
        <v>0.10154136744746653</v>
      </c>
      <c r="AD30" s="63">
        <v>0.12604374089674647</v>
      </c>
      <c r="AE30" s="63"/>
    </row>
    <row r="31" spans="1:31" x14ac:dyDescent="0.35">
      <c r="A31" s="88" t="s">
        <v>39</v>
      </c>
      <c r="B31" s="169"/>
      <c r="C31" s="88" t="s">
        <v>35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1</v>
      </c>
      <c r="Z31" s="63">
        <f>Y31+(($AD31-$Y31)/(COLUMN($AD31)-COLUMN($Y31)))</f>
        <v>1.6</v>
      </c>
      <c r="AA31" s="63">
        <f t="shared" ref="AA31:AC31" si="26">Z31+(($AD31-$Y31)/(COLUMN($AD31)-COLUMN($Y31)))</f>
        <v>2.2000000000000002</v>
      </c>
      <c r="AB31" s="63">
        <f t="shared" si="26"/>
        <v>2.8000000000000003</v>
      </c>
      <c r="AC31" s="63">
        <f t="shared" si="26"/>
        <v>3.4000000000000004</v>
      </c>
      <c r="AD31" s="88">
        <v>4</v>
      </c>
      <c r="AE31" s="88"/>
    </row>
    <row r="32" spans="1:31" x14ac:dyDescent="0.35">
      <c r="A32" s="88" t="s">
        <v>143</v>
      </c>
      <c r="B32" s="88" t="s">
        <v>124</v>
      </c>
      <c r="C32" s="88" t="s">
        <v>144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65595.249200000006</v>
      </c>
      <c r="Z32" s="63">
        <v>266194.70199999999</v>
      </c>
      <c r="AA32" s="63">
        <v>520303.90700000001</v>
      </c>
      <c r="AB32" s="63">
        <v>815390.43599999999</v>
      </c>
      <c r="AC32" s="63">
        <v>1163519.1100000001</v>
      </c>
      <c r="AD32" s="63">
        <v>1493738.93</v>
      </c>
      <c r="AE32" s="88"/>
    </row>
    <row r="33" spans="1:30" x14ac:dyDescent="0.35">
      <c r="A33" s="88" t="s">
        <v>143</v>
      </c>
      <c r="B33" s="88" t="s">
        <v>145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392417.05599999998</v>
      </c>
      <c r="Z33" s="63">
        <v>1499995.06</v>
      </c>
      <c r="AA33" s="63">
        <v>2935311.27</v>
      </c>
      <c r="AB33" s="63">
        <v>4308990.32</v>
      </c>
      <c r="AC33" s="63">
        <v>6192407.46</v>
      </c>
      <c r="AD33" s="63">
        <v>7935079.3499999996</v>
      </c>
    </row>
    <row r="34" spans="1:30" x14ac:dyDescent="0.35">
      <c r="A34" s="88" t="s">
        <v>146</v>
      </c>
      <c r="B34" s="88" t="s">
        <v>124</v>
      </c>
      <c r="C34" s="88" t="s">
        <v>144</v>
      </c>
      <c r="D34" s="63">
        <v>1160.0589384927875</v>
      </c>
      <c r="E34" s="63">
        <f>D34+($J$34-$D$34)/(COLUMN($J$34)-COLUMN($D$34))</f>
        <v>3691.1855585448388</v>
      </c>
      <c r="F34" s="63">
        <f>E34+($J$34-$D$34)/(COLUMN($J$34)-COLUMN($D$34))</f>
        <v>6222.3121785968906</v>
      </c>
      <c r="G34" s="63">
        <f t="shared" ref="G34:I35" si="27">F34+($J$34-$D$34)/(COLUMN($J$34)-COLUMN($D$34))</f>
        <v>8753.4387986489419</v>
      </c>
      <c r="H34" s="63">
        <f t="shared" si="27"/>
        <v>11284.565418700993</v>
      </c>
      <c r="I34" s="63">
        <f t="shared" si="27"/>
        <v>13815.692038753044</v>
      </c>
      <c r="J34" s="63">
        <v>16346.818658805096</v>
      </c>
      <c r="K34" s="63">
        <f>J34+($N34-$J34)/(COLUMN($N34)-COLUMN($J34))</f>
        <v>22963.130667560283</v>
      </c>
      <c r="L34" s="63">
        <f>K34+($N34-$J34)/(COLUMN($N34)-COLUMN($J34))</f>
        <v>29579.44267631547</v>
      </c>
      <c r="M34" s="63">
        <f t="shared" ref="M34" si="28">L34+($N34-$J34)/(COLUMN($N34)-COLUMN($J34))</f>
        <v>36195.754685070657</v>
      </c>
      <c r="N34" s="63">
        <v>42812.066693825836</v>
      </c>
      <c r="O34" s="63">
        <f>N34+($T34-$N34)/(COLUMN($T34)-COLUMN($N34))</f>
        <v>72673.253217714446</v>
      </c>
      <c r="P34" s="63">
        <f t="shared" ref="P34:S34" si="29">O34+($T34-$N34)/(COLUMN($T34)-COLUMN($N34))</f>
        <v>102534.43974160306</v>
      </c>
      <c r="Q34" s="63">
        <f t="shared" si="29"/>
        <v>132395.62626549165</v>
      </c>
      <c r="R34" s="63">
        <f t="shared" si="29"/>
        <v>162256.81278938026</v>
      </c>
      <c r="S34" s="63">
        <f t="shared" si="29"/>
        <v>192117.99931326887</v>
      </c>
      <c r="T34" s="63">
        <v>221979.18583715748</v>
      </c>
      <c r="U34" s="63">
        <f>T34+($Y34-$T34)/(COLUMN($Y34)-COLUMN($T34))</f>
        <v>303622.65615026554</v>
      </c>
      <c r="V34" s="63">
        <f t="shared" ref="V34:X35" si="30">U34+($Y34-$T34)/(COLUMN($Y34)-COLUMN($T34))</f>
        <v>385266.1264633736</v>
      </c>
      <c r="W34" s="63">
        <f t="shared" si="30"/>
        <v>466909.59677648166</v>
      </c>
      <c r="X34" s="63">
        <f t="shared" si="30"/>
        <v>548553.06708958966</v>
      </c>
      <c r="Y34" s="63">
        <v>630196.53740269772</v>
      </c>
      <c r="Z34" s="63">
        <f>Y34+($AD34-$Y34)/(COLUMN($AD34)-COLUMN($Y34))</f>
        <v>759942.91007703578</v>
      </c>
      <c r="AA34" s="63">
        <f t="shared" ref="AA34:AC35" si="31">Z34+($AD34-$Y34)/(COLUMN($AD34)-COLUMN($Y34))</f>
        <v>889689.28275137383</v>
      </c>
      <c r="AB34" s="63">
        <f t="shared" si="31"/>
        <v>1019435.6554257119</v>
      </c>
      <c r="AC34" s="63">
        <f t="shared" si="31"/>
        <v>1149182.0281000501</v>
      </c>
      <c r="AD34" s="63">
        <v>1278928.4007743881</v>
      </c>
    </row>
    <row r="35" spans="1:30" x14ac:dyDescent="0.35">
      <c r="A35" s="88" t="s">
        <v>146</v>
      </c>
      <c r="B35" s="88" t="s">
        <v>145</v>
      </c>
      <c r="C35" s="88" t="s">
        <v>144</v>
      </c>
      <c r="D35" s="63">
        <v>4813.6481260157188</v>
      </c>
      <c r="E35" s="63">
        <f>D35+($J$34-$D$34)/(COLUMN($J$34)-COLUMN($D$34))</f>
        <v>7344.7747460677701</v>
      </c>
      <c r="F35" s="63">
        <f>E35+($J$34-$D$34)/(COLUMN($J$34)-COLUMN($D$34))</f>
        <v>9875.9013661198223</v>
      </c>
      <c r="G35" s="63">
        <f t="shared" si="27"/>
        <v>12407.027986171874</v>
      </c>
      <c r="H35" s="63">
        <f t="shared" si="27"/>
        <v>14938.154606223925</v>
      </c>
      <c r="I35" s="63">
        <f t="shared" si="27"/>
        <v>17469.281226275976</v>
      </c>
      <c r="J35" s="63">
        <v>67830.89237303019</v>
      </c>
      <c r="K35" s="63">
        <f>J35+($N35-$J35)/(COLUMN($N35)-COLUMN($J35))</f>
        <v>95285.18529323228</v>
      </c>
      <c r="L35" s="63">
        <f t="shared" ref="L35" si="32">K35+($N35-$J35)/(COLUMN($N35)-COLUMN($J35))</f>
        <v>122739.47821343437</v>
      </c>
      <c r="M35" s="63">
        <f>L35+($N35-$J35)/(COLUMN($N35)-COLUMN($J35))</f>
        <v>150193.77113363647</v>
      </c>
      <c r="N35" s="63">
        <v>177648.06405383855</v>
      </c>
      <c r="O35" s="63">
        <f>N35+($T35-$N35)/(COLUMN($T35)-COLUMN($N35))</f>
        <v>301556.63437016989</v>
      </c>
      <c r="P35" s="63">
        <f t="shared" ref="P35:S35" si="33">O35+($T35-$N35)/(COLUMN($T35)-COLUMN($N35))</f>
        <v>425465.20468650124</v>
      </c>
      <c r="Q35" s="63">
        <f t="shared" si="33"/>
        <v>549373.77500283252</v>
      </c>
      <c r="R35" s="63">
        <f t="shared" si="33"/>
        <v>673282.34531916387</v>
      </c>
      <c r="S35" s="63">
        <f t="shared" si="33"/>
        <v>797190.91563549521</v>
      </c>
      <c r="T35" s="63">
        <v>921099.48595182667</v>
      </c>
      <c r="U35" s="63">
        <f>T35+($Y35-$T35)/(COLUMN($Y35)-COLUMN($T35))</f>
        <v>1259877.9090418844</v>
      </c>
      <c r="V35" s="63">
        <f t="shared" si="30"/>
        <v>1598656.332131942</v>
      </c>
      <c r="W35" s="63">
        <f t="shared" si="30"/>
        <v>1937434.7552219997</v>
      </c>
      <c r="X35" s="63">
        <f t="shared" si="30"/>
        <v>2276213.1783120576</v>
      </c>
      <c r="Y35" s="63">
        <v>2614991.6014021151</v>
      </c>
      <c r="Z35" s="63">
        <f>Y35+($AD35-$Y35)/(COLUMN($AD35)-COLUMN($Y35))</f>
        <v>3153372.3361711763</v>
      </c>
      <c r="AA35" s="63">
        <f t="shared" si="31"/>
        <v>3691753.0709402375</v>
      </c>
      <c r="AB35" s="63">
        <f t="shared" si="31"/>
        <v>4230133.8057092987</v>
      </c>
      <c r="AC35" s="63">
        <f t="shared" si="31"/>
        <v>4768514.5404783599</v>
      </c>
      <c r="AD35" s="63">
        <v>5306895.2752474211</v>
      </c>
    </row>
    <row r="36" spans="1:30" ht="29" x14ac:dyDescent="0.35">
      <c r="A36" s="3" t="s">
        <v>147</v>
      </c>
      <c r="B36" s="3" t="s">
        <v>148</v>
      </c>
      <c r="C36" s="88" t="s">
        <v>144</v>
      </c>
      <c r="D36" s="63">
        <v>4851900.5486829933</v>
      </c>
      <c r="E36" s="63">
        <v>5548844.3300555516</v>
      </c>
      <c r="F36" s="63">
        <v>5954616.7726334753</v>
      </c>
      <c r="G36" s="63">
        <v>6363779.4526433833</v>
      </c>
      <c r="H36" s="63">
        <v>6862697.0831286758</v>
      </c>
      <c r="I36" s="63">
        <v>7430779.6337906746</v>
      </c>
      <c r="J36" s="63">
        <v>7958090.1696787169</v>
      </c>
      <c r="K36" s="63">
        <v>8741153.0658613946</v>
      </c>
      <c r="L36" s="63">
        <v>9549664.1025375165</v>
      </c>
      <c r="M36" s="63">
        <v>10292607.096280362</v>
      </c>
      <c r="N36" s="63">
        <v>11249460.561061727</v>
      </c>
      <c r="O36" s="63">
        <v>12276853.639271129</v>
      </c>
      <c r="P36" s="63">
        <v>13383547.522738636</v>
      </c>
      <c r="Q36" s="63">
        <v>14497043.817288639</v>
      </c>
      <c r="R36" s="63">
        <v>15635893.67975487</v>
      </c>
      <c r="S36" s="63">
        <v>16957354.939872339</v>
      </c>
      <c r="T36" s="63">
        <v>18318405.619574133</v>
      </c>
      <c r="U36" s="63">
        <v>19745850.774965178</v>
      </c>
      <c r="V36" s="63">
        <v>21095026.297130056</v>
      </c>
      <c r="W36" s="63">
        <v>22704288.873824503</v>
      </c>
      <c r="X36" s="63">
        <v>24150941.08390535</v>
      </c>
      <c r="Y36" s="63">
        <v>25640390.025576863</v>
      </c>
      <c r="Z36" s="63">
        <v>27294530.676883005</v>
      </c>
      <c r="AA36" s="63">
        <v>28943497.249719981</v>
      </c>
      <c r="AB36" s="63">
        <v>30674535.32627473</v>
      </c>
      <c r="AC36" s="63">
        <v>32278079.823059451</v>
      </c>
      <c r="AD36" s="63">
        <v>33822039.209754735</v>
      </c>
    </row>
    <row r="38" spans="1:30" x14ac:dyDescent="0.35">
      <c r="A38" s="88"/>
      <c r="B38" s="88"/>
      <c r="C38" s="88" t="s">
        <v>149</v>
      </c>
      <c r="D38" s="63">
        <f>'Cost Assumptions'!$B$4</f>
        <v>40</v>
      </c>
      <c r="E38" s="63">
        <f>D38*'Cost Assumptions'!$B$5</f>
        <v>41</v>
      </c>
      <c r="F38" s="63">
        <f>E38*'Cost Assumptions'!$B$5</f>
        <v>42.024999999999999</v>
      </c>
      <c r="G38" s="63">
        <f>F38*'Cost Assumptions'!$B$5</f>
        <v>43.075624999999995</v>
      </c>
      <c r="H38" s="63">
        <f>G38*'Cost Assumptions'!$B$5</f>
        <v>44.152515624999992</v>
      </c>
      <c r="I38" s="63">
        <f>H38*'Cost Assumptions'!$B$5</f>
        <v>45.256328515624986</v>
      </c>
      <c r="J38" s="63">
        <f>I38*'Cost Assumptions'!$B$5</f>
        <v>46.387736728515605</v>
      </c>
      <c r="K38" s="63">
        <f>J38*'Cost Assumptions'!$B$5</f>
        <v>47.547430146728495</v>
      </c>
      <c r="L38" s="63">
        <f>K38*'Cost Assumptions'!$B$5</f>
        <v>48.736115900396705</v>
      </c>
      <c r="M38" s="63">
        <f>L38*'Cost Assumptions'!$B$5</f>
        <v>49.954518797906616</v>
      </c>
      <c r="N38" s="63">
        <f>M38*'Cost Assumptions'!$B$5</f>
        <v>51.203381767854275</v>
      </c>
      <c r="O38" s="63">
        <f>N38*'Cost Assumptions'!$B$5</f>
        <v>52.483466312050624</v>
      </c>
      <c r="P38" s="63">
        <f>O38*'Cost Assumptions'!$B$5</f>
        <v>53.795552969851883</v>
      </c>
      <c r="Q38" s="63">
        <f>P38*'Cost Assumptions'!$B$5</f>
        <v>55.140441794098173</v>
      </c>
      <c r="R38" s="63">
        <f>Q38*'Cost Assumptions'!$B$5</f>
        <v>56.518952838950625</v>
      </c>
      <c r="S38" s="63">
        <f>R38*'Cost Assumptions'!$B$5</f>
        <v>57.931926659924386</v>
      </c>
      <c r="T38" s="63">
        <f>S38*'Cost Assumptions'!$B$5</f>
        <v>59.380224826422491</v>
      </c>
      <c r="U38" s="63">
        <f>T38*'Cost Assumptions'!$B$5</f>
        <v>60.864730447083048</v>
      </c>
      <c r="V38" s="63">
        <f>U38*'Cost Assumptions'!$B$5</f>
        <v>62.386348708260115</v>
      </c>
      <c r="W38" s="63">
        <f>V38*'Cost Assumptions'!$B$5</f>
        <v>63.946007425966613</v>
      </c>
      <c r="X38" s="63">
        <f>W38*'Cost Assumptions'!$B$5</f>
        <v>65.544657611615776</v>
      </c>
      <c r="Y38" s="63">
        <f>X38*'Cost Assumptions'!$B$5</f>
        <v>67.183274051906167</v>
      </c>
      <c r="Z38" s="63">
        <f>Y38*'Cost Assumptions'!$B$5</f>
        <v>68.862855903203823</v>
      </c>
      <c r="AA38" s="63">
        <f>Z38*'Cost Assumptions'!$B$5</f>
        <v>70.584427300783915</v>
      </c>
      <c r="AB38" s="63">
        <f>AA38*'Cost Assumptions'!$B$5</f>
        <v>72.349037983303504</v>
      </c>
      <c r="AC38" s="63">
        <f>AB38*'Cost Assumptions'!$B$5</f>
        <v>74.157763932886084</v>
      </c>
      <c r="AD38" s="63">
        <f>AC38*'Cost Assumptions'!$B$5</f>
        <v>76.011708031208229</v>
      </c>
    </row>
    <row r="39" spans="1:30" x14ac:dyDescent="0.35">
      <c r="A39" s="88"/>
      <c r="B39" s="88"/>
      <c r="C39" s="8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3.5" x14ac:dyDescent="0.55000000000000004">
      <c r="A40" s="88"/>
      <c r="B40" s="167" t="s">
        <v>150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</row>
    <row r="41" spans="1:30" ht="20" thickBot="1" x14ac:dyDescent="0.5">
      <c r="A41" s="117"/>
      <c r="B41" s="128" t="s">
        <v>151</v>
      </c>
      <c r="C41" s="117" t="s">
        <v>118</v>
      </c>
      <c r="D41" s="117">
        <v>2022</v>
      </c>
      <c r="E41" s="117">
        <v>2023</v>
      </c>
      <c r="F41" s="117">
        <v>2024</v>
      </c>
      <c r="G41" s="117">
        <v>2025</v>
      </c>
      <c r="H41" s="117">
        <v>2026</v>
      </c>
      <c r="I41" s="117">
        <v>2027</v>
      </c>
      <c r="J41" s="117">
        <v>2028</v>
      </c>
      <c r="K41" s="117">
        <v>2029</v>
      </c>
      <c r="L41" s="117">
        <v>2030</v>
      </c>
      <c r="M41" s="117">
        <v>2031</v>
      </c>
      <c r="N41" s="117">
        <v>2032</v>
      </c>
      <c r="O41" s="117">
        <v>2033</v>
      </c>
      <c r="P41" s="117">
        <v>2034</v>
      </c>
      <c r="Q41" s="117">
        <v>2035</v>
      </c>
      <c r="R41" s="117">
        <v>2036</v>
      </c>
      <c r="S41" s="117">
        <v>2037</v>
      </c>
      <c r="T41" s="117">
        <v>2038</v>
      </c>
      <c r="U41" s="117">
        <v>2039</v>
      </c>
      <c r="V41" s="117">
        <v>2040</v>
      </c>
      <c r="W41" s="117">
        <v>2041</v>
      </c>
      <c r="X41" s="117">
        <v>2042</v>
      </c>
      <c r="Y41" s="117">
        <v>2043</v>
      </c>
      <c r="Z41" s="117">
        <v>2044</v>
      </c>
      <c r="AA41" s="117">
        <v>2045</v>
      </c>
      <c r="AB41" s="117">
        <v>2046</v>
      </c>
      <c r="AC41" s="117">
        <v>2047</v>
      </c>
      <c r="AD41" s="117">
        <v>2048</v>
      </c>
    </row>
    <row r="42" spans="1:30" ht="15" thickTop="1" x14ac:dyDescent="0.35">
      <c r="A42" s="5">
        <f t="shared" ref="A42:A56" si="34">SUM(D42:AD42)/1000</f>
        <v>33.101999999980201</v>
      </c>
      <c r="B42" s="11">
        <f>NPV('Cost Assumptions'!$B$3,Menifee!D42:'Menifee'!AD42)</f>
        <v>9626.5783505640484</v>
      </c>
      <c r="C42" s="88" t="s">
        <v>120</v>
      </c>
      <c r="D42" s="63">
        <f t="shared" ref="D42:AD42" si="35">D2-D18</f>
        <v>768.97499999908177</v>
      </c>
      <c r="E42" s="63">
        <f t="shared" si="35"/>
        <v>804.13076922986511</v>
      </c>
      <c r="F42" s="63">
        <f t="shared" si="35"/>
        <v>839.28653846064844</v>
      </c>
      <c r="G42" s="63">
        <f t="shared" si="35"/>
        <v>874.44230769143178</v>
      </c>
      <c r="H42" s="63">
        <f t="shared" si="35"/>
        <v>909.59807692221511</v>
      </c>
      <c r="I42" s="63">
        <f t="shared" si="35"/>
        <v>944.75384615299845</v>
      </c>
      <c r="J42" s="63">
        <f t="shared" si="35"/>
        <v>979.90961538378178</v>
      </c>
      <c r="K42" s="63">
        <f t="shared" si="35"/>
        <v>1015.0653846145651</v>
      </c>
      <c r="L42" s="63">
        <f t="shared" si="35"/>
        <v>1050.2211538453485</v>
      </c>
      <c r="M42" s="63">
        <f t="shared" si="35"/>
        <v>1085.3769230761318</v>
      </c>
      <c r="N42" s="63">
        <f t="shared" si="35"/>
        <v>1120.5326923069151</v>
      </c>
      <c r="O42" s="63">
        <f t="shared" si="35"/>
        <v>1155.6884615376985</v>
      </c>
      <c r="P42" s="63">
        <f t="shared" si="35"/>
        <v>1190.8442307684818</v>
      </c>
      <c r="Q42" s="63">
        <f t="shared" si="35"/>
        <v>1225.9999999992651</v>
      </c>
      <c r="R42" s="63">
        <f t="shared" si="35"/>
        <v>1261.1557692300485</v>
      </c>
      <c r="S42" s="63">
        <f t="shared" si="35"/>
        <v>1296.3115384608318</v>
      </c>
      <c r="T42" s="63">
        <f t="shared" si="35"/>
        <v>1331.4673076916151</v>
      </c>
      <c r="U42" s="63">
        <f t="shared" si="35"/>
        <v>1366.6230769223985</v>
      </c>
      <c r="V42" s="63">
        <f t="shared" si="35"/>
        <v>1401.7788461531818</v>
      </c>
      <c r="W42" s="63">
        <f t="shared" si="35"/>
        <v>1436.9346153839651</v>
      </c>
      <c r="X42" s="63">
        <f t="shared" si="35"/>
        <v>1472.0903846147485</v>
      </c>
      <c r="Y42" s="63">
        <f t="shared" si="35"/>
        <v>1507.2461538455318</v>
      </c>
      <c r="Z42" s="63">
        <f t="shared" si="35"/>
        <v>1542.4019230763151</v>
      </c>
      <c r="AA42" s="63">
        <f t="shared" si="35"/>
        <v>1577.5576923070985</v>
      </c>
      <c r="AB42" s="63">
        <f t="shared" si="35"/>
        <v>1612.7134615378818</v>
      </c>
      <c r="AC42" s="63">
        <f t="shared" si="35"/>
        <v>1647.8692307686651</v>
      </c>
      <c r="AD42" s="63">
        <f t="shared" si="35"/>
        <v>1683.0249999994921</v>
      </c>
    </row>
    <row r="43" spans="1:30" x14ac:dyDescent="0.35">
      <c r="A43" s="5">
        <f t="shared" si="34"/>
        <v>1938.482153949481</v>
      </c>
      <c r="B43" s="11">
        <f>NPV('Cost Assumptions'!$B$3,Menifee!D43:'Menifee'!AD43)</f>
        <v>492147.58199495077</v>
      </c>
      <c r="C43" s="88" t="s">
        <v>152</v>
      </c>
      <c r="D43" s="63">
        <f>D42*D38</f>
        <v>30758.999999963271</v>
      </c>
      <c r="E43" s="63">
        <f>E42*E38</f>
        <v>32969.361538424469</v>
      </c>
      <c r="F43" s="63">
        <f>F42*F38</f>
        <v>35271.016778808749</v>
      </c>
      <c r="G43" s="63">
        <f>G42*G38</f>
        <v>37667.148930250725</v>
      </c>
      <c r="H43" s="63">
        <f t="shared" ref="H43:AD43" si="36">H42*H38</f>
        <v>40161.043303778046</v>
      </c>
      <c r="I43" s="63">
        <f t="shared" si="36"/>
        <v>42756.090427900323</v>
      </c>
      <c r="J43" s="63">
        <f t="shared" si="36"/>
        <v>45455.789256163858</v>
      </c>
      <c r="K43" s="63">
        <f t="shared" si="36"/>
        <v>48263.750469323131</v>
      </c>
      <c r="L43" s="63">
        <f t="shared" si="36"/>
        <v>51183.699874855258</v>
      </c>
      <c r="M43" s="63">
        <f t="shared" si="36"/>
        <v>54219.481906620669</v>
      </c>
      <c r="N43" s="63">
        <f t="shared" si="36"/>
        <v>57375.063227552564</v>
      </c>
      <c r="O43" s="63">
        <f t="shared" si="36"/>
        <v>60654.536438339412</v>
      </c>
      <c r="P43" s="63">
        <f t="shared" si="36"/>
        <v>64062.123895148383</v>
      </c>
      <c r="Q43" s="63">
        <f t="shared" si="36"/>
        <v>67602.181639523842</v>
      </c>
      <c r="R43" s="63">
        <f t="shared" si="36"/>
        <v>71279.203443683611</v>
      </c>
      <c r="S43" s="63">
        <f t="shared" si="36"/>
        <v>75097.824974526651</v>
      </c>
      <c r="T43" s="63">
        <f t="shared" si="36"/>
        <v>79062.828079759565</v>
      </c>
      <c r="U43" s="63">
        <f t="shared" si="36"/>
        <v>83179.14519964502</v>
      </c>
      <c r="V43" s="63">
        <f t="shared" si="36"/>
        <v>87451.863907974912</v>
      </c>
      <c r="W43" s="63">
        <f t="shared" si="36"/>
        <v>91886.231585971516</v>
      </c>
      <c r="X43" s="63">
        <f t="shared" si="36"/>
        <v>96487.660232925467</v>
      </c>
      <c r="Y43" s="63">
        <f t="shared" si="36"/>
        <v>101261.73141748589</v>
      </c>
      <c r="Z43" s="63">
        <f t="shared" si="36"/>
        <v>106214.20137362876</v>
      </c>
      <c r="AA43" s="63">
        <f t="shared" si="36"/>
        <v>111351.00624544283</v>
      </c>
      <c r="AB43" s="63">
        <f t="shared" si="36"/>
        <v>116678.26748498909</v>
      </c>
      <c r="AC43" s="63">
        <f t="shared" si="36"/>
        <v>122202.29740760925</v>
      </c>
      <c r="AD43" s="63">
        <f t="shared" si="36"/>
        <v>127929.60490918563</v>
      </c>
    </row>
    <row r="44" spans="1:30" x14ac:dyDescent="0.35">
      <c r="A44" s="5">
        <f t="shared" si="34"/>
        <v>2.9638000000000031</v>
      </c>
      <c r="B44" s="11">
        <f>NPV('Cost Assumptions'!$B$3,Menifee!D44:'Menifee'!AD44)</f>
        <v>409.09878472503806</v>
      </c>
      <c r="C44" s="88" t="s">
        <v>31</v>
      </c>
      <c r="D44" s="63">
        <f t="shared" ref="D44:AD44" si="37">D3-D19</f>
        <v>4.7</v>
      </c>
      <c r="E44" s="63">
        <f t="shared" si="37"/>
        <v>5.5</v>
      </c>
      <c r="F44" s="63">
        <f t="shared" si="37"/>
        <v>4.9999999999999929</v>
      </c>
      <c r="G44" s="63">
        <f t="shared" si="37"/>
        <v>4.4999999999999858</v>
      </c>
      <c r="H44" s="63">
        <f t="shared" si="37"/>
        <v>3.9999999999999787</v>
      </c>
      <c r="I44" s="63">
        <f t="shared" si="37"/>
        <v>3.4999999999999716</v>
      </c>
      <c r="J44" s="63">
        <f t="shared" si="37"/>
        <v>2.9999999999999716</v>
      </c>
      <c r="K44" s="63">
        <f t="shared" si="37"/>
        <v>4.9500000000000028</v>
      </c>
      <c r="L44" s="63">
        <f t="shared" si="37"/>
        <v>6.9000000000000341</v>
      </c>
      <c r="M44" s="63">
        <f t="shared" si="37"/>
        <v>8.8500000000000796</v>
      </c>
      <c r="N44" s="63">
        <f t="shared" si="37"/>
        <v>10.800000000000068</v>
      </c>
      <c r="O44" s="63">
        <f t="shared" si="37"/>
        <v>53.6666666666666</v>
      </c>
      <c r="P44" s="63">
        <f t="shared" si="37"/>
        <v>55.393333333333317</v>
      </c>
      <c r="Q44" s="63">
        <f t="shared" si="37"/>
        <v>57.120000000000005</v>
      </c>
      <c r="R44" s="63">
        <f t="shared" si="37"/>
        <v>58.846666666666692</v>
      </c>
      <c r="S44" s="63">
        <f t="shared" si="37"/>
        <v>60.57333333333338</v>
      </c>
      <c r="T44" s="63">
        <f t="shared" si="37"/>
        <v>62.300000000000182</v>
      </c>
      <c r="U44" s="63">
        <f t="shared" si="37"/>
        <v>118.44000000000017</v>
      </c>
      <c r="V44" s="63">
        <f t="shared" si="37"/>
        <v>174.58000000000015</v>
      </c>
      <c r="W44" s="63">
        <f t="shared" si="37"/>
        <v>230.72000000000025</v>
      </c>
      <c r="X44" s="63">
        <f t="shared" si="37"/>
        <v>286.86000000000035</v>
      </c>
      <c r="Y44" s="63">
        <f t="shared" si="37"/>
        <v>187.70000000000005</v>
      </c>
      <c r="Z44" s="63">
        <f t="shared" si="37"/>
        <v>228.86000000000013</v>
      </c>
      <c r="AA44" s="63">
        <f t="shared" si="37"/>
        <v>270.02000000000021</v>
      </c>
      <c r="AB44" s="63">
        <f t="shared" si="37"/>
        <v>311.18000000000029</v>
      </c>
      <c r="AC44" s="63">
        <f t="shared" si="37"/>
        <v>352.3400000000006</v>
      </c>
      <c r="AD44" s="63">
        <f t="shared" si="37"/>
        <v>393.50000000000045</v>
      </c>
    </row>
    <row r="45" spans="1:30" x14ac:dyDescent="0.35">
      <c r="A45" s="5">
        <f t="shared" si="34"/>
        <v>-0.15409999999999993</v>
      </c>
      <c r="B45" s="11">
        <f>NPV('Cost Assumptions'!$B$3,Menifee!D45:'Menifee'!AD45)</f>
        <v>-37.633187099370929</v>
      </c>
      <c r="C45" s="88" t="s">
        <v>32</v>
      </c>
      <c r="D45" s="63">
        <f t="shared" ref="D45:AD45" si="38">D4-D20</f>
        <v>-1</v>
      </c>
      <c r="E45" s="63">
        <f t="shared" si="38"/>
        <v>-3</v>
      </c>
      <c r="F45" s="63">
        <f t="shared" si="38"/>
        <v>-3.0600000000000023</v>
      </c>
      <c r="G45" s="63">
        <f t="shared" si="38"/>
        <v>-3.1200000000000045</v>
      </c>
      <c r="H45" s="63">
        <f t="shared" si="38"/>
        <v>-3.1800000000000068</v>
      </c>
      <c r="I45" s="63">
        <f t="shared" si="38"/>
        <v>-3.2400000000000091</v>
      </c>
      <c r="J45" s="63">
        <f t="shared" si="38"/>
        <v>-3.3000000000000114</v>
      </c>
      <c r="K45" s="63">
        <f t="shared" si="38"/>
        <v>-3.9249999999999972</v>
      </c>
      <c r="L45" s="63">
        <f t="shared" si="38"/>
        <v>-4.5499999999999829</v>
      </c>
      <c r="M45" s="63">
        <f t="shared" si="38"/>
        <v>-5.1749999999999687</v>
      </c>
      <c r="N45" s="63">
        <f t="shared" si="38"/>
        <v>-5.7999999999999545</v>
      </c>
      <c r="O45" s="63">
        <f t="shared" si="38"/>
        <v>-6.6499999999999773</v>
      </c>
      <c r="P45" s="63">
        <f t="shared" si="38"/>
        <v>-5.9199999999999804</v>
      </c>
      <c r="Q45" s="63">
        <f t="shared" si="38"/>
        <v>-5.1899999999999835</v>
      </c>
      <c r="R45" s="63">
        <f t="shared" si="38"/>
        <v>-4.4599999999999866</v>
      </c>
      <c r="S45" s="63">
        <f t="shared" si="38"/>
        <v>-3.7299999999999898</v>
      </c>
      <c r="T45" s="63">
        <f t="shared" si="38"/>
        <v>-3</v>
      </c>
      <c r="U45" s="63">
        <f t="shared" si="38"/>
        <v>-3.3600000000000065</v>
      </c>
      <c r="V45" s="63">
        <f t="shared" si="38"/>
        <v>-3.7200000000000131</v>
      </c>
      <c r="W45" s="63">
        <f t="shared" si="38"/>
        <v>-4.0800000000000196</v>
      </c>
      <c r="X45" s="63">
        <f t="shared" si="38"/>
        <v>-4.4400000000000261</v>
      </c>
      <c r="Y45" s="63">
        <f t="shared" si="38"/>
        <v>-4.8000000000000256</v>
      </c>
      <c r="Z45" s="63">
        <f t="shared" si="38"/>
        <v>-7.5600000000000165</v>
      </c>
      <c r="AA45" s="63">
        <f t="shared" si="38"/>
        <v>-10.320000000000007</v>
      </c>
      <c r="AB45" s="63">
        <f t="shared" si="38"/>
        <v>-13.079999999999998</v>
      </c>
      <c r="AC45" s="63">
        <f t="shared" si="38"/>
        <v>-15.839999999999989</v>
      </c>
      <c r="AD45" s="63">
        <f t="shared" si="38"/>
        <v>-18.599999999999994</v>
      </c>
    </row>
    <row r="46" spans="1:30" x14ac:dyDescent="0.35">
      <c r="A46" s="5">
        <f t="shared" si="34"/>
        <v>0.13490504849692772</v>
      </c>
      <c r="B46" s="11">
        <f>NPV('Cost Assumptions'!$B$3,Menifee!D46:'Menifee'!AD46)</f>
        <v>13.473803123360129</v>
      </c>
      <c r="C46" s="88" t="s">
        <v>33</v>
      </c>
      <c r="D46" s="63">
        <f t="shared" ref="D46:AD46" si="39">D5-D21</f>
        <v>8.479936359567726E-2</v>
      </c>
      <c r="E46" s="63">
        <f t="shared" si="39"/>
        <v>0.24280821492819449</v>
      </c>
      <c r="F46" s="63">
        <f t="shared" si="39"/>
        <v>0.22671603116922201</v>
      </c>
      <c r="G46" s="63">
        <f t="shared" si="39"/>
        <v>0.21062384741024953</v>
      </c>
      <c r="H46" s="63">
        <f t="shared" si="39"/>
        <v>0.19453166365127711</v>
      </c>
      <c r="I46" s="63">
        <f t="shared" si="39"/>
        <v>0.17843947989230469</v>
      </c>
      <c r="J46" s="63">
        <f t="shared" si="39"/>
        <v>0.1623472961333321</v>
      </c>
      <c r="K46" s="63">
        <f t="shared" si="39"/>
        <v>0.1487149294714385</v>
      </c>
      <c r="L46" s="63">
        <f t="shared" si="39"/>
        <v>0.13508256280954489</v>
      </c>
      <c r="M46" s="63">
        <f t="shared" si="39"/>
        <v>0.12145019614765107</v>
      </c>
      <c r="N46" s="63">
        <f t="shared" si="39"/>
        <v>0.10781782948575769</v>
      </c>
      <c r="O46" s="63">
        <f t="shared" si="39"/>
        <v>2.0240095175718844</v>
      </c>
      <c r="P46" s="63">
        <f t="shared" si="39"/>
        <v>1.2970632203273986</v>
      </c>
      <c r="Q46" s="63">
        <f t="shared" si="39"/>
        <v>0.57011692308291195</v>
      </c>
      <c r="R46" s="63">
        <f t="shared" si="39"/>
        <v>-0.15682937416157472</v>
      </c>
      <c r="S46" s="63">
        <f t="shared" si="39"/>
        <v>-0.88377567140605962</v>
      </c>
      <c r="T46" s="63">
        <f t="shared" si="39"/>
        <v>-1.610721968650541</v>
      </c>
      <c r="U46" s="63">
        <f t="shared" si="39"/>
        <v>-0.77226485569585179</v>
      </c>
      <c r="V46" s="63">
        <f t="shared" si="39"/>
        <v>6.619225725883382E-2</v>
      </c>
      <c r="W46" s="63">
        <f t="shared" si="39"/>
        <v>0.90464937021351943</v>
      </c>
      <c r="X46" s="63">
        <f t="shared" si="39"/>
        <v>1.743106483168205</v>
      </c>
      <c r="Y46" s="63">
        <f t="shared" si="39"/>
        <v>2.5815635961228907</v>
      </c>
      <c r="Z46" s="63">
        <f t="shared" si="39"/>
        <v>10.209616236375354</v>
      </c>
      <c r="AA46" s="63">
        <f t="shared" si="39"/>
        <v>17.837668876627816</v>
      </c>
      <c r="AB46" s="63">
        <f t="shared" si="39"/>
        <v>25.465721516880279</v>
      </c>
      <c r="AC46" s="63">
        <f t="shared" si="39"/>
        <v>33.093774157132771</v>
      </c>
      <c r="AD46" s="63">
        <f t="shared" si="39"/>
        <v>40.721826797385233</v>
      </c>
    </row>
    <row r="47" spans="1:30" x14ac:dyDescent="0.35">
      <c r="A47" s="5">
        <f t="shared" si="34"/>
        <v>-6.3153135304766874E-4</v>
      </c>
      <c r="B47" s="11">
        <f>NPV('Cost Assumptions'!$B$3,Menifee!D47:'Menifee'!AD47)</f>
        <v>-0.16638800514405044</v>
      </c>
      <c r="C47" s="88" t="s">
        <v>34</v>
      </c>
      <c r="D47" s="63">
        <f t="shared" ref="D47:AD47" si="40">D6-D22</f>
        <v>-3.4351297744394851E-4</v>
      </c>
      <c r="E47" s="63">
        <f t="shared" si="40"/>
        <v>1.2160985003967194E-3</v>
      </c>
      <c r="F47" s="63">
        <f t="shared" si="40"/>
        <v>-2.4135397843202122E-3</v>
      </c>
      <c r="G47" s="63">
        <f t="shared" si="40"/>
        <v>-6.0431780690371473E-3</v>
      </c>
      <c r="H47" s="63">
        <f t="shared" si="40"/>
        <v>-9.6728163537540823E-3</v>
      </c>
      <c r="I47" s="63">
        <f t="shared" si="40"/>
        <v>-1.3302454638471017E-2</v>
      </c>
      <c r="J47" s="63">
        <f t="shared" si="40"/>
        <v>-1.6932092923187939E-2</v>
      </c>
      <c r="K47" s="63">
        <f t="shared" si="40"/>
        <v>-2.1672159178355702E-2</v>
      </c>
      <c r="L47" s="63">
        <f t="shared" si="40"/>
        <v>-2.6412225433523465E-2</v>
      </c>
      <c r="M47" s="63">
        <f t="shared" si="40"/>
        <v>-3.1152291688691214E-2</v>
      </c>
      <c r="N47" s="63">
        <f t="shared" si="40"/>
        <v>-3.5892357943858977E-2</v>
      </c>
      <c r="O47" s="63">
        <f t="shared" si="40"/>
        <v>-6.7540004967010236E-3</v>
      </c>
      <c r="P47" s="63">
        <f t="shared" si="40"/>
        <v>-1.9024897761248549E-2</v>
      </c>
      <c r="Q47" s="63">
        <f t="shared" si="40"/>
        <v>-3.1295795025796103E-2</v>
      </c>
      <c r="R47" s="63">
        <f t="shared" si="40"/>
        <v>-4.3566692290343656E-2</v>
      </c>
      <c r="S47" s="63">
        <f t="shared" si="40"/>
        <v>-5.5837589554891265E-2</v>
      </c>
      <c r="T47" s="63">
        <f t="shared" si="40"/>
        <v>-6.8108486819438818E-2</v>
      </c>
      <c r="U47" s="63">
        <f t="shared" si="40"/>
        <v>-6.4283042241725319E-2</v>
      </c>
      <c r="V47" s="63">
        <f t="shared" si="40"/>
        <v>-6.045759766401182E-2</v>
      </c>
      <c r="W47" s="63">
        <f t="shared" si="40"/>
        <v>-5.663215308629832E-2</v>
      </c>
      <c r="X47" s="63">
        <f t="shared" si="40"/>
        <v>-5.2806708508584821E-2</v>
      </c>
      <c r="Y47" s="63">
        <f t="shared" si="40"/>
        <v>-4.8981263930871322E-2</v>
      </c>
      <c r="Z47" s="63">
        <f t="shared" si="40"/>
        <v>-3.0065015632414926E-2</v>
      </c>
      <c r="AA47" s="63">
        <f t="shared" si="40"/>
        <v>-1.1148767333958531E-2</v>
      </c>
      <c r="AB47" s="63">
        <f t="shared" si="40"/>
        <v>7.7674809644978637E-3</v>
      </c>
      <c r="AC47" s="63">
        <f t="shared" si="40"/>
        <v>2.6683729262954259E-2</v>
      </c>
      <c r="AD47" s="63">
        <f t="shared" si="40"/>
        <v>4.5599977561410654E-2</v>
      </c>
    </row>
    <row r="48" spans="1:30" x14ac:dyDescent="0.35">
      <c r="A48" s="5">
        <f t="shared" si="34"/>
        <v>1.0609999999999999</v>
      </c>
      <c r="B48" s="11">
        <f>NPV('Cost Assumptions'!$B$3,Menifee!D48:'Menifee'!AD48)</f>
        <v>267.54850896735439</v>
      </c>
      <c r="C48" s="88" t="s">
        <v>35</v>
      </c>
      <c r="D48" s="63">
        <f t="shared" ref="D48:AD48" si="41">D7-D23</f>
        <v>12</v>
      </c>
      <c r="E48" s="63">
        <f t="shared" si="41"/>
        <v>17</v>
      </c>
      <c r="F48" s="63">
        <f t="shared" si="41"/>
        <v>18.399999999999999</v>
      </c>
      <c r="G48" s="63">
        <f t="shared" si="41"/>
        <v>19.799999999999997</v>
      </c>
      <c r="H48" s="63">
        <f t="shared" si="41"/>
        <v>21.2</v>
      </c>
      <c r="I48" s="63">
        <f t="shared" si="41"/>
        <v>22.599999999999998</v>
      </c>
      <c r="J48" s="63">
        <f t="shared" si="41"/>
        <v>24</v>
      </c>
      <c r="K48" s="63">
        <f t="shared" si="41"/>
        <v>26.25</v>
      </c>
      <c r="L48" s="63">
        <f t="shared" si="41"/>
        <v>28.5</v>
      </c>
      <c r="M48" s="63">
        <f t="shared" si="41"/>
        <v>30.75</v>
      </c>
      <c r="N48" s="63">
        <f t="shared" si="41"/>
        <v>33</v>
      </c>
      <c r="O48" s="63">
        <f t="shared" si="41"/>
        <v>34.833333333333336</v>
      </c>
      <c r="P48" s="63">
        <f t="shared" si="41"/>
        <v>37.666666666666671</v>
      </c>
      <c r="Q48" s="63">
        <f t="shared" si="41"/>
        <v>40.5</v>
      </c>
      <c r="R48" s="63">
        <f t="shared" si="41"/>
        <v>43.333333333333329</v>
      </c>
      <c r="S48" s="63">
        <f t="shared" si="41"/>
        <v>46.166666666666657</v>
      </c>
      <c r="T48" s="63">
        <f t="shared" si="41"/>
        <v>49</v>
      </c>
      <c r="U48" s="63">
        <f t="shared" si="41"/>
        <v>50.2</v>
      </c>
      <c r="V48" s="63">
        <f t="shared" si="41"/>
        <v>51.400000000000006</v>
      </c>
      <c r="W48" s="63">
        <f t="shared" si="41"/>
        <v>52.600000000000009</v>
      </c>
      <c r="X48" s="63">
        <f t="shared" si="41"/>
        <v>53.800000000000011</v>
      </c>
      <c r="Y48" s="63">
        <f t="shared" si="41"/>
        <v>55</v>
      </c>
      <c r="Z48" s="63">
        <f t="shared" si="41"/>
        <v>56.199999999999989</v>
      </c>
      <c r="AA48" s="63">
        <f t="shared" si="41"/>
        <v>57.399999999999977</v>
      </c>
      <c r="AB48" s="63">
        <f t="shared" si="41"/>
        <v>58.599999999999966</v>
      </c>
      <c r="AC48" s="63">
        <f t="shared" si="41"/>
        <v>59.799999999999955</v>
      </c>
      <c r="AD48" s="63">
        <f t="shared" si="41"/>
        <v>61</v>
      </c>
    </row>
    <row r="49" spans="1:30" s="62" customFormat="1" ht="13.9" customHeight="1" x14ac:dyDescent="0.35">
      <c r="A49" s="5">
        <f t="shared" si="34"/>
        <v>233.60639013116236</v>
      </c>
      <c r="B49" s="11">
        <f>NPV('Cost Assumptions'!$B$3,D49:AD49)</f>
        <v>54114.179928585007</v>
      </c>
      <c r="C49" s="86" t="s">
        <v>153</v>
      </c>
      <c r="D49" s="63">
        <f>D13-D24</f>
        <v>1897.2163990839381</v>
      </c>
      <c r="E49" s="63">
        <f t="shared" ref="E49:AD49" si="42">E13-E24</f>
        <v>2177.3309561137412</v>
      </c>
      <c r="F49" s="63">
        <f t="shared" si="42"/>
        <v>2717.1969022006379</v>
      </c>
      <c r="G49" s="63">
        <f t="shared" si="42"/>
        <v>3257.0628482875345</v>
      </c>
      <c r="H49" s="63">
        <f t="shared" si="42"/>
        <v>3796.928794374433</v>
      </c>
      <c r="I49" s="63">
        <f t="shared" si="42"/>
        <v>4336.7947404613296</v>
      </c>
      <c r="J49" s="63">
        <f t="shared" si="42"/>
        <v>4876.6606865482263</v>
      </c>
      <c r="K49" s="63">
        <f t="shared" si="42"/>
        <v>5416.526632635123</v>
      </c>
      <c r="L49" s="63">
        <f t="shared" si="42"/>
        <v>6056.3925787219796</v>
      </c>
      <c r="M49" s="63">
        <f t="shared" si="42"/>
        <v>6496.2585248089163</v>
      </c>
      <c r="N49" s="63">
        <f t="shared" si="42"/>
        <v>7036.1244708958129</v>
      </c>
      <c r="O49" s="63">
        <f t="shared" si="42"/>
        <v>7575.9904169827096</v>
      </c>
      <c r="P49" s="63">
        <f t="shared" si="42"/>
        <v>8115.8563630696081</v>
      </c>
      <c r="Q49" s="63">
        <f t="shared" si="42"/>
        <v>8655.7223091565029</v>
      </c>
      <c r="R49" s="63">
        <f t="shared" si="42"/>
        <v>9195.5882552433977</v>
      </c>
      <c r="S49" s="63">
        <f t="shared" si="42"/>
        <v>9735.4542013302962</v>
      </c>
      <c r="T49" s="63">
        <f t="shared" si="42"/>
        <v>10275.320147417195</v>
      </c>
      <c r="U49" s="63">
        <f t="shared" si="42"/>
        <v>10815.18609350409</v>
      </c>
      <c r="V49" s="63">
        <f t="shared" si="42"/>
        <v>11355.052039590984</v>
      </c>
      <c r="W49" s="63">
        <f t="shared" si="42"/>
        <v>11894.917985677883</v>
      </c>
      <c r="X49" s="63">
        <f t="shared" si="42"/>
        <v>12434.783931764781</v>
      </c>
      <c r="Y49" s="63">
        <f t="shared" si="42"/>
        <v>12957.147073115644</v>
      </c>
      <c r="Z49" s="63">
        <f t="shared" si="42"/>
        <v>13479.510214466507</v>
      </c>
      <c r="AA49" s="63">
        <f t="shared" si="42"/>
        <v>14001.87335581737</v>
      </c>
      <c r="AB49" s="63">
        <f t="shared" si="42"/>
        <v>14524.236497168233</v>
      </c>
      <c r="AC49" s="63">
        <f t="shared" si="42"/>
        <v>15046.599638519096</v>
      </c>
      <c r="AD49" s="63">
        <f t="shared" si="42"/>
        <v>15478.658074206367</v>
      </c>
    </row>
    <row r="50" spans="1:30" s="62" customFormat="1" x14ac:dyDescent="0.35">
      <c r="A50" s="5">
        <f t="shared" si="34"/>
        <v>3368.6222911377495</v>
      </c>
      <c r="B50" s="11">
        <f>NPV('Cost Assumptions'!$B$3,D50:AD50)</f>
        <v>1139100.4622220432</v>
      </c>
      <c r="C50" s="86" t="s">
        <v>154</v>
      </c>
      <c r="D50" s="63">
        <f>D14-D25</f>
        <v>121242.55264156974</v>
      </c>
      <c r="E50" s="63">
        <f t="shared" ref="E50:AD50" si="43">E14-E25</f>
        <v>121631.64752850792</v>
      </c>
      <c r="F50" s="63">
        <f t="shared" si="43"/>
        <v>121816.40205476788</v>
      </c>
      <c r="G50" s="63">
        <f t="shared" si="43"/>
        <v>122006.25039757883</v>
      </c>
      <c r="H50" s="63">
        <f t="shared" si="43"/>
        <v>122205.92013549339</v>
      </c>
      <c r="I50" s="63">
        <f t="shared" si="43"/>
        <v>122434.83311479662</v>
      </c>
      <c r="J50" s="63">
        <f t="shared" si="43"/>
        <v>122663.70632821276</v>
      </c>
      <c r="K50" s="63">
        <f t="shared" si="43"/>
        <v>122946.63286275804</v>
      </c>
      <c r="L50" s="63">
        <f t="shared" si="43"/>
        <v>123234.45043811023</v>
      </c>
      <c r="M50" s="63">
        <f t="shared" si="43"/>
        <v>123535.3676277761</v>
      </c>
      <c r="N50" s="63">
        <f t="shared" si="43"/>
        <v>123840.23526820273</v>
      </c>
      <c r="O50" s="63">
        <f t="shared" si="43"/>
        <v>124149.16262021092</v>
      </c>
      <c r="P50" s="63">
        <f t="shared" si="43"/>
        <v>124462.66123721638</v>
      </c>
      <c r="Q50" s="63">
        <f t="shared" si="43"/>
        <v>124768.79398013002</v>
      </c>
      <c r="R50" s="63">
        <f t="shared" si="43"/>
        <v>125077.60412961108</v>
      </c>
      <c r="S50" s="63">
        <f t="shared" si="43"/>
        <v>125388.42950400145</v>
      </c>
      <c r="T50" s="63">
        <f t="shared" si="43"/>
        <v>125702.7856317999</v>
      </c>
      <c r="U50" s="63">
        <f t="shared" si="43"/>
        <v>125990.71639895759</v>
      </c>
      <c r="V50" s="63">
        <f t="shared" si="43"/>
        <v>126277.86540201455</v>
      </c>
      <c r="W50" s="63">
        <f t="shared" si="43"/>
        <v>126563.34839954652</v>
      </c>
      <c r="X50" s="63">
        <f t="shared" si="43"/>
        <v>126849.05741000625</v>
      </c>
      <c r="Y50" s="63">
        <f t="shared" si="43"/>
        <v>127092.91105007814</v>
      </c>
      <c r="Z50" s="63">
        <f t="shared" si="43"/>
        <v>127330.8467915589</v>
      </c>
      <c r="AA50" s="63">
        <f t="shared" si="43"/>
        <v>127561.07842300991</v>
      </c>
      <c r="AB50" s="63">
        <f t="shared" si="43"/>
        <v>127785.10229536351</v>
      </c>
      <c r="AC50" s="63">
        <f t="shared" si="43"/>
        <v>127954.66459279449</v>
      </c>
      <c r="AD50" s="63">
        <f t="shared" si="43"/>
        <v>128109.26487367584</v>
      </c>
    </row>
    <row r="51" spans="1:30" s="82" customFormat="1" x14ac:dyDescent="0.35">
      <c r="A51" s="5">
        <f t="shared" si="34"/>
        <v>1848.4207520057885</v>
      </c>
      <c r="B51" s="11">
        <f>NPV('Cost Assumptions'!$B$3,D51:AD51)</f>
        <v>528219.78220107977</v>
      </c>
      <c r="C51" s="86" t="s">
        <v>155</v>
      </c>
      <c r="D51" s="63">
        <f>D15-D26</f>
        <v>41950.270664950898</v>
      </c>
      <c r="E51" s="63">
        <f t="shared" ref="E51:AD51" si="44">E15-E26</f>
        <v>44543.511863020707</v>
      </c>
      <c r="F51" s="63">
        <f t="shared" si="44"/>
        <v>45828.868549568069</v>
      </c>
      <c r="G51" s="63">
        <f t="shared" si="44"/>
        <v>47153.388319177473</v>
      </c>
      <c r="H51" s="63">
        <f t="shared" si="44"/>
        <v>48574.508171559806</v>
      </c>
      <c r="I51" s="63">
        <f t="shared" si="44"/>
        <v>50215.756740615325</v>
      </c>
      <c r="J51" s="63">
        <f t="shared" si="44"/>
        <v>51874.628505256784</v>
      </c>
      <c r="K51" s="63">
        <f t="shared" si="44"/>
        <v>53948.57443924679</v>
      </c>
      <c r="L51" s="63">
        <f t="shared" si="44"/>
        <v>56088.226650565055</v>
      </c>
      <c r="M51" s="63">
        <f t="shared" si="44"/>
        <v>58289.349617770917</v>
      </c>
      <c r="N51" s="63">
        <f t="shared" si="44"/>
        <v>60550.041456789753</v>
      </c>
      <c r="O51" s="63">
        <f t="shared" si="44"/>
        <v>62901.781122832261</v>
      </c>
      <c r="P51" s="63">
        <f t="shared" si="44"/>
        <v>65336.06110877014</v>
      </c>
      <c r="Q51" s="63">
        <f t="shared" si="44"/>
        <v>67785.831116802379</v>
      </c>
      <c r="R51" s="63">
        <f t="shared" si="44"/>
        <v>70278.290238368936</v>
      </c>
      <c r="S51" s="63">
        <f t="shared" si="44"/>
        <v>72822.215885590063</v>
      </c>
      <c r="T51" s="63">
        <f t="shared" si="44"/>
        <v>75385.324227160687</v>
      </c>
      <c r="U51" s="63">
        <f t="shared" si="44"/>
        <v>77761.621420701849</v>
      </c>
      <c r="V51" s="63">
        <f t="shared" si="44"/>
        <v>80141.816348201392</v>
      </c>
      <c r="W51" s="63">
        <f t="shared" si="44"/>
        <v>82517.070702119643</v>
      </c>
      <c r="X51" s="63">
        <f t="shared" si="44"/>
        <v>84916.872847499122</v>
      </c>
      <c r="Y51" s="63">
        <f t="shared" si="44"/>
        <v>86969.427205090877</v>
      </c>
      <c r="Z51" s="63">
        <f t="shared" si="44"/>
        <v>88983.439541289321</v>
      </c>
      <c r="AA51" s="63">
        <f t="shared" si="44"/>
        <v>90925.104045702174</v>
      </c>
      <c r="AB51" s="63">
        <f t="shared" si="44"/>
        <v>92815.793002230304</v>
      </c>
      <c r="AC51" s="63">
        <f t="shared" si="44"/>
        <v>94275.031559094467</v>
      </c>
      <c r="AD51" s="63">
        <f t="shared" si="44"/>
        <v>95587.946655813459</v>
      </c>
    </row>
    <row r="52" spans="1:30" x14ac:dyDescent="0.35">
      <c r="A52" s="5">
        <f t="shared" si="34"/>
        <v>56.228499999999997</v>
      </c>
      <c r="B52" s="11">
        <f>NPV('Cost Assumptions'!$B$3,Menifee!D52:'Menifee'!AD52)</f>
        <v>8626.6104282535925</v>
      </c>
      <c r="C52" s="88" t="s">
        <v>31</v>
      </c>
      <c r="D52" s="63">
        <f t="shared" ref="D52:AD52" si="45">D8-D27</f>
        <v>22.2</v>
      </c>
      <c r="E52" s="63">
        <f t="shared" si="45"/>
        <v>65.8</v>
      </c>
      <c r="F52" s="63">
        <f t="shared" si="45"/>
        <v>102.72</v>
      </c>
      <c r="G52" s="63">
        <f t="shared" si="45"/>
        <v>139.63999999999999</v>
      </c>
      <c r="H52" s="63">
        <f t="shared" si="45"/>
        <v>176.56</v>
      </c>
      <c r="I52" s="63">
        <f t="shared" si="45"/>
        <v>213.48000000000002</v>
      </c>
      <c r="J52" s="63">
        <f t="shared" si="45"/>
        <v>250.4</v>
      </c>
      <c r="K52" s="63">
        <f t="shared" si="45"/>
        <v>348.67500000000001</v>
      </c>
      <c r="L52" s="63">
        <f t="shared" si="45"/>
        <v>446.95000000000005</v>
      </c>
      <c r="M52" s="63">
        <f t="shared" si="45"/>
        <v>545.22500000000002</v>
      </c>
      <c r="N52" s="63">
        <f t="shared" si="45"/>
        <v>643.5</v>
      </c>
      <c r="O52" s="63">
        <f t="shared" si="45"/>
        <v>904.91666666666674</v>
      </c>
      <c r="P52" s="63">
        <f t="shared" si="45"/>
        <v>1166.3333333333335</v>
      </c>
      <c r="Q52" s="63">
        <f t="shared" si="45"/>
        <v>1427.7500000000002</v>
      </c>
      <c r="R52" s="63">
        <f t="shared" si="45"/>
        <v>1689.166666666667</v>
      </c>
      <c r="S52" s="63">
        <f t="shared" si="45"/>
        <v>1950.5833333333337</v>
      </c>
      <c r="T52" s="63">
        <f t="shared" si="45"/>
        <v>2212</v>
      </c>
      <c r="U52" s="63">
        <f t="shared" si="45"/>
        <v>2606.48</v>
      </c>
      <c r="V52" s="63">
        <f t="shared" si="45"/>
        <v>3000.96</v>
      </c>
      <c r="W52" s="63">
        <f t="shared" si="45"/>
        <v>3395.44</v>
      </c>
      <c r="X52" s="63">
        <f t="shared" si="45"/>
        <v>3789.92</v>
      </c>
      <c r="Y52" s="63">
        <f t="shared" si="45"/>
        <v>4181.2000000000007</v>
      </c>
      <c r="Z52" s="63">
        <f t="shared" si="45"/>
        <v>4584.0400000000009</v>
      </c>
      <c r="AA52" s="63">
        <f t="shared" si="45"/>
        <v>4986.88</v>
      </c>
      <c r="AB52" s="63">
        <f t="shared" si="45"/>
        <v>5389.72</v>
      </c>
      <c r="AC52" s="63">
        <f t="shared" si="45"/>
        <v>5792.56</v>
      </c>
      <c r="AD52" s="63">
        <f t="shared" si="45"/>
        <v>6195.3999999999987</v>
      </c>
    </row>
    <row r="53" spans="1:30" x14ac:dyDescent="0.35">
      <c r="A53" s="5">
        <f t="shared" si="34"/>
        <v>3.9298000000000002</v>
      </c>
      <c r="B53" s="11">
        <f>NPV('Cost Assumptions'!$B$3,Menifee!D53:'Menifee'!AD53)</f>
        <v>841.79951763744918</v>
      </c>
      <c r="C53" s="88" t="s">
        <v>32</v>
      </c>
      <c r="D53" s="63">
        <f t="shared" ref="D53:AD53" si="46">D9-D28</f>
        <v>13</v>
      </c>
      <c r="E53" s="63">
        <f t="shared" si="46"/>
        <v>27</v>
      </c>
      <c r="F53" s="63">
        <f t="shared" si="46"/>
        <v>34.519999999999982</v>
      </c>
      <c r="G53" s="63">
        <f t="shared" si="46"/>
        <v>42.039999999999964</v>
      </c>
      <c r="H53" s="63">
        <f t="shared" si="46"/>
        <v>49.559999999999945</v>
      </c>
      <c r="I53" s="63">
        <f t="shared" si="46"/>
        <v>57.079999999999927</v>
      </c>
      <c r="J53" s="63">
        <f t="shared" si="46"/>
        <v>64.599999999999909</v>
      </c>
      <c r="K53" s="63">
        <f t="shared" si="46"/>
        <v>75.024999999999935</v>
      </c>
      <c r="L53" s="63">
        <f t="shared" si="46"/>
        <v>85.44999999999996</v>
      </c>
      <c r="M53" s="63">
        <f t="shared" si="46"/>
        <v>95.874999999999986</v>
      </c>
      <c r="N53" s="63">
        <f t="shared" si="46"/>
        <v>106.3</v>
      </c>
      <c r="O53" s="63">
        <f t="shared" si="46"/>
        <v>120.25</v>
      </c>
      <c r="P53" s="63">
        <f t="shared" si="46"/>
        <v>134.19999999999999</v>
      </c>
      <c r="Q53" s="63">
        <f t="shared" si="46"/>
        <v>148.14999999999998</v>
      </c>
      <c r="R53" s="63">
        <f t="shared" si="46"/>
        <v>162.09999999999997</v>
      </c>
      <c r="S53" s="63">
        <f t="shared" si="46"/>
        <v>176.04999999999995</v>
      </c>
      <c r="T53" s="63">
        <f t="shared" si="46"/>
        <v>190</v>
      </c>
      <c r="U53" s="63">
        <f t="shared" si="46"/>
        <v>201.2</v>
      </c>
      <c r="V53" s="63">
        <f t="shared" si="46"/>
        <v>212.39999999999998</v>
      </c>
      <c r="W53" s="63">
        <f t="shared" si="46"/>
        <v>223.59999999999997</v>
      </c>
      <c r="X53" s="63">
        <f t="shared" si="46"/>
        <v>234.79999999999995</v>
      </c>
      <c r="Y53" s="63">
        <f t="shared" si="46"/>
        <v>242.79999999999995</v>
      </c>
      <c r="Z53" s="63">
        <f t="shared" si="46"/>
        <v>244.11999999999998</v>
      </c>
      <c r="AA53" s="63">
        <f t="shared" si="46"/>
        <v>245.44</v>
      </c>
      <c r="AB53" s="63">
        <f t="shared" si="46"/>
        <v>246.76000000000005</v>
      </c>
      <c r="AC53" s="63">
        <f t="shared" si="46"/>
        <v>248.08000000000007</v>
      </c>
      <c r="AD53" s="63">
        <f t="shared" si="46"/>
        <v>249.40000000000009</v>
      </c>
    </row>
    <row r="54" spans="1:30" x14ac:dyDescent="0.35">
      <c r="A54" s="5">
        <f t="shared" si="34"/>
        <v>3.2645907920191899</v>
      </c>
      <c r="B54" s="11">
        <f>NPV('Cost Assumptions'!$B$3,Menifee!D54:'Menifee'!AD54)</f>
        <v>403.96782884224416</v>
      </c>
      <c r="C54" s="88" t="s">
        <v>33</v>
      </c>
      <c r="D54" s="63">
        <f t="shared" ref="D54:AD54" si="47">D10-D29</f>
        <v>4.7253529883901121E-2</v>
      </c>
      <c r="E54" s="63">
        <f t="shared" si="47"/>
        <v>0.28011551949195379</v>
      </c>
      <c r="F54" s="63">
        <f t="shared" si="47"/>
        <v>0.59718244793816533</v>
      </c>
      <c r="G54" s="63">
        <f t="shared" si="47"/>
        <v>0.91424937638437687</v>
      </c>
      <c r="H54" s="63">
        <f t="shared" si="47"/>
        <v>1.2313163048305884</v>
      </c>
      <c r="I54" s="63">
        <f t="shared" si="47"/>
        <v>1.5483832332767999</v>
      </c>
      <c r="J54" s="63">
        <f t="shared" si="47"/>
        <v>1.8654501617230115</v>
      </c>
      <c r="K54" s="63">
        <f t="shared" si="47"/>
        <v>3.796086780774603</v>
      </c>
      <c r="L54" s="63">
        <f t="shared" si="47"/>
        <v>5.726723399826195</v>
      </c>
      <c r="M54" s="63">
        <f t="shared" si="47"/>
        <v>7.6573600188777871</v>
      </c>
      <c r="N54" s="63">
        <f t="shared" si="47"/>
        <v>9.5879966379293773</v>
      </c>
      <c r="O54" s="63">
        <f t="shared" si="47"/>
        <v>22.507331657050738</v>
      </c>
      <c r="P54" s="63">
        <f t="shared" si="47"/>
        <v>35.426666676172097</v>
      </c>
      <c r="Q54" s="63">
        <f t="shared" si="47"/>
        <v>48.346001695293459</v>
      </c>
      <c r="R54" s="63">
        <f t="shared" si="47"/>
        <v>61.265336714414822</v>
      </c>
      <c r="S54" s="63">
        <f t="shared" si="47"/>
        <v>74.184671733536177</v>
      </c>
      <c r="T54" s="63">
        <f t="shared" si="47"/>
        <v>87.10400675265754</v>
      </c>
      <c r="U54" s="63">
        <f t="shared" si="47"/>
        <v>116.88846005819971</v>
      </c>
      <c r="V54" s="63">
        <f t="shared" si="47"/>
        <v>146.67291336374188</v>
      </c>
      <c r="W54" s="63">
        <f t="shared" si="47"/>
        <v>176.45736666928406</v>
      </c>
      <c r="X54" s="63">
        <f t="shared" si="47"/>
        <v>206.24181997482623</v>
      </c>
      <c r="Y54" s="63">
        <f t="shared" si="47"/>
        <v>236.02626690606959</v>
      </c>
      <c r="Z54" s="63">
        <f t="shared" si="47"/>
        <v>292.0320334311802</v>
      </c>
      <c r="AA54" s="63">
        <f t="shared" si="47"/>
        <v>348.03779995629071</v>
      </c>
      <c r="AB54" s="63">
        <f t="shared" si="47"/>
        <v>404.04356648140129</v>
      </c>
      <c r="AC54" s="63">
        <f t="shared" si="47"/>
        <v>460.04933300651186</v>
      </c>
      <c r="AD54" s="63">
        <f t="shared" si="47"/>
        <v>516.05509953162243</v>
      </c>
    </row>
    <row r="55" spans="1:30" x14ac:dyDescent="0.35">
      <c r="A55" s="5">
        <f t="shared" si="34"/>
        <v>5.9828340685683913E-2</v>
      </c>
      <c r="B55" s="11">
        <f>NPV('Cost Assumptions'!$B$3,Menifee!D55:'Menifee'!AD55)</f>
        <v>9.1798112629934874</v>
      </c>
      <c r="C55" s="88" t="s">
        <v>34</v>
      </c>
      <c r="D55" s="63">
        <f t="shared" ref="D55:AD55" si="48">D11-D30</f>
        <v>2.3626764941950561E-2</v>
      </c>
      <c r="E55" s="63">
        <f t="shared" si="48"/>
        <v>7.0028879872988448E-2</v>
      </c>
      <c r="F55" s="63">
        <f t="shared" si="48"/>
        <v>0.10932167994761965</v>
      </c>
      <c r="G55" s="63">
        <f t="shared" si="48"/>
        <v>0.14861448002225086</v>
      </c>
      <c r="H55" s="63">
        <f t="shared" si="48"/>
        <v>0.18790728009688207</v>
      </c>
      <c r="I55" s="63">
        <f t="shared" si="48"/>
        <v>0.22720008017151327</v>
      </c>
      <c r="J55" s="63">
        <f t="shared" si="48"/>
        <v>0.26649288024614448</v>
      </c>
      <c r="K55" s="63">
        <f t="shared" si="48"/>
        <v>0.37108388586191865</v>
      </c>
      <c r="L55" s="63">
        <f t="shared" si="48"/>
        <v>0.47567489147769282</v>
      </c>
      <c r="M55" s="63">
        <f t="shared" si="48"/>
        <v>0.58026589709346699</v>
      </c>
      <c r="N55" s="63">
        <f t="shared" si="48"/>
        <v>0.68485690270924116</v>
      </c>
      <c r="O55" s="63">
        <f t="shared" si="48"/>
        <v>0.96307447636877097</v>
      </c>
      <c r="P55" s="63">
        <f t="shared" si="48"/>
        <v>1.2412920500283007</v>
      </c>
      <c r="Q55" s="63">
        <f t="shared" si="48"/>
        <v>1.5195096236878305</v>
      </c>
      <c r="R55" s="63">
        <f t="shared" si="48"/>
        <v>1.7977271973473603</v>
      </c>
      <c r="S55" s="63">
        <f t="shared" si="48"/>
        <v>2.0759447710068901</v>
      </c>
      <c r="T55" s="63">
        <f t="shared" si="48"/>
        <v>2.3541623446664199</v>
      </c>
      <c r="U55" s="63">
        <f t="shared" si="48"/>
        <v>2.7739950579232056</v>
      </c>
      <c r="V55" s="63">
        <f t="shared" si="48"/>
        <v>3.1938277711799912</v>
      </c>
      <c r="W55" s="63">
        <f t="shared" si="48"/>
        <v>3.6136604844367768</v>
      </c>
      <c r="X55" s="63">
        <f t="shared" si="48"/>
        <v>4.0334931976935628</v>
      </c>
      <c r="Y55" s="63">
        <f t="shared" si="48"/>
        <v>4.449794037300002</v>
      </c>
      <c r="Z55" s="63">
        <f t="shared" si="48"/>
        <v>4.8776484283068759</v>
      </c>
      <c r="AA55" s="63">
        <f t="shared" si="48"/>
        <v>5.3055028193137508</v>
      </c>
      <c r="AB55" s="63">
        <f t="shared" si="48"/>
        <v>5.7333572103206247</v>
      </c>
      <c r="AC55" s="63">
        <f t="shared" si="48"/>
        <v>6.1612116013274996</v>
      </c>
      <c r="AD55" s="63">
        <f t="shared" si="48"/>
        <v>6.5890659923343753</v>
      </c>
    </row>
    <row r="56" spans="1:30" x14ac:dyDescent="0.35">
      <c r="A56" s="5">
        <f t="shared" si="34"/>
        <v>0.8</v>
      </c>
      <c r="B56" s="11">
        <f>NPV('Cost Assumptions'!$B$3,Menifee!D56:'Menifee'!AD56)</f>
        <v>145.41886624128534</v>
      </c>
      <c r="C56" s="88" t="s">
        <v>35</v>
      </c>
      <c r="D56" s="63">
        <f t="shared" ref="D56:AD56" si="49">D12-D31</f>
        <v>2</v>
      </c>
      <c r="E56" s="63">
        <f t="shared" si="49"/>
        <v>4</v>
      </c>
      <c r="F56" s="63">
        <f t="shared" si="49"/>
        <v>4.5999999999999996</v>
      </c>
      <c r="G56" s="63">
        <f t="shared" si="49"/>
        <v>5.1999999999999993</v>
      </c>
      <c r="H56" s="63">
        <f t="shared" si="49"/>
        <v>5.7999999999999989</v>
      </c>
      <c r="I56" s="63">
        <f t="shared" si="49"/>
        <v>6.3999999999999986</v>
      </c>
      <c r="J56" s="63">
        <f t="shared" si="49"/>
        <v>7</v>
      </c>
      <c r="K56" s="63">
        <f t="shared" si="49"/>
        <v>8.75</v>
      </c>
      <c r="L56" s="63">
        <f t="shared" si="49"/>
        <v>10.5</v>
      </c>
      <c r="M56" s="63">
        <f t="shared" si="49"/>
        <v>12.25</v>
      </c>
      <c r="N56" s="63">
        <f t="shared" si="49"/>
        <v>14</v>
      </c>
      <c r="O56" s="63">
        <f t="shared" si="49"/>
        <v>17.833333333333332</v>
      </c>
      <c r="P56" s="63">
        <f t="shared" si="49"/>
        <v>21.666666666666664</v>
      </c>
      <c r="Q56" s="63">
        <f t="shared" si="49"/>
        <v>25.499999999999996</v>
      </c>
      <c r="R56" s="63">
        <f t="shared" si="49"/>
        <v>29.333333333333329</v>
      </c>
      <c r="S56" s="63">
        <f t="shared" si="49"/>
        <v>33.166666666666664</v>
      </c>
      <c r="T56" s="63">
        <f t="shared" si="49"/>
        <v>37</v>
      </c>
      <c r="U56" s="63">
        <f t="shared" si="49"/>
        <v>40.200000000000003</v>
      </c>
      <c r="V56" s="63">
        <f t="shared" si="49"/>
        <v>43.400000000000006</v>
      </c>
      <c r="W56" s="63">
        <f t="shared" si="49"/>
        <v>46.600000000000009</v>
      </c>
      <c r="X56" s="63">
        <f t="shared" si="49"/>
        <v>49.800000000000011</v>
      </c>
      <c r="Y56" s="63">
        <f t="shared" si="49"/>
        <v>52</v>
      </c>
      <c r="Z56" s="63">
        <f t="shared" si="49"/>
        <v>56.199999999999996</v>
      </c>
      <c r="AA56" s="63">
        <f t="shared" si="49"/>
        <v>60.399999999999991</v>
      </c>
      <c r="AB56" s="63">
        <f t="shared" si="49"/>
        <v>64.599999999999994</v>
      </c>
      <c r="AC56" s="63">
        <f t="shared" si="49"/>
        <v>68.799999999999983</v>
      </c>
      <c r="AD56" s="63">
        <f t="shared" si="49"/>
        <v>73</v>
      </c>
    </row>
    <row r="58" spans="1:30" ht="15" thickBot="1" x14ac:dyDescent="0.4">
      <c r="A58" s="166" t="s">
        <v>156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</row>
    <row r="59" spans="1:30" ht="15.5" thickTop="1" thickBot="1" x14ac:dyDescent="0.4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" thickTop="1" x14ac:dyDescent="0.35">
      <c r="A60" s="88" t="str">
        <f>'Baseline System Analysis'!A17</f>
        <v>Residential</v>
      </c>
      <c r="B60" s="88" t="str">
        <f>'Baseline System Analysis'!B17</f>
        <v>Cost of Reliability (N-1)</v>
      </c>
      <c r="C60" s="88" t="str">
        <f>'Baseline System Analysis'!C17</f>
        <v>$/kWh</v>
      </c>
      <c r="D60" s="5">
        <f>'Baseline System Analysis'!D17</f>
        <v>4.4933261328125003</v>
      </c>
      <c r="E60" s="5">
        <f>'Baseline System Analysis'!E17</f>
        <v>4.6056592861328127</v>
      </c>
      <c r="F60" s="5">
        <f>'Baseline System Analysis'!F17</f>
        <v>4.720800768286133</v>
      </c>
      <c r="G60" s="5">
        <f>'Baseline System Analysis'!G17</f>
        <v>4.8388207874932858</v>
      </c>
      <c r="H60" s="5">
        <f>'Baseline System Analysis'!H17</f>
        <v>4.9597913071806179</v>
      </c>
      <c r="I60" s="5">
        <f>'Baseline System Analysis'!I17</f>
        <v>5.0837860898601326</v>
      </c>
      <c r="J60" s="5">
        <f>'Baseline System Analysis'!J17</f>
        <v>5.2108807421066352</v>
      </c>
      <c r="K60" s="5">
        <f>'Baseline System Analysis'!K17</f>
        <v>5.341152760659301</v>
      </c>
      <c r="L60" s="5">
        <f>'Baseline System Analysis'!L17</f>
        <v>5.4746815796757833</v>
      </c>
      <c r="M60" s="5">
        <f>'Baseline System Analysis'!M17</f>
        <v>5.6115486191676771</v>
      </c>
      <c r="N60" s="5">
        <f>'Baseline System Analysis'!N17</f>
        <v>5.7518373346468685</v>
      </c>
      <c r="O60" s="5">
        <f>'Baseline System Analysis'!O17</f>
        <v>5.8956332680130394</v>
      </c>
      <c r="P60" s="5">
        <f>'Baseline System Analysis'!P17</f>
        <v>6.0430240997133646</v>
      </c>
      <c r="Q60" s="5">
        <f>'Baseline System Analysis'!Q17</f>
        <v>6.1940997022061985</v>
      </c>
      <c r="R60" s="5">
        <f>'Baseline System Analysis'!R17</f>
        <v>6.3489521947613525</v>
      </c>
      <c r="S60" s="5">
        <f>'Baseline System Analysis'!S17</f>
        <v>6.5076759996303855</v>
      </c>
      <c r="T60" s="5">
        <f>'Baseline System Analysis'!T17</f>
        <v>6.6703678996211444</v>
      </c>
      <c r="U60" s="5">
        <f>'Baseline System Analysis'!U17</f>
        <v>6.8371270971116722</v>
      </c>
      <c r="V60" s="5">
        <f>'Baseline System Analysis'!V17</f>
        <v>7.0080552745394638</v>
      </c>
      <c r="W60" s="5">
        <f>'Baseline System Analysis'!W17</f>
        <v>7.1832566564029499</v>
      </c>
      <c r="X60" s="5">
        <f>'Baseline System Analysis'!X17</f>
        <v>7.3628380728130232</v>
      </c>
      <c r="Y60" s="5">
        <f>'Baseline System Analysis'!Y17</f>
        <v>7.5469090246333481</v>
      </c>
      <c r="Z60" s="5">
        <f>'Baseline System Analysis'!Z17</f>
        <v>7.7355817502491808</v>
      </c>
      <c r="AA60" s="5">
        <f>'Baseline System Analysis'!AA17</f>
        <v>7.92897129400541</v>
      </c>
      <c r="AB60" s="5">
        <f>'Baseline System Analysis'!AB17</f>
        <v>8.127195576355545</v>
      </c>
      <c r="AC60" s="5">
        <f>'Baseline System Analysis'!AC17</f>
        <v>8.3303754657644333</v>
      </c>
      <c r="AD60" s="5">
        <f>'Baseline System Analysis'!AD17</f>
        <v>8.5386348524085438</v>
      </c>
    </row>
    <row r="61" spans="1:30" x14ac:dyDescent="0.35">
      <c r="A61" s="88" t="str">
        <f>'Baseline System Analysis'!A18</f>
        <v>Residential</v>
      </c>
      <c r="B61" s="88" t="str">
        <f>'Baseline System Analysis'!B18</f>
        <v>Cost of Reliability (N-0)</v>
      </c>
      <c r="C61" s="88" t="str">
        <f>'Baseline System Analysis'!C18</f>
        <v>$/kWh</v>
      </c>
      <c r="D61" s="5">
        <f>'Baseline System Analysis'!D18</f>
        <v>3.7920011132812492</v>
      </c>
      <c r="E61" s="5">
        <f>'Baseline System Analysis'!E18</f>
        <v>3.8868011411132799</v>
      </c>
      <c r="F61" s="5">
        <f>'Baseline System Analysis'!F18</f>
        <v>3.9839711696411118</v>
      </c>
      <c r="G61" s="5">
        <f>'Baseline System Analysis'!G18</f>
        <v>4.0835704488821394</v>
      </c>
      <c r="H61" s="5">
        <f>'Baseline System Analysis'!H18</f>
        <v>4.1856597101041926</v>
      </c>
      <c r="I61" s="5">
        <f>'Baseline System Analysis'!I18</f>
        <v>4.2903012028567966</v>
      </c>
      <c r="J61" s="5">
        <f>'Baseline System Analysis'!J18</f>
        <v>4.397558732928216</v>
      </c>
      <c r="K61" s="5">
        <f>'Baseline System Analysis'!K18</f>
        <v>4.5074977012514212</v>
      </c>
      <c r="L61" s="5">
        <f>'Baseline System Analysis'!L18</f>
        <v>4.6201851437827059</v>
      </c>
      <c r="M61" s="5">
        <f>'Baseline System Analysis'!M18</f>
        <v>4.7356897723772731</v>
      </c>
      <c r="N61" s="5">
        <f>'Baseline System Analysis'!N18</f>
        <v>4.8540820166867045</v>
      </c>
      <c r="O61" s="5">
        <f>'Baseline System Analysis'!O18</f>
        <v>4.9754340671038717</v>
      </c>
      <c r="P61" s="5">
        <f>'Baseline System Analysis'!P18</f>
        <v>5.0998199187814679</v>
      </c>
      <c r="Q61" s="5">
        <f>'Baseline System Analysis'!Q18</f>
        <v>5.2273154167510043</v>
      </c>
      <c r="R61" s="5">
        <f>'Baseline System Analysis'!R18</f>
        <v>5.3579983021697792</v>
      </c>
      <c r="S61" s="5">
        <f>'Baseline System Analysis'!S18</f>
        <v>5.4919482597240235</v>
      </c>
      <c r="T61" s="5">
        <f>'Baseline System Analysis'!T18</f>
        <v>5.6292469662171234</v>
      </c>
      <c r="U61" s="5">
        <f>'Baseline System Analysis'!U18</f>
        <v>5.769978140372551</v>
      </c>
      <c r="V61" s="5">
        <f>'Baseline System Analysis'!V18</f>
        <v>5.914227593881864</v>
      </c>
      <c r="W61" s="5">
        <f>'Baseline System Analysis'!W18</f>
        <v>6.06208328372891</v>
      </c>
      <c r="X61" s="5">
        <f>'Baseline System Analysis'!X18</f>
        <v>6.2136353658221326</v>
      </c>
      <c r="Y61" s="5">
        <f>'Baseline System Analysis'!Y18</f>
        <v>6.3689762499676856</v>
      </c>
      <c r="Z61" s="5">
        <f>'Baseline System Analysis'!Z18</f>
        <v>6.5282006562168773</v>
      </c>
      <c r="AA61" s="5">
        <f>'Baseline System Analysis'!AA18</f>
        <v>6.6914056726222988</v>
      </c>
      <c r="AB61" s="5">
        <f>'Baseline System Analysis'!AB18</f>
        <v>6.858690814437856</v>
      </c>
      <c r="AC61" s="5">
        <f>'Baseline System Analysis'!AC18</f>
        <v>7.0301580847988019</v>
      </c>
      <c r="AD61" s="5">
        <f>'Baseline System Analysis'!AD18</f>
        <v>7.2059120369187717</v>
      </c>
    </row>
    <row r="62" spans="1:30" x14ac:dyDescent="0.35">
      <c r="A62" s="88" t="str">
        <f>'Baseline System Analysis'!A19</f>
        <v>Commerical</v>
      </c>
      <c r="B62" s="88" t="str">
        <f>'Baseline System Analysis'!B19</f>
        <v>Cost of Reliability (N-1)</v>
      </c>
      <c r="C62" s="88" t="str">
        <f>'Baseline System Analysis'!C19</f>
        <v>$/kWh</v>
      </c>
      <c r="D62" s="5">
        <f>'Baseline System Analysis'!D19</f>
        <v>166.59767191406246</v>
      </c>
      <c r="E62" s="5">
        <f>'Baseline System Analysis'!E19</f>
        <v>170.76261371191401</v>
      </c>
      <c r="F62" s="5">
        <f>'Baseline System Analysis'!F19</f>
        <v>175.03167905471184</v>
      </c>
      <c r="G62" s="5">
        <f>'Baseline System Analysis'!G19</f>
        <v>179.40747103107964</v>
      </c>
      <c r="H62" s="5">
        <f>'Baseline System Analysis'!H19</f>
        <v>183.89265780685662</v>
      </c>
      <c r="I62" s="5">
        <f>'Baseline System Analysis'!I19</f>
        <v>188.48997425202802</v>
      </c>
      <c r="J62" s="5">
        <f>'Baseline System Analysis'!J19</f>
        <v>193.20222360832869</v>
      </c>
      <c r="K62" s="5">
        <f>'Baseline System Analysis'!K19</f>
        <v>198.03227919853688</v>
      </c>
      <c r="L62" s="5">
        <f>'Baseline System Analysis'!L19</f>
        <v>202.98308617850029</v>
      </c>
      <c r="M62" s="5">
        <f>'Baseline System Analysis'!M19</f>
        <v>208.05766333296279</v>
      </c>
      <c r="N62" s="5">
        <f>'Baseline System Analysis'!N19</f>
        <v>213.25910491628684</v>
      </c>
      <c r="O62" s="5">
        <f>'Baseline System Analysis'!O19</f>
        <v>218.590582539194</v>
      </c>
      <c r="P62" s="5">
        <f>'Baseline System Analysis'!P19</f>
        <v>224.05534710267384</v>
      </c>
      <c r="Q62" s="5">
        <f>'Baseline System Analysis'!Q19</f>
        <v>229.65673078024065</v>
      </c>
      <c r="R62" s="5">
        <f>'Baseline System Analysis'!R19</f>
        <v>235.39814904974665</v>
      </c>
      <c r="S62" s="5">
        <f>'Baseline System Analysis'!S19</f>
        <v>241.2831027759903</v>
      </c>
      <c r="T62" s="5">
        <f>'Baseline System Analysis'!T19</f>
        <v>247.31518034539005</v>
      </c>
      <c r="U62" s="5">
        <f>'Baseline System Analysis'!U19</f>
        <v>253.49805985402477</v>
      </c>
      <c r="V62" s="5">
        <f>'Baseline System Analysis'!V19</f>
        <v>259.83551135037538</v>
      </c>
      <c r="W62" s="5">
        <f>'Baseline System Analysis'!W19</f>
        <v>266.33139913413476</v>
      </c>
      <c r="X62" s="5">
        <f>'Baseline System Analysis'!X19</f>
        <v>272.98968411248808</v>
      </c>
      <c r="Y62" s="5">
        <f>'Baseline System Analysis'!Y19</f>
        <v>279.81442621530027</v>
      </c>
      <c r="Z62" s="5">
        <f>'Baseline System Analysis'!Z19</f>
        <v>286.80978687068273</v>
      </c>
      <c r="AA62" s="5">
        <f>'Baseline System Analysis'!AA19</f>
        <v>293.98003154244975</v>
      </c>
      <c r="AB62" s="5">
        <f>'Baseline System Analysis'!AB19</f>
        <v>301.32953233101097</v>
      </c>
      <c r="AC62" s="5">
        <f>'Baseline System Analysis'!AC19</f>
        <v>308.86277063928623</v>
      </c>
      <c r="AD62" s="5">
        <f>'Baseline System Analysis'!AD19</f>
        <v>316.58433990526834</v>
      </c>
    </row>
    <row r="63" spans="1:30" x14ac:dyDescent="0.35">
      <c r="A63" s="88" t="str">
        <f>'Baseline System Analysis'!A20</f>
        <v>Commerical</v>
      </c>
      <c r="B63" s="88" t="str">
        <f>'Baseline System Analysis'!B20</f>
        <v>Cost of Reliability (N-0)</v>
      </c>
      <c r="C63" s="88" t="str">
        <f>'Baseline System Analysis'!C20</f>
        <v>$/kWh</v>
      </c>
      <c r="D63" s="5">
        <f>'Baseline System Analysis'!D20</f>
        <v>153.83719106445315</v>
      </c>
      <c r="E63" s="5">
        <f>'Baseline System Analysis'!E20</f>
        <v>157.68312084106446</v>
      </c>
      <c r="F63" s="5">
        <f>'Baseline System Analysis'!F20</f>
        <v>161.62519886209105</v>
      </c>
      <c r="G63" s="5">
        <f>'Baseline System Analysis'!G20</f>
        <v>165.6658288336433</v>
      </c>
      <c r="H63" s="5">
        <f>'Baseline System Analysis'!H20</f>
        <v>169.80747455448437</v>
      </c>
      <c r="I63" s="5">
        <f>'Baseline System Analysis'!I20</f>
        <v>174.05266141834647</v>
      </c>
      <c r="J63" s="5">
        <f>'Baseline System Analysis'!J20</f>
        <v>178.40397795380511</v>
      </c>
      <c r="K63" s="5">
        <f>'Baseline System Analysis'!K20</f>
        <v>182.86407740265022</v>
      </c>
      <c r="L63" s="5">
        <f>'Baseline System Analysis'!L20</f>
        <v>187.43567933771646</v>
      </c>
      <c r="M63" s="5">
        <f>'Baseline System Analysis'!M20</f>
        <v>192.12157132115937</v>
      </c>
      <c r="N63" s="5">
        <f>'Baseline System Analysis'!N20</f>
        <v>196.92461060418833</v>
      </c>
      <c r="O63" s="5">
        <f>'Baseline System Analysis'!O20</f>
        <v>201.84772586929301</v>
      </c>
      <c r="P63" s="5">
        <f>'Baseline System Analysis'!P20</f>
        <v>206.89391901602534</v>
      </c>
      <c r="Q63" s="5">
        <f>'Baseline System Analysis'!Q20</f>
        <v>212.06626699142595</v>
      </c>
      <c r="R63" s="5">
        <f>'Baseline System Analysis'!R20</f>
        <v>217.36792366621157</v>
      </c>
      <c r="S63" s="5">
        <f>'Baseline System Analysis'!S20</f>
        <v>222.80212175786684</v>
      </c>
      <c r="T63" s="5">
        <f>'Baseline System Analysis'!T20</f>
        <v>228.37217480181349</v>
      </c>
      <c r="U63" s="5">
        <f>'Baseline System Analysis'!U20</f>
        <v>234.0814791718588</v>
      </c>
      <c r="V63" s="5">
        <f>'Baseline System Analysis'!V20</f>
        <v>239.93351615115526</v>
      </c>
      <c r="W63" s="5">
        <f>'Baseline System Analysis'!W20</f>
        <v>245.93185405493412</v>
      </c>
      <c r="X63" s="5">
        <f>'Baseline System Analysis'!X20</f>
        <v>252.08015040630744</v>
      </c>
      <c r="Y63" s="5">
        <f>'Baseline System Analysis'!Y20</f>
        <v>258.38215416646511</v>
      </c>
      <c r="Z63" s="5">
        <f>'Baseline System Analysis'!Z20</f>
        <v>264.8417080206267</v>
      </c>
      <c r="AA63" s="5">
        <f>'Baseline System Analysis'!AA20</f>
        <v>271.46275072114236</v>
      </c>
      <c r="AB63" s="5">
        <f>'Baseline System Analysis'!AB20</f>
        <v>278.24931948917089</v>
      </c>
      <c r="AC63" s="5">
        <f>'Baseline System Analysis'!AC20</f>
        <v>285.20555247640016</v>
      </c>
      <c r="AD63" s="5">
        <f>'Baseline System Analysis'!AD20</f>
        <v>292.33569128831016</v>
      </c>
    </row>
    <row r="65" spans="1:30" x14ac:dyDescent="0.35">
      <c r="A65" s="88" t="s">
        <v>130</v>
      </c>
      <c r="B65" s="88" t="s">
        <v>31</v>
      </c>
      <c r="C65" s="20">
        <f>NPV('Cost Assumptions'!$B$3,D65:AD65)</f>
        <v>259317.43257685684</v>
      </c>
      <c r="D65" s="5">
        <f>'Baseline System Analysis'!D24-D34</f>
        <v>194.90657816545217</v>
      </c>
      <c r="E65" s="5">
        <f>'Baseline System Analysis'!E24-E34</f>
        <v>-222.35582202960177</v>
      </c>
      <c r="F65" s="5">
        <f>'Baseline System Analysis'!F24-F34</f>
        <v>-639.61822222465617</v>
      </c>
      <c r="G65" s="5">
        <f>'Baseline System Analysis'!G24-G34</f>
        <v>-1056.8806224197106</v>
      </c>
      <c r="H65" s="5">
        <f>'Baseline System Analysis'!H24-H34</f>
        <v>-1474.143022614764</v>
      </c>
      <c r="I65" s="5">
        <f>'Baseline System Analysis'!I24-I34</f>
        <v>-1891.4054228098175</v>
      </c>
      <c r="J65" s="5">
        <f>'Baseline System Analysis'!J24-J34</f>
        <v>-2308.667823004871</v>
      </c>
      <c r="K65" s="5">
        <f>'Baseline System Analysis'!K24-K34</f>
        <v>-2661.1102997182206</v>
      </c>
      <c r="L65" s="5">
        <f>'Baseline System Analysis'!L24-L34</f>
        <v>-3013.5527764315702</v>
      </c>
      <c r="M65" s="5">
        <f>'Baseline System Analysis'!M24-M34</f>
        <v>-3365.9952531449235</v>
      </c>
      <c r="N65" s="5">
        <f>'Baseline System Analysis'!N24-N34</f>
        <v>-3718.4377298582622</v>
      </c>
      <c r="O65" s="5">
        <f>'Baseline System Analysis'!O24-O34</f>
        <v>6065.2853608965379</v>
      </c>
      <c r="P65" s="5">
        <f>'Baseline System Analysis'!P24-P34</f>
        <v>15849.008451651331</v>
      </c>
      <c r="Q65" s="5">
        <f>'Baseline System Analysis'!Q24-Q34</f>
        <v>25632.731542406138</v>
      </c>
      <c r="R65" s="5">
        <f>'Baseline System Analysis'!R24-R34</f>
        <v>35416.454633160931</v>
      </c>
      <c r="S65" s="5">
        <f>'Baseline System Analysis'!S24-S34</f>
        <v>45200.177723915724</v>
      </c>
      <c r="T65" s="5">
        <f>'Baseline System Analysis'!T24-T34</f>
        <v>54983.900814670546</v>
      </c>
      <c r="U65" s="5">
        <f>'Baseline System Analysis'!U24-U34</f>
        <v>77313.817647694377</v>
      </c>
      <c r="V65" s="5">
        <f>'Baseline System Analysis'!V24-V34</f>
        <v>99643.734480718209</v>
      </c>
      <c r="W65" s="5">
        <f>'Baseline System Analysis'!W24-W34</f>
        <v>121973.6513137421</v>
      </c>
      <c r="X65" s="5">
        <f>'Baseline System Analysis'!X24-X34</f>
        <v>144303.56814676605</v>
      </c>
      <c r="Y65" s="5">
        <f>'Baseline System Analysis'!Y24-Y34</f>
        <v>166633.48497978982</v>
      </c>
      <c r="Z65" s="5">
        <f>'Baseline System Analysis'!Z24-Z34</f>
        <v>212827.30297616497</v>
      </c>
      <c r="AA65" s="5">
        <f>'Baseline System Analysis'!AA24-AA34</f>
        <v>259021.12097254011</v>
      </c>
      <c r="AB65" s="5">
        <f>'Baseline System Analysis'!AB24-AB34</f>
        <v>305214.93896891538</v>
      </c>
      <c r="AC65" s="5">
        <f>'Baseline System Analysis'!AC24-AC34</f>
        <v>351408.75696529052</v>
      </c>
      <c r="AD65" s="5">
        <f>'Baseline System Analysis'!AD24-AD34</f>
        <v>397602.57496166555</v>
      </c>
    </row>
    <row r="66" spans="1:30" x14ac:dyDescent="0.35">
      <c r="A66" s="88" t="s">
        <v>132</v>
      </c>
      <c r="B66" s="88" t="s">
        <v>31</v>
      </c>
      <c r="C66" s="20">
        <f>NPV('Cost Assumptions'!$B$3,D66:AD66)</f>
        <v>1153233.7783964893</v>
      </c>
      <c r="D66" s="5">
        <f>'Baseline System Analysis'!D25-D35</f>
        <v>808.76208406552269</v>
      </c>
      <c r="E66" s="5">
        <f>'Baseline System Analysis'!E25-E35</f>
        <v>7049.0850886219896</v>
      </c>
      <c r="F66" s="5">
        <f>'Baseline System Analysis'!F25-F35</f>
        <v>13289.408093178456</v>
      </c>
      <c r="G66" s="5">
        <f>'Baseline System Analysis'!G25-G35</f>
        <v>19529.731097734923</v>
      </c>
      <c r="H66" s="5">
        <f>'Baseline System Analysis'!H25-H35</f>
        <v>25770.054102291393</v>
      </c>
      <c r="I66" s="5">
        <f>'Baseline System Analysis'!I25-I35</f>
        <v>32010.37710684786</v>
      </c>
      <c r="J66" s="5">
        <f>'Baseline System Analysis'!J25-J35</f>
        <v>-9579.7844152978432</v>
      </c>
      <c r="K66" s="5">
        <f>'Baseline System Analysis'!K25-K35</f>
        <v>-11042.239477937823</v>
      </c>
      <c r="L66" s="5">
        <f>'Baseline System Analysis'!L25-L35</f>
        <v>-12504.69454057781</v>
      </c>
      <c r="M66" s="5">
        <f>'Baseline System Analysis'!M25-M35</f>
        <v>-13967.149603217811</v>
      </c>
      <c r="N66" s="5">
        <f>'Baseline System Analysis'!N25-N35</f>
        <v>-15429.604665857798</v>
      </c>
      <c r="O66" s="5">
        <f>'Baseline System Analysis'!O25-O35</f>
        <v>25167.815653542115</v>
      </c>
      <c r="P66" s="5">
        <f>'Baseline System Analysis'!P25-P35</f>
        <v>65765.235972942028</v>
      </c>
      <c r="Q66" s="5">
        <f>'Baseline System Analysis'!Q25-Q35</f>
        <v>106362.656292342</v>
      </c>
      <c r="R66" s="5">
        <f>'Baseline System Analysis'!R25-R35</f>
        <v>146960.07661174191</v>
      </c>
      <c r="S66" s="5">
        <f>'Baseline System Analysis'!S25-S35</f>
        <v>187557.49693114182</v>
      </c>
      <c r="T66" s="5">
        <f>'Baseline System Analysis'!T25-T35</f>
        <v>228154.9172505415</v>
      </c>
      <c r="U66" s="5">
        <f>'Baseline System Analysis'!U25-U35</f>
        <v>320812.59071067348</v>
      </c>
      <c r="V66" s="5">
        <f>'Baseline System Analysis'!V25-V35</f>
        <v>413470.26417080523</v>
      </c>
      <c r="W66" s="5">
        <f>'Baseline System Analysis'!W25-W35</f>
        <v>506127.93763093697</v>
      </c>
      <c r="X66" s="5">
        <f>'Baseline System Analysis'!X25-X35</f>
        <v>598785.61109106848</v>
      </c>
      <c r="Y66" s="5">
        <f>'Baseline System Analysis'!Y25-Y35</f>
        <v>691443.28455120092</v>
      </c>
      <c r="Z66" s="5">
        <f>'Baseline System Analysis'!Z25-Z35</f>
        <v>883123.87771198153</v>
      </c>
      <c r="AA66" s="5">
        <f>'Baseline System Analysis'!AA25-AA35</f>
        <v>1074804.4708727617</v>
      </c>
      <c r="AB66" s="5">
        <f>'Baseline System Analysis'!AB25-AB35</f>
        <v>1266485.0640335418</v>
      </c>
      <c r="AC66" s="5">
        <f>'Baseline System Analysis'!AC25-AC35</f>
        <v>1458165.657194322</v>
      </c>
      <c r="AD66" s="5">
        <f>'Baseline System Analysis'!AD25-AD35</f>
        <v>1649846.250355104</v>
      </c>
    </row>
    <row r="67" spans="1:30" x14ac:dyDescent="0.35">
      <c r="A67" s="88" t="s">
        <v>24</v>
      </c>
      <c r="B67" s="88" t="s">
        <v>31</v>
      </c>
      <c r="C67" s="20">
        <f>NPV('Cost Assumptions'!$B$3,D67:AD67)</f>
        <v>1412551.2109733461</v>
      </c>
      <c r="D67" s="5">
        <f>SUM(D65:D66)</f>
        <v>1003.6686622309749</v>
      </c>
      <c r="E67" s="5">
        <f t="shared" ref="E67:AD67" si="50">SUM(E65:E66)</f>
        <v>6826.7292665923878</v>
      </c>
      <c r="F67" s="5">
        <f t="shared" si="50"/>
        <v>12649.789870953799</v>
      </c>
      <c r="G67" s="5">
        <f t="shared" si="50"/>
        <v>18472.850475315212</v>
      </c>
      <c r="H67" s="5">
        <f t="shared" si="50"/>
        <v>24295.911079676629</v>
      </c>
      <c r="I67" s="5">
        <f t="shared" si="50"/>
        <v>30118.971684038042</v>
      </c>
      <c r="J67" s="5">
        <f t="shared" si="50"/>
        <v>-11888.452238302714</v>
      </c>
      <c r="K67" s="5">
        <f t="shared" si="50"/>
        <v>-13703.349777656043</v>
      </c>
      <c r="L67" s="5">
        <f t="shared" si="50"/>
        <v>-15518.24731700938</v>
      </c>
      <c r="M67" s="5">
        <f t="shared" si="50"/>
        <v>-17333.144856362735</v>
      </c>
      <c r="N67" s="5">
        <f t="shared" si="50"/>
        <v>-19148.04239571606</v>
      </c>
      <c r="O67" s="5">
        <f t="shared" si="50"/>
        <v>31233.101014438653</v>
      </c>
      <c r="P67" s="5">
        <f t="shared" si="50"/>
        <v>81614.244424593358</v>
      </c>
      <c r="Q67" s="5">
        <f t="shared" si="50"/>
        <v>131995.38783474814</v>
      </c>
      <c r="R67" s="5">
        <f t="shared" si="50"/>
        <v>182376.53124490284</v>
      </c>
      <c r="S67" s="5">
        <f t="shared" si="50"/>
        <v>232757.67465505755</v>
      </c>
      <c r="T67" s="5">
        <f t="shared" si="50"/>
        <v>283138.81806521205</v>
      </c>
      <c r="U67" s="5">
        <f t="shared" si="50"/>
        <v>398126.40835836786</v>
      </c>
      <c r="V67" s="5">
        <f t="shared" si="50"/>
        <v>513113.99865152343</v>
      </c>
      <c r="W67" s="5">
        <f t="shared" si="50"/>
        <v>628101.58894467913</v>
      </c>
      <c r="X67" s="5">
        <f t="shared" si="50"/>
        <v>743089.17923783453</v>
      </c>
      <c r="Y67" s="5">
        <f t="shared" si="50"/>
        <v>858076.76953099074</v>
      </c>
      <c r="Z67" s="5">
        <f t="shared" si="50"/>
        <v>1095951.1806881465</v>
      </c>
      <c r="AA67" s="5">
        <f t="shared" si="50"/>
        <v>1333825.5918453019</v>
      </c>
      <c r="AB67" s="5">
        <f t="shared" si="50"/>
        <v>1571700.0030024573</v>
      </c>
      <c r="AC67" s="5">
        <f t="shared" si="50"/>
        <v>1809574.4141596125</v>
      </c>
      <c r="AD67" s="5">
        <f t="shared" si="50"/>
        <v>2047448.8253167695</v>
      </c>
    </row>
    <row r="68" spans="1:30" x14ac:dyDescent="0.35">
      <c r="A68" s="88"/>
      <c r="B68" s="88"/>
      <c r="C68" s="8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x14ac:dyDescent="0.35">
      <c r="A69" s="88" t="s">
        <v>133</v>
      </c>
      <c r="B69" s="88" t="s">
        <v>31</v>
      </c>
      <c r="C69" s="20">
        <f>NPV('Cost Assumptions'!$B$3,D69:AD69)</f>
        <v>54648098.322606608</v>
      </c>
      <c r="D69" s="5">
        <f>'Baseline System Analysis'!D28-D32</f>
        <v>160316.96625268596</v>
      </c>
      <c r="E69" s="5">
        <f>'Baseline System Analysis'!E28-E32</f>
        <v>426669.25690772623</v>
      </c>
      <c r="F69" s="5">
        <f>'Baseline System Analysis'!F28-F32</f>
        <v>622795.96524369309</v>
      </c>
      <c r="G69" s="5">
        <f>'Baseline System Analysis'!G28-G32</f>
        <v>833703.43870740035</v>
      </c>
      <c r="H69" s="5">
        <f>'Baseline System Analysis'!H28-H32</f>
        <v>1064554.7712044911</v>
      </c>
      <c r="I69" s="5">
        <f>'Baseline System Analysis'!I28-I32</f>
        <v>1155250.6032801536</v>
      </c>
      <c r="J69" s="5">
        <f>'Baseline System Analysis'!J28-J32</f>
        <v>1567814.7930424134</v>
      </c>
      <c r="K69" s="5">
        <f>'Baseline System Analysis'!K28-K32</f>
        <v>2064587.6916558424</v>
      </c>
      <c r="L69" s="5">
        <f>'Baseline System Analysis'!L28-L32</f>
        <v>2485972.1963254735</v>
      </c>
      <c r="M69" s="5">
        <f>'Baseline System Analysis'!M28-M32</f>
        <v>2907214.7827229644</v>
      </c>
      <c r="N69" s="5">
        <f>'Baseline System Analysis'!N28-N32</f>
        <v>3653487.05439856</v>
      </c>
      <c r="O69" s="5">
        <f>'Baseline System Analysis'!O28-O32</f>
        <v>4512360.7012723647</v>
      </c>
      <c r="P69" s="5">
        <f>'Baseline System Analysis'!P28-P32</f>
        <v>5845712.9395959051</v>
      </c>
      <c r="Q69" s="5">
        <f>'Baseline System Analysis'!Q28-Q32</f>
        <v>7145234.3901076168</v>
      </c>
      <c r="R69" s="5">
        <f>'Baseline System Analysis'!R28-R32</f>
        <v>9104342.6872677077</v>
      </c>
      <c r="S69" s="5">
        <f>'Baseline System Analysis'!S28-S32</f>
        <v>11402628.544698209</v>
      </c>
      <c r="T69" s="5">
        <f>'Baseline System Analysis'!T28-T32</f>
        <v>14095767.66157037</v>
      </c>
      <c r="U69" s="5">
        <f>'Baseline System Analysis'!U28-U32</f>
        <v>17191903.011561129</v>
      </c>
      <c r="V69" s="5">
        <f>'Baseline System Analysis'!V28-V32</f>
        <v>19393249.568390317</v>
      </c>
      <c r="W69" s="5">
        <f>'Baseline System Analysis'!W28-W32</f>
        <v>22204176.923500877</v>
      </c>
      <c r="X69" s="5">
        <f>'Baseline System Analysis'!X28-X32</f>
        <v>25300486.71745725</v>
      </c>
      <c r="Y69" s="5">
        <f>'Baseline System Analysis'!Y28-Y32</f>
        <v>28351472.165672522</v>
      </c>
      <c r="Z69" s="5">
        <f>'Baseline System Analysis'!Z28-Z32</f>
        <v>31485857.84755313</v>
      </c>
      <c r="AA69" s="5">
        <f>'Baseline System Analysis'!AA28-AA32</f>
        <v>35026640.575215489</v>
      </c>
      <c r="AB69" s="5">
        <f>'Baseline System Analysis'!AB28-AB32</f>
        <v>39088162.1616254</v>
      </c>
      <c r="AC69" s="5">
        <f>'Baseline System Analysis'!AC28-AC32</f>
        <v>42089647.567575209</v>
      </c>
      <c r="AD69" s="5">
        <f>'Baseline System Analysis'!AD28-AD32</f>
        <v>45052934.309923746</v>
      </c>
    </row>
    <row r="70" spans="1:30" x14ac:dyDescent="0.35">
      <c r="A70" s="88" t="s">
        <v>134</v>
      </c>
      <c r="B70" s="88" t="s">
        <v>31</v>
      </c>
      <c r="C70" s="20">
        <f>NPV('Cost Assumptions'!$B$3,D70:AD70)</f>
        <v>240700690.7327494</v>
      </c>
      <c r="D70" s="5">
        <f>'Baseline System Analysis'!D29-D33</f>
        <v>903378.82566768141</v>
      </c>
      <c r="E70" s="5">
        <f>'Baseline System Analysis'!E29-E33</f>
        <v>2253314.5961599764</v>
      </c>
      <c r="F70" s="5">
        <f>'Baseline System Analysis'!F29-F33</f>
        <v>3310509.516156707</v>
      </c>
      <c r="G70" s="5">
        <f>'Baseline System Analysis'!G29-G33</f>
        <v>4447440.2170750583</v>
      </c>
      <c r="H70" s="5">
        <f>'Baseline System Analysis'!H29-H33</f>
        <v>5587242.1815372296</v>
      </c>
      <c r="I70" s="5">
        <f>'Baseline System Analysis'!I29-I33</f>
        <v>5454561.6522228802</v>
      </c>
      <c r="J70" s="5">
        <f>'Baseline System Analysis'!J29-J33</f>
        <v>7543245.1947770724</v>
      </c>
      <c r="K70" s="5">
        <f>'Baseline System Analysis'!K29-K33</f>
        <v>10054559.779896669</v>
      </c>
      <c r="L70" s="5">
        <f>'Baseline System Analysis'!L29-L33</f>
        <v>11610814.214658689</v>
      </c>
      <c r="M70" s="5">
        <f>'Baseline System Analysis'!M29-M33</f>
        <v>12826351.057208685</v>
      </c>
      <c r="N70" s="5">
        <f>'Baseline System Analysis'!N29-N33</f>
        <v>16062284.122916382</v>
      </c>
      <c r="O70" s="5">
        <f>'Baseline System Analysis'!O29-O33</f>
        <v>19403643.120637149</v>
      </c>
      <c r="P70" s="5">
        <f>'Baseline System Analysis'!P29-P33</f>
        <v>25219740.504592769</v>
      </c>
      <c r="Q70" s="5">
        <f>'Baseline System Analysis'!Q29-Q33</f>
        <v>31071411.196852271</v>
      </c>
      <c r="R70" s="5">
        <f>'Baseline System Analysis'!R29-R33</f>
        <v>39644741.256940469</v>
      </c>
      <c r="S70" s="5">
        <f>'Baseline System Analysis'!S29-S33</f>
        <v>50251518.164887004</v>
      </c>
      <c r="T70" s="5">
        <f>'Baseline System Analysis'!T29-T33</f>
        <v>62975375.307628401</v>
      </c>
      <c r="U70" s="5">
        <f>'Baseline System Analysis'!U29-U33</f>
        <v>77967536.623126328</v>
      </c>
      <c r="V70" s="5">
        <f>'Baseline System Analysis'!V29-V33</f>
        <v>85493629.625678569</v>
      </c>
      <c r="W70" s="5">
        <f>'Baseline System Analysis'!W29-W33</f>
        <v>96889943.264270231</v>
      </c>
      <c r="X70" s="5">
        <f>'Baseline System Analysis'!X29-X33</f>
        <v>109044932.47197554</v>
      </c>
      <c r="Y70" s="5">
        <f>'Baseline System Analysis'!Y29-Y33</f>
        <v>122141735.48252252</v>
      </c>
      <c r="Z70" s="5">
        <f>'Baseline System Analysis'!Z29-Z33</f>
        <v>135016554.16112581</v>
      </c>
      <c r="AA70" s="5">
        <f>'Baseline System Analysis'!AA29-AA33</f>
        <v>149377207.3113499</v>
      </c>
      <c r="AB70" s="5">
        <f>'Baseline System Analysis'!AB29-AB33</f>
        <v>166357437.19783419</v>
      </c>
      <c r="AC70" s="5">
        <f>'Baseline System Analysis'!AC29-AC33</f>
        <v>179568788.49831524</v>
      </c>
      <c r="AD70" s="5">
        <f>'Baseline System Analysis'!AD29-AD33</f>
        <v>190339490.93534347</v>
      </c>
    </row>
    <row r="71" spans="1:30" x14ac:dyDescent="0.35">
      <c r="A71" s="88" t="s">
        <v>24</v>
      </c>
      <c r="B71" s="88" t="s">
        <v>31</v>
      </c>
      <c r="C71" s="20">
        <f>NPV('Cost Assumptions'!$B$3,D71:AD71)</f>
        <v>295348789.05535597</v>
      </c>
      <c r="D71" s="5">
        <f>SUM(D69:D70)</f>
        <v>1063695.7919203674</v>
      </c>
      <c r="E71" s="5">
        <f t="shared" ref="E71:AD71" si="51">SUM(E69:E70)</f>
        <v>2679983.8530677026</v>
      </c>
      <c r="F71" s="5">
        <f t="shared" si="51"/>
        <v>3933305.4814003999</v>
      </c>
      <c r="G71" s="5">
        <f t="shared" si="51"/>
        <v>5281143.6557824584</v>
      </c>
      <c r="H71" s="5">
        <f t="shared" si="51"/>
        <v>6651796.9527417207</v>
      </c>
      <c r="I71" s="5">
        <f t="shared" si="51"/>
        <v>6609812.2555030342</v>
      </c>
      <c r="J71" s="5">
        <f t="shared" si="51"/>
        <v>9111059.9878194854</v>
      </c>
      <c r="K71" s="5">
        <f t="shared" si="51"/>
        <v>12119147.471552512</v>
      </c>
      <c r="L71" s="5">
        <f t="shared" si="51"/>
        <v>14096786.410984162</v>
      </c>
      <c r="M71" s="5">
        <f t="shared" si="51"/>
        <v>15733565.83993165</v>
      </c>
      <c r="N71" s="5">
        <f t="shared" si="51"/>
        <v>19715771.177314941</v>
      </c>
      <c r="O71" s="5">
        <f t="shared" si="51"/>
        <v>23916003.821909513</v>
      </c>
      <c r="P71" s="5">
        <f t="shared" si="51"/>
        <v>31065453.444188673</v>
      </c>
      <c r="Q71" s="5">
        <f t="shared" si="51"/>
        <v>38216645.586959884</v>
      </c>
      <c r="R71" s="5">
        <f t="shared" si="51"/>
        <v>48749083.944208175</v>
      </c>
      <c r="S71" s="5">
        <f t="shared" si="51"/>
        <v>61654146.709585212</v>
      </c>
      <c r="T71" s="5">
        <f t="shared" si="51"/>
        <v>77071142.969198763</v>
      </c>
      <c r="U71" s="5">
        <f t="shared" si="51"/>
        <v>95159439.634687454</v>
      </c>
      <c r="V71" s="5">
        <f t="shared" si="51"/>
        <v>104886879.19406888</v>
      </c>
      <c r="W71" s="5">
        <f t="shared" si="51"/>
        <v>119094120.18777111</v>
      </c>
      <c r="X71" s="5">
        <f t="shared" si="51"/>
        <v>134345419.1894328</v>
      </c>
      <c r="Y71" s="5">
        <f t="shared" si="51"/>
        <v>150493207.64819503</v>
      </c>
      <c r="Z71" s="5">
        <f t="shared" si="51"/>
        <v>166502412.00867894</v>
      </c>
      <c r="AA71" s="5">
        <f t="shared" si="51"/>
        <v>184403847.88656539</v>
      </c>
      <c r="AB71" s="5">
        <f t="shared" si="51"/>
        <v>205445599.35945958</v>
      </c>
      <c r="AC71" s="5">
        <f t="shared" si="51"/>
        <v>221658436.06589046</v>
      </c>
      <c r="AD71" s="5">
        <f t="shared" si="51"/>
        <v>235392425.24526721</v>
      </c>
    </row>
    <row r="73" spans="1:30" x14ac:dyDescent="0.35">
      <c r="A73" s="88" t="s">
        <v>130</v>
      </c>
      <c r="B73" s="88" t="s">
        <v>157</v>
      </c>
      <c r="C73" s="20">
        <f>NPV('Cost Assumptions'!$B$3,D73:AD73)</f>
        <v>297991876.26990122</v>
      </c>
      <c r="D73" s="63">
        <f>ABS((D49*D60*1000*'Cost Assumptions'!$B$6)/'Cost Assumptions'!$B$14)</f>
        <v>7672330.8230438605</v>
      </c>
      <c r="E73" s="63">
        <f>ABS((E49*E60*1000*'Cost Assumptions'!$B$6)/'Cost Assumptions'!$B$14)</f>
        <v>9025240.0833087191</v>
      </c>
      <c r="F73" s="63">
        <f>ABS((F49*F60*1000*'Cost Assumptions'!$B$6)/'Cost Assumptions'!$B$14)</f>
        <v>11544610.701144125</v>
      </c>
      <c r="G73" s="63">
        <f>ABS((G49*G60*1000*'Cost Assumptions'!$B$6)/'Cost Assumptions'!$B$14)</f>
        <v>14184309.074819231</v>
      </c>
      <c r="H73" s="63">
        <f>ABS((H49*H60*1000*'Cost Assumptions'!$B$6)/'Cost Assumptions'!$B$14)</f>
        <v>16948776.985489886</v>
      </c>
      <c r="I73" s="63">
        <f>ABS((I49*I60*1000*'Cost Assumptions'!$B$6)/'Cost Assumptions'!$B$14)</f>
        <v>19842603.098522302</v>
      </c>
      <c r="J73" s="63">
        <f>ABS((J49*J60*1000*'Cost Assumptions'!$B$6)/'Cost Assumptions'!$B$14)</f>
        <v>22870527.531590406</v>
      </c>
      <c r="K73" s="63">
        <f>ABS((K49*K60*1000*'Cost Assumptions'!$B$6)/'Cost Assumptions'!$B$14)</f>
        <v>26037446.559375346</v>
      </c>
      <c r="L73" s="63">
        <f>ABS((L49*L60*1000*'Cost Assumptions'!$B$6)/'Cost Assumptions'!$B$14)</f>
        <v>29841138.801012903</v>
      </c>
      <c r="M73" s="63">
        <f>ABS((M49*M60*1000*'Cost Assumptions'!$B$6)/'Cost Assumptions'!$B$14)</f>
        <v>32808663.499182958</v>
      </c>
      <c r="N73" s="63">
        <f>ABS((N49*N60*1000*'Cost Assumptions'!$B$6)/'Cost Assumptions'!$B$14)</f>
        <v>36423579.080628879</v>
      </c>
      <c r="O73" s="63">
        <f>ABS((O49*O60*1000*'Cost Assumptions'!$B$6)/'Cost Assumptions'!$B$14)</f>
        <v>40198735.026460111</v>
      </c>
      <c r="P73" s="63">
        <f>ABS((P49*P60*1000*'Cost Assumptions'!$B$6)/'Cost Assumptions'!$B$14)</f>
        <v>44139884.032657534</v>
      </c>
      <c r="Q73" s="63">
        <f>ABS((Q49*Q60*1000*'Cost Assumptions'!$B$6)/'Cost Assumptions'!$B$14)</f>
        <v>48252966.279773265</v>
      </c>
      <c r="R73" s="63">
        <f>ABS((R49*R60*1000*'Cost Assumptions'!$B$6)/'Cost Assumptions'!$B$14)</f>
        <v>52544115.211724363</v>
      </c>
      <c r="S73" s="63">
        <f>ABS((S49*S60*1000*'Cost Assumptions'!$B$6)/'Cost Assumptions'!$B$14)</f>
        <v>57019663.486348182</v>
      </c>
      <c r="T73" s="63">
        <f>ABS((T49*T60*1000*'Cost Assumptions'!$B$6)/'Cost Assumptions'!$B$14)</f>
        <v>61686149.102695853</v>
      </c>
      <c r="U73" s="63">
        <f>ABS((U49*U60*1000*'Cost Assumptions'!$B$6)/'Cost Assumptions'!$B$14)</f>
        <v>66550321.710181929</v>
      </c>
      <c r="V73" s="63">
        <f>ABS((V49*V60*1000*'Cost Assumptions'!$B$6)/'Cost Assumptions'!$B$14)</f>
        <v>71619149.104853138</v>
      </c>
      <c r="W73" s="63">
        <f>ABS((W49*W60*1000*'Cost Assumptions'!$B$6)/'Cost Assumptions'!$B$14)</f>
        <v>76899823.918189034</v>
      </c>
      <c r="X73" s="63">
        <f>ABS((X49*X60*1000*'Cost Assumptions'!$B$6)/'Cost Assumptions'!$B$14)</f>
        <v>82399770.504001215</v>
      </c>
      <c r="Y73" s="63">
        <f>ABS((Y49*Y60*1000*'Cost Assumptions'!$B$6)/'Cost Assumptions'!$B$14)</f>
        <v>88007769.161638215</v>
      </c>
      <c r="Z73" s="63">
        <f>ABS((Z49*Z60*1000*'Cost Assumptions'!$B$6)/'Cost Assumptions'!$B$14)</f>
        <v>93844667.895592093</v>
      </c>
      <c r="AA73" s="63">
        <f>ABS((AA49*AA60*1000*'Cost Assumptions'!$B$6)/'Cost Assumptions'!$B$14)</f>
        <v>99918406.7105176</v>
      </c>
      <c r="AB73" s="63">
        <f>ABS((AB49*AB60*1000*'Cost Assumptions'!$B$6)/'Cost Assumptions'!$B$14)</f>
        <v>106237179.54875468</v>
      </c>
      <c r="AC73" s="63">
        <f>ABS((AC49*AC60*1000*'Cost Assumptions'!$B$6)/'Cost Assumptions'!$B$14)</f>
        <v>112809442.02470952</v>
      </c>
      <c r="AD73" s="63">
        <f>ABS((AD49*AD60*1000*'Cost Assumptions'!$B$6)/'Cost Assumptions'!$B$14)</f>
        <v>118949948.37084007</v>
      </c>
    </row>
    <row r="74" spans="1:30" x14ac:dyDescent="0.35">
      <c r="A74" s="88" t="s">
        <v>132</v>
      </c>
      <c r="B74" s="88" t="s">
        <v>157</v>
      </c>
      <c r="C74" s="20">
        <f>NPV('Cost Assumptions'!$B$3,D74:AD74)</f>
        <v>1227617022.5323048</v>
      </c>
      <c r="D74" s="63">
        <f>ABS((D49*D62*1000*'Cost Assumptions'!$B$7)/'Cost Assumptions'!$B$14)</f>
        <v>31607183.520456485</v>
      </c>
      <c r="E74" s="63">
        <f>ABS((E49*E62*1000*'Cost Assumptions'!$B$7)/'Cost Assumptions'!$B$14)</f>
        <v>37180672.498184308</v>
      </c>
      <c r="F74" s="63">
        <f>ABS((F49*F62*1000*'Cost Assumptions'!$B$7)/'Cost Assumptions'!$B$14)</f>
        <v>47559553.611443922</v>
      </c>
      <c r="G74" s="63">
        <f>ABS((G49*G62*1000*'Cost Assumptions'!$B$7)/'Cost Assumptions'!$B$14)</f>
        <v>58434140.860055134</v>
      </c>
      <c r="H74" s="63">
        <f>ABS((H49*H62*1000*'Cost Assumptions'!$B$7)/'Cost Assumptions'!$B$14)</f>
        <v>69822732.750089809</v>
      </c>
      <c r="I74" s="63">
        <f>ABS((I49*I62*1000*'Cost Assumptions'!$B$7)/'Cost Assumptions'!$B$14)</f>
        <v>81744232.896588638</v>
      </c>
      <c r="J74" s="63">
        <f>ABS((J49*J62*1000*'Cost Assumptions'!$B$7)/'Cost Assumptions'!$B$14)</f>
        <v>94218168.842443585</v>
      </c>
      <c r="K74" s="63">
        <f>ABS((K49*K62*1000*'Cost Assumptions'!$B$7)/'Cost Assumptions'!$B$14)</f>
        <v>107264711.44003093</v>
      </c>
      <c r="L74" s="63">
        <f>ABS((L49*L62*1000*'Cost Assumptions'!$B$7)/'Cost Assumptions'!$B$14)</f>
        <v>122934525.67375529</v>
      </c>
      <c r="M74" s="63">
        <f>ABS((M49*M62*1000*'Cost Assumptions'!$B$7)/'Cost Assumptions'!$B$14)</f>
        <v>135159636.90785828</v>
      </c>
      <c r="N74" s="63">
        <f>ABS((N49*N62*1000*'Cost Assumptions'!$B$7)/'Cost Assumptions'!$B$14)</f>
        <v>150051760.67428231</v>
      </c>
      <c r="O74" s="63">
        <f>ABS((O49*O62*1000*'Cost Assumptions'!$B$7)/'Cost Assumptions'!$B$14)</f>
        <v>165604015.85596013</v>
      </c>
      <c r="P74" s="63">
        <f>ABS((P49*P62*1000*'Cost Assumptions'!$B$7)/'Cost Assumptions'!$B$14)</f>
        <v>181840101.44630048</v>
      </c>
      <c r="Q74" s="63">
        <f>ABS((Q49*Q62*1000*'Cost Assumptions'!$B$7)/'Cost Assumptions'!$B$14)</f>
        <v>198784488.80624774</v>
      </c>
      <c r="R74" s="63">
        <f>ABS((R49*R62*1000*'Cost Assumptions'!$B$7)/'Cost Assumptions'!$B$14)</f>
        <v>216462445.47078848</v>
      </c>
      <c r="S74" s="63">
        <f>ABS((S49*S62*1000*'Cost Assumptions'!$B$7)/'Cost Assumptions'!$B$14)</f>
        <v>234900059.66305235</v>
      </c>
      <c r="T74" s="63">
        <f>ABS((T49*T62*1000*'Cost Assumptions'!$B$7)/'Cost Assumptions'!$B$14)</f>
        <v>254124265.53651026</v>
      </c>
      <c r="U74" s="63">
        <f>ABS((U49*U62*1000*'Cost Assumptions'!$B$7)/'Cost Assumptions'!$B$14)</f>
        <v>274162869.16635156</v>
      </c>
      <c r="V74" s="63">
        <f>ABS((V49*V62*1000*'Cost Assumptions'!$B$7)/'Cost Assumptions'!$B$14)</f>
        <v>295044575.3117246</v>
      </c>
      <c r="W74" s="63">
        <f>ABS((W49*W62*1000*'Cost Assumptions'!$B$7)/'Cost Assumptions'!$B$14)</f>
        <v>316799014.97113734</v>
      </c>
      <c r="X74" s="63">
        <f>ABS((X49*X62*1000*'Cost Assumptions'!$B$7)/'Cost Assumptions'!$B$14)</f>
        <v>339456773.75395095</v>
      </c>
      <c r="Y74" s="63">
        <f>ABS((Y49*Y62*1000*'Cost Assumptions'!$B$7)/'Cost Assumptions'!$B$14)</f>
        <v>362559667.36511105</v>
      </c>
      <c r="Z74" s="63">
        <f>ABS((Z49*Z62*1000*'Cost Assumptions'!$B$7)/'Cost Assumptions'!$B$14)</f>
        <v>386605545.17323285</v>
      </c>
      <c r="AA74" s="63">
        <f>ABS((AA49*AA62*1000*'Cost Assumptions'!$B$7)/'Cost Assumptions'!$B$14)</f>
        <v>411627117.07965767</v>
      </c>
      <c r="AB74" s="63">
        <f>ABS((AB49*AB62*1000*'Cost Assumptions'!$B$7)/'Cost Assumptions'!$B$14)</f>
        <v>437658139.11567032</v>
      </c>
      <c r="AC74" s="63">
        <f>ABS((AC49*AC62*1000*'Cost Assumptions'!$B$7)/'Cost Assumptions'!$B$14)</f>
        <v>464733445.305309</v>
      </c>
      <c r="AD74" s="63">
        <f>ABS((AD49*AD62*1000*'Cost Assumptions'!$B$7)/'Cost Assumptions'!$B$14)</f>
        <v>490030074.90419739</v>
      </c>
    </row>
    <row r="75" spans="1:30" x14ac:dyDescent="0.35">
      <c r="A75" s="88" t="s">
        <v>24</v>
      </c>
      <c r="B75" s="88" t="s">
        <v>157</v>
      </c>
      <c r="C75" s="20">
        <f>NPV('Cost Assumptions'!$B$3,D75:AD75)</f>
        <v>1525608898.8022051</v>
      </c>
      <c r="D75" s="63">
        <f>SUM(D73:D74)</f>
        <v>39279514.343500346</v>
      </c>
      <c r="E75" s="63">
        <f t="shared" ref="E75:AD75" si="52">SUM(E73:E74)</f>
        <v>46205912.581493028</v>
      </c>
      <c r="F75" s="63">
        <f t="shared" si="52"/>
        <v>59104164.312588051</v>
      </c>
      <c r="G75" s="63">
        <f t="shared" si="52"/>
        <v>72618449.934874371</v>
      </c>
      <c r="H75" s="63">
        <f t="shared" si="52"/>
        <v>86771509.735579699</v>
      </c>
      <c r="I75" s="63">
        <f t="shared" si="52"/>
        <v>101586835.99511094</v>
      </c>
      <c r="J75" s="63">
        <f t="shared" si="52"/>
        <v>117088696.37403399</v>
      </c>
      <c r="K75" s="63">
        <f t="shared" si="52"/>
        <v>133302157.99940628</v>
      </c>
      <c r="L75" s="63">
        <f t="shared" si="52"/>
        <v>152775664.47476819</v>
      </c>
      <c r="M75" s="63">
        <f t="shared" si="52"/>
        <v>167968300.40704125</v>
      </c>
      <c r="N75" s="63">
        <f t="shared" si="52"/>
        <v>186475339.75491118</v>
      </c>
      <c r="O75" s="63">
        <f t="shared" si="52"/>
        <v>205802750.88242024</v>
      </c>
      <c r="P75" s="63">
        <f t="shared" si="52"/>
        <v>225979985.47895801</v>
      </c>
      <c r="Q75" s="63">
        <f t="shared" si="52"/>
        <v>247037455.08602101</v>
      </c>
      <c r="R75" s="63">
        <f t="shared" si="52"/>
        <v>269006560.68251282</v>
      </c>
      <c r="S75" s="63">
        <f t="shared" si="52"/>
        <v>291919723.14940053</v>
      </c>
      <c r="T75" s="63">
        <f t="shared" si="52"/>
        <v>315810414.63920611</v>
      </c>
      <c r="U75" s="63">
        <f t="shared" si="52"/>
        <v>340713190.87653351</v>
      </c>
      <c r="V75" s="63">
        <f t="shared" si="52"/>
        <v>366663724.41657776</v>
      </c>
      <c r="W75" s="63">
        <f t="shared" si="52"/>
        <v>393698838.88932639</v>
      </c>
      <c r="X75" s="63">
        <f t="shared" si="52"/>
        <v>421856544.25795215</v>
      </c>
      <c r="Y75" s="63">
        <f t="shared" si="52"/>
        <v>450567436.52674925</v>
      </c>
      <c r="Z75" s="63">
        <f t="shared" si="52"/>
        <v>480450213.06882495</v>
      </c>
      <c r="AA75" s="63">
        <f t="shared" si="52"/>
        <v>511545523.79017526</v>
      </c>
      <c r="AB75" s="63">
        <f t="shared" si="52"/>
        <v>543895318.66442502</v>
      </c>
      <c r="AC75" s="63">
        <f t="shared" si="52"/>
        <v>577542887.33001852</v>
      </c>
      <c r="AD75" s="63">
        <f t="shared" si="52"/>
        <v>608980023.27503753</v>
      </c>
    </row>
    <row r="76" spans="1:30" x14ac:dyDescent="0.35">
      <c r="A76" s="88"/>
      <c r="B76" s="88"/>
      <c r="C76" s="20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x14ac:dyDescent="0.35">
      <c r="A77" s="88" t="s">
        <v>130</v>
      </c>
      <c r="B77" s="88" t="s">
        <v>164</v>
      </c>
      <c r="C77" s="20">
        <f>NPV('Cost Assumptions'!$B$3,D77:AD77)</f>
        <v>47903360.926755995</v>
      </c>
      <c r="D77" s="63">
        <f>ABS(D50)*D61*1000*'Cost Assumptions'!$B$6*'Cost Assumptions'!$B$13</f>
        <v>4137767.0513450368</v>
      </c>
      <c r="E77" s="63">
        <f>ABS(E50)*E61*1000*'Cost Assumptions'!$B$6*'Cost Assumptions'!$B$13</f>
        <v>4254822.2376836352</v>
      </c>
      <c r="F77" s="63">
        <f>ABS(F50)*F61*1000*'Cost Assumptions'!$B$6*'Cost Assumptions'!$B$13</f>
        <v>4367817.3039804501</v>
      </c>
      <c r="G77" s="63">
        <f>ABS(G50)*G61*1000*'Cost Assumptions'!$B$6*'Cost Assumptions'!$B$13</f>
        <v>4483990.0683222087</v>
      </c>
      <c r="H77" s="63">
        <f>ABS(H50)*H61*1000*'Cost Assumptions'!$B$6*'Cost Assumptions'!$B$13</f>
        <v>4603611.5662261089</v>
      </c>
      <c r="I77" s="63">
        <f>ABS(I50)*I61*1000*'Cost Assumptions'!$B$6*'Cost Assumptions'!$B$13</f>
        <v>4727540.8060558485</v>
      </c>
      <c r="J77" s="63">
        <f>ABS(J50)*J61*1000*'Cost Assumptions'!$B$6*'Cost Assumptions'!$B$13</f>
        <v>4854787.6767927669</v>
      </c>
      <c r="K77" s="63">
        <f>ABS(K50)*K61*1000*'Cost Assumptions'!$B$6*'Cost Assumptions'!$B$13</f>
        <v>4987634.9850493586</v>
      </c>
      <c r="L77" s="63">
        <f>ABS(L50)*L61*1000*'Cost Assumptions'!$B$6*'Cost Assumptions'!$B$13</f>
        <v>5124293.7940474479</v>
      </c>
      <c r="M77" s="63">
        <f>ABS(M50)*M61*1000*'Cost Assumptions'!$B$6*'Cost Assumptions'!$B$13</f>
        <v>5265226.5930155329</v>
      </c>
      <c r="N77" s="63">
        <f>ABS(N50)*N61*1000*'Cost Assumptions'!$B$6*'Cost Assumptions'!$B$13</f>
        <v>5410175.9306187015</v>
      </c>
      <c r="O77" s="63">
        <f>ABS(O50)*O61*1000*'Cost Assumptions'!$B$6*'Cost Assumptions'!$B$13</f>
        <v>5559263.7579271439</v>
      </c>
      <c r="P77" s="63">
        <f>ABS(P50)*P61*1000*'Cost Assumptions'!$B$6*'Cost Assumptions'!$B$13</f>
        <v>5712634.4302989552</v>
      </c>
      <c r="Q77" s="63">
        <f>ABS(Q50)*Q61*1000*'Cost Assumptions'!$B$6*'Cost Assumptions'!$B$13</f>
        <v>5869852.5627158722</v>
      </c>
      <c r="R77" s="63">
        <f>ABS(R50)*R61*1000*'Cost Assumptions'!$B$6*'Cost Assumptions'!$B$13</f>
        <v>6031490.3150932789</v>
      </c>
      <c r="S77" s="63">
        <f>ABS(S50)*S61*1000*'Cost Assumptions'!$B$6*'Cost Assumptions'!$B$13</f>
        <v>6197640.9048362626</v>
      </c>
      <c r="T77" s="63">
        <f>ABS(T50)*T61*1000*'Cost Assumptions'!$B$6*'Cost Assumptions'!$B$13</f>
        <v>6368508.2219656585</v>
      </c>
      <c r="U77" s="63">
        <f>ABS(U50)*U61*1000*'Cost Assumptions'!$B$6*'Cost Assumptions'!$B$13</f>
        <v>6542673.1156067643</v>
      </c>
      <c r="V77" s="63">
        <f>ABS(V50)*V61*1000*'Cost Assumptions'!$B$6*'Cost Assumptions'!$B$13</f>
        <v>6721524.3245138489</v>
      </c>
      <c r="W77" s="63">
        <f>ABS(W50)*W61*1000*'Cost Assumptions'!$B$6*'Cost Assumptions'!$B$13</f>
        <v>6905138.0279908422</v>
      </c>
      <c r="X77" s="63">
        <f>ABS(X50)*X61*1000*'Cost Assumptions'!$B$6*'Cost Assumptions'!$B$13</f>
        <v>7093744.1031961525</v>
      </c>
      <c r="Y77" s="63">
        <f>ABS(Y50)*Y61*1000*'Cost Assumptions'!$B$6*'Cost Assumptions'!$B$13</f>
        <v>7285065.58815483</v>
      </c>
      <c r="Z77" s="63">
        <f>ABS(Z50)*Z61*1000*'Cost Assumptions'!$B$6*'Cost Assumptions'!$B$13</f>
        <v>7481171.8582317494</v>
      </c>
      <c r="AA77" s="63">
        <f>ABS(AA50)*AA61*1000*'Cost Assumptions'!$B$6*'Cost Assumptions'!$B$13</f>
        <v>7682066.3138899188</v>
      </c>
      <c r="AB77" s="63">
        <f>ABS(AB50)*AB61*1000*'Cost Assumptions'!$B$6*'Cost Assumptions'!$B$13</f>
        <v>7887946.5660169041</v>
      </c>
      <c r="AC77" s="63">
        <f>ABS(AC50)*AC61*1000*'Cost Assumptions'!$B$6*'Cost Assumptions'!$B$13</f>
        <v>8095873.6779727796</v>
      </c>
      <c r="AD77" s="63">
        <f>ABS(AD50)*AD61*1000*'Cost Assumptions'!$B$6*'Cost Assumptions'!$B$13</f>
        <v>8308296.8441463234</v>
      </c>
    </row>
    <row r="78" spans="1:30" x14ac:dyDescent="0.35">
      <c r="A78" s="88" t="s">
        <v>132</v>
      </c>
      <c r="B78" s="88" t="s">
        <v>164</v>
      </c>
      <c r="C78" s="20">
        <f>NPV('Cost Assumptions'!$B$3,D78:AD78)</f>
        <v>215931678.50400317</v>
      </c>
      <c r="D78" s="63">
        <f>ABS(D50)*D63*1000*'Cost Assumptions'!$B$7*'Cost Assumptions'!$B$13</f>
        <v>18651613.735863179</v>
      </c>
      <c r="E78" s="63">
        <f>ABS(E50)*E63*1000*'Cost Assumptions'!$B$7*'Cost Assumptions'!$B$13</f>
        <v>19179257.775335472</v>
      </c>
      <c r="F78" s="63">
        <f>ABS(F50)*F63*1000*'Cost Assumptions'!$B$7*'Cost Assumptions'!$B$13</f>
        <v>19688600.206766292</v>
      </c>
      <c r="G78" s="63">
        <f>ABS(G50)*G63*1000*'Cost Assumptions'!$B$7*'Cost Assumptions'!$B$13</f>
        <v>20212266.594999917</v>
      </c>
      <c r="H78" s="63">
        <f>ABS(H50)*H63*1000*'Cost Assumptions'!$B$7*'Cost Assumptions'!$B$13</f>
        <v>20751478.673815139</v>
      </c>
      <c r="I78" s="63">
        <f>ABS(I50)*I63*1000*'Cost Assumptions'!$B$7*'Cost Assumptions'!$B$13</f>
        <v>21310108.553941447</v>
      </c>
      <c r="J78" s="63">
        <f>ABS(J50)*J63*1000*'Cost Assumptions'!$B$7*'Cost Assumptions'!$B$13</f>
        <v>21883693.15951049</v>
      </c>
      <c r="K78" s="63">
        <f>ABS(K50)*K63*1000*'Cost Assumptions'!$B$7*'Cost Assumptions'!$B$13</f>
        <v>22482522.588210601</v>
      </c>
      <c r="L78" s="63">
        <f>ABS(L50)*L63*1000*'Cost Assumptions'!$B$7*'Cost Assumptions'!$B$13</f>
        <v>23098532.935677338</v>
      </c>
      <c r="M78" s="63">
        <f>ABS(M50)*M63*1000*'Cost Assumptions'!$B$7*'Cost Assumptions'!$B$13</f>
        <v>23733808.942385428</v>
      </c>
      <c r="N78" s="63">
        <f>ABS(N50)*N63*1000*'Cost Assumptions'!$B$7*'Cost Assumptions'!$B$13</f>
        <v>24387190.107321888</v>
      </c>
      <c r="O78" s="63">
        <f>ABS(O50)*O63*1000*'Cost Assumptions'!$B$7*'Cost Assumptions'!$B$13</f>
        <v>25059226.143466607</v>
      </c>
      <c r="P78" s="63">
        <f>ABS(P50)*P63*1000*'Cost Assumptions'!$B$7*'Cost Assumptions'!$B$13</f>
        <v>25750567.754531633</v>
      </c>
      <c r="Q78" s="63">
        <f>ABS(Q50)*Q63*1000*'Cost Assumptions'!$B$7*'Cost Assumptions'!$B$13</f>
        <v>26459252.376388464</v>
      </c>
      <c r="R78" s="63">
        <f>ABS(R50)*R63*1000*'Cost Assumptions'!$B$7*'Cost Assumptions'!$B$13</f>
        <v>27187859.106797926</v>
      </c>
      <c r="S78" s="63">
        <f>ABS(S50)*S63*1000*'Cost Assumptions'!$B$7*'Cost Assumptions'!$B$13</f>
        <v>27936808.137378231</v>
      </c>
      <c r="T78" s="63">
        <f>ABS(T50)*T63*1000*'Cost Assumptions'!$B$7*'Cost Assumptions'!$B$13</f>
        <v>28707018.533380289</v>
      </c>
      <c r="U78" s="63">
        <f>ABS(U50)*U63*1000*'Cost Assumptions'!$B$7*'Cost Assumptions'!$B$13</f>
        <v>29492093.256590154</v>
      </c>
      <c r="V78" s="63">
        <f>ABS(V50)*V63*1000*'Cost Assumptions'!$B$7*'Cost Assumptions'!$B$13</f>
        <v>30298292.257967658</v>
      </c>
      <c r="W78" s="63">
        <f>ABS(W50)*W63*1000*'Cost Assumptions'!$B$7*'Cost Assumptions'!$B$13</f>
        <v>31125958.927301049</v>
      </c>
      <c r="X78" s="63">
        <f>ABS(X50)*X63*1000*'Cost Assumptions'!$B$7*'Cost Assumptions'!$B$13</f>
        <v>31976129.470812697</v>
      </c>
      <c r="Y78" s="63">
        <f>ABS(Y50)*Y63*1000*'Cost Assumptions'!$B$7*'Cost Assumptions'!$B$13</f>
        <v>32838540.136406124</v>
      </c>
      <c r="Z78" s="63">
        <f>ABS(Z50)*Z63*1000*'Cost Assumptions'!$B$7*'Cost Assumptions'!$B$13</f>
        <v>33722518.947989188</v>
      </c>
      <c r="AA78" s="63">
        <f>ABS(AA50)*AA63*1000*'Cost Assumptions'!$B$7*'Cost Assumptions'!$B$13</f>
        <v>34628081.233665623</v>
      </c>
      <c r="AB78" s="63">
        <f>ABS(AB50)*AB63*1000*'Cost Assumptions'!$B$7*'Cost Assumptions'!$B$13</f>
        <v>35556117.754538983</v>
      </c>
      <c r="AC78" s="63">
        <f>ABS(AC50)*AC63*1000*'Cost Assumptions'!$B$7*'Cost Assumptions'!$B$13</f>
        <v>36493380.807120427</v>
      </c>
      <c r="AD78" s="63">
        <f>ABS(AD50)*AD63*1000*'Cost Assumptions'!$B$7*'Cost Assumptions'!$B$13</f>
        <v>37450910.507283248</v>
      </c>
    </row>
    <row r="79" spans="1:30" s="62" customFormat="1" ht="29" x14ac:dyDescent="0.35">
      <c r="A79" s="3" t="s">
        <v>159</v>
      </c>
      <c r="B79" s="88" t="s">
        <v>164</v>
      </c>
      <c r="C79" s="20">
        <f>NPV('Cost Assumptions'!$B$3,D79:AD79)</f>
        <v>263835039.43075904</v>
      </c>
      <c r="D79" s="63">
        <f>SUM(D77:D78)</f>
        <v>22789380.787208214</v>
      </c>
      <c r="E79" s="63">
        <f t="shared" ref="E79:AD79" si="53">SUM(E77:E78)</f>
        <v>23434080.013019107</v>
      </c>
      <c r="F79" s="63">
        <f t="shared" si="53"/>
        <v>24056417.510746744</v>
      </c>
      <c r="G79" s="63">
        <f t="shared" si="53"/>
        <v>24696256.663322125</v>
      </c>
      <c r="H79" s="63">
        <f t="shared" si="53"/>
        <v>25355090.240041249</v>
      </c>
      <c r="I79" s="63">
        <f t="shared" si="53"/>
        <v>26037649.359997295</v>
      </c>
      <c r="J79" s="63">
        <f t="shared" si="53"/>
        <v>26738480.836303256</v>
      </c>
      <c r="K79" s="63">
        <f t="shared" si="53"/>
        <v>27470157.573259961</v>
      </c>
      <c r="L79" s="63">
        <f t="shared" si="53"/>
        <v>28222826.729724787</v>
      </c>
      <c r="M79" s="63">
        <f t="shared" si="53"/>
        <v>28999035.535400961</v>
      </c>
      <c r="N79" s="63">
        <f t="shared" si="53"/>
        <v>29797366.037940592</v>
      </c>
      <c r="O79" s="63">
        <f t="shared" si="53"/>
        <v>30618489.901393749</v>
      </c>
      <c r="P79" s="63">
        <f t="shared" si="53"/>
        <v>31463202.184830587</v>
      </c>
      <c r="Q79" s="63">
        <f t="shared" si="53"/>
        <v>32329104.939104337</v>
      </c>
      <c r="R79" s="63">
        <f t="shared" si="53"/>
        <v>33219349.421891205</v>
      </c>
      <c r="S79" s="63">
        <f t="shared" si="53"/>
        <v>34134449.04221449</v>
      </c>
      <c r="T79" s="63">
        <f t="shared" si="53"/>
        <v>35075526.755345948</v>
      </c>
      <c r="U79" s="63">
        <f t="shared" si="53"/>
        <v>36034766.37219692</v>
      </c>
      <c r="V79" s="63">
        <f t="shared" si="53"/>
        <v>37019816.582481503</v>
      </c>
      <c r="W79" s="63">
        <f t="shared" si="53"/>
        <v>38031096.95529189</v>
      </c>
      <c r="X79" s="63">
        <f t="shared" si="53"/>
        <v>39069873.574008852</v>
      </c>
      <c r="Y79" s="63">
        <f t="shared" si="53"/>
        <v>40123605.724560954</v>
      </c>
      <c r="Z79" s="63">
        <f t="shared" si="53"/>
        <v>41203690.806220934</v>
      </c>
      <c r="AA79" s="63">
        <f t="shared" si="53"/>
        <v>42310147.547555543</v>
      </c>
      <c r="AB79" s="63">
        <f t="shared" si="53"/>
        <v>43444064.320555888</v>
      </c>
      <c r="AC79" s="63">
        <f t="shared" si="53"/>
        <v>44589254.485093206</v>
      </c>
      <c r="AD79" s="63">
        <f t="shared" si="53"/>
        <v>45759207.351429574</v>
      </c>
    </row>
    <row r="80" spans="1:30" s="62" customFormat="1" x14ac:dyDescent="0.35">
      <c r="A80" s="3"/>
      <c r="B80" s="88"/>
      <c r="C80" s="2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2" customFormat="1" ht="29" x14ac:dyDescent="0.35">
      <c r="A81" s="3" t="s">
        <v>160</v>
      </c>
      <c r="B81" s="88" t="s">
        <v>161</v>
      </c>
      <c r="C81" s="20">
        <f>NPV('Cost Assumptions'!$B$3,D81:AD81)</f>
        <v>175558613.66991127</v>
      </c>
      <c r="D81" s="63">
        <f>('Baseline System Analysis'!D42-D36)</f>
        <v>11220653.292733105</v>
      </c>
      <c r="E81" s="63">
        <f>('Baseline System Analysis'!E42-E36)</f>
        <v>12144894.242926663</v>
      </c>
      <c r="F81" s="63">
        <f>('Baseline System Analysis'!F42-F36)</f>
        <v>12786906.835430916</v>
      </c>
      <c r="G81" s="63">
        <f>('Baseline System Analysis'!G42-G36)</f>
        <v>13548988.63648127</v>
      </c>
      <c r="H81" s="63">
        <f>('Baseline System Analysis'!H42-H36)</f>
        <v>14198598.168851539</v>
      </c>
      <c r="I81" s="63">
        <f>('Baseline System Analysis'!I42-I36)</f>
        <v>15000919.041780714</v>
      </c>
      <c r="J81" s="63">
        <f>('Baseline System Analysis'!J42-J36)</f>
        <v>15909040.459199362</v>
      </c>
      <c r="K81" s="63">
        <f>('Baseline System Analysis'!K42-K36)</f>
        <v>16834711.499928072</v>
      </c>
      <c r="L81" s="63">
        <f>('Baseline System Analysis'!L42-L36)</f>
        <v>17913721.538628906</v>
      </c>
      <c r="M81" s="63">
        <f>('Baseline System Analysis'!M42-M36)</f>
        <v>19199934.429166906</v>
      </c>
      <c r="N81" s="63">
        <f>('Baseline System Analysis'!N42-N36)</f>
        <v>20113909.105925448</v>
      </c>
      <c r="O81" s="63">
        <f>('Baseline System Analysis'!O42-O36)</f>
        <v>21304230.047225248</v>
      </c>
      <c r="P81" s="63">
        <f>('Baseline System Analysis'!P42-P36)</f>
        <v>22569755.278816275</v>
      </c>
      <c r="Q81" s="63">
        <f>('Baseline System Analysis'!Q42-Q36)</f>
        <v>23956380.495810196</v>
      </c>
      <c r="R81" s="63">
        <f>('Baseline System Analysis'!R42-R36)</f>
        <v>25296897.755682193</v>
      </c>
      <c r="S81" s="63">
        <f>('Baseline System Analysis'!S42-S36)</f>
        <v>26952539.311523363</v>
      </c>
      <c r="T81" s="63">
        <f>('Baseline System Analysis'!T42-T36)</f>
        <v>28393160.81304479</v>
      </c>
      <c r="U81" s="63">
        <f>('Baseline System Analysis'!U42-U36)</f>
        <v>29763730.613962401</v>
      </c>
      <c r="V81" s="63">
        <f>('Baseline System Analysis'!V42-V36)</f>
        <v>31534269.371617243</v>
      </c>
      <c r="W81" s="63">
        <f>('Baseline System Analysis'!W42-W36)</f>
        <v>33150927.659656551</v>
      </c>
      <c r="X81" s="63">
        <f>('Baseline System Analysis'!X42-X36)</f>
        <v>34881141.395379439</v>
      </c>
      <c r="Y81" s="63">
        <f>('Baseline System Analysis'!Y42-Y36)</f>
        <v>36681692.56157808</v>
      </c>
      <c r="Z81" s="63">
        <f>('Baseline System Analysis'!Z42-Z36)</f>
        <v>38262714.182135426</v>
      </c>
      <c r="AA81" s="63">
        <f>('Baseline System Analysis'!AA42-AA36)</f>
        <v>40061533.984164849</v>
      </c>
      <c r="AB81" s="63">
        <f>('Baseline System Analysis'!AB42-AB36)</f>
        <v>41857863.189521752</v>
      </c>
      <c r="AC81" s="63">
        <f>('Baseline System Analysis'!AC42-AC36)</f>
        <v>43385910.880934775</v>
      </c>
      <c r="AD81" s="63">
        <f>('Baseline System Analysis'!AD42-AD36)</f>
        <v>45034968.483143762</v>
      </c>
    </row>
    <row r="82" spans="1:30" s="62" customFormat="1" x14ac:dyDescent="0.3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</row>
    <row r="83" spans="1:30" s="62" customFormat="1" ht="20" thickBot="1" x14ac:dyDescent="0.5">
      <c r="A83" s="142" t="s">
        <v>74</v>
      </c>
      <c r="B83" s="171"/>
      <c r="C83" s="20">
        <f>NPV('Cost Assumptions'!$B$3,D83:AD83)/1000000</f>
        <v>2261.7638921692055</v>
      </c>
      <c r="D83" s="63">
        <f>SUM(D67,D71,D75,D79,D81)</f>
        <v>74354247.884024262</v>
      </c>
      <c r="E83" s="63">
        <f t="shared" ref="E83:AD83" si="54">SUM(E67,E71,E75,E79,E81)</f>
        <v>84471697.419773087</v>
      </c>
      <c r="F83" s="63">
        <f t="shared" si="54"/>
        <v>99893443.930037066</v>
      </c>
      <c r="G83" s="63">
        <f t="shared" si="54"/>
        <v>116163311.74093553</v>
      </c>
      <c r="H83" s="63">
        <f t="shared" si="54"/>
        <v>133001291.00829388</v>
      </c>
      <c r="I83" s="63">
        <f t="shared" si="54"/>
        <v>149265335.62407601</v>
      </c>
      <c r="J83" s="63">
        <f t="shared" si="54"/>
        <v>168835389.20511779</v>
      </c>
      <c r="K83" s="63">
        <f t="shared" si="54"/>
        <v>189712471.19436914</v>
      </c>
      <c r="L83" s="63">
        <f t="shared" si="54"/>
        <v>212993480.90678903</v>
      </c>
      <c r="M83" s="63">
        <f t="shared" si="54"/>
        <v>231883503.0666844</v>
      </c>
      <c r="N83" s="63">
        <f t="shared" si="54"/>
        <v>256083238.03369644</v>
      </c>
      <c r="O83" s="63">
        <f t="shared" si="54"/>
        <v>281672707.75396317</v>
      </c>
      <c r="P83" s="63">
        <f t="shared" si="54"/>
        <v>311160010.63121814</v>
      </c>
      <c r="Q83" s="63">
        <f t="shared" si="54"/>
        <v>341671581.49573016</v>
      </c>
      <c r="R83" s="63">
        <f t="shared" si="54"/>
        <v>376454268.33553928</v>
      </c>
      <c r="S83" s="63">
        <f t="shared" si="54"/>
        <v>414893615.88737869</v>
      </c>
      <c r="T83" s="63">
        <f t="shared" si="54"/>
        <v>456633383.99486083</v>
      </c>
      <c r="U83" s="63">
        <f t="shared" si="54"/>
        <v>502069253.90573865</v>
      </c>
      <c r="V83" s="63">
        <f t="shared" si="54"/>
        <v>540617803.56339693</v>
      </c>
      <c r="W83" s="63">
        <f t="shared" si="54"/>
        <v>584603085.2809906</v>
      </c>
      <c r="X83" s="63">
        <f t="shared" si="54"/>
        <v>630896067.59601104</v>
      </c>
      <c r="Y83" s="63">
        <f t="shared" si="54"/>
        <v>678724019.2306143</v>
      </c>
      <c r="Z83" s="63">
        <f t="shared" si="54"/>
        <v>727514981.24654841</v>
      </c>
      <c r="AA83" s="63">
        <f t="shared" si="54"/>
        <v>779654878.80030632</v>
      </c>
      <c r="AB83" s="63">
        <f t="shared" si="54"/>
        <v>836214545.53696477</v>
      </c>
      <c r="AC83" s="63">
        <f t="shared" si="54"/>
        <v>888986063.17609668</v>
      </c>
      <c r="AD83" s="63">
        <f t="shared" si="54"/>
        <v>937214073.18019485</v>
      </c>
    </row>
    <row r="84" spans="1:30" s="62" customFormat="1" ht="20.5" thickTop="1" thickBot="1" x14ac:dyDescent="0.5">
      <c r="A84" s="142" t="s">
        <v>169</v>
      </c>
      <c r="B84" s="142"/>
      <c r="C84" s="20">
        <f>NPV('Cost Assumptions'!$B$3,D84:AD84)/1000000</f>
        <v>2262.2560397512011</v>
      </c>
      <c r="D84" s="63">
        <f>D83+D43</f>
        <v>74385006.884024233</v>
      </c>
      <c r="E84" s="63">
        <f t="shared" ref="E84:AD84" si="55">E83+E43</f>
        <v>84504666.781311512</v>
      </c>
      <c r="F84" s="63">
        <f t="shared" si="55"/>
        <v>99928714.946815878</v>
      </c>
      <c r="G84" s="63">
        <f t="shared" si="55"/>
        <v>116200978.88986579</v>
      </c>
      <c r="H84" s="63">
        <f t="shared" si="55"/>
        <v>133041452.05159765</v>
      </c>
      <c r="I84" s="63">
        <f t="shared" si="55"/>
        <v>149308091.71450391</v>
      </c>
      <c r="J84" s="63">
        <f>J83+J43</f>
        <v>168880844.99437395</v>
      </c>
      <c r="K84" s="63">
        <f t="shared" si="55"/>
        <v>189760734.94483846</v>
      </c>
      <c r="L84" s="63">
        <f t="shared" si="55"/>
        <v>213044664.60666388</v>
      </c>
      <c r="M84" s="63">
        <f t="shared" si="55"/>
        <v>231937722.54859102</v>
      </c>
      <c r="N84" s="63">
        <f t="shared" si="55"/>
        <v>256140613.09692401</v>
      </c>
      <c r="O84" s="63">
        <f t="shared" si="55"/>
        <v>281733362.29040152</v>
      </c>
      <c r="P84" s="63">
        <f t="shared" si="55"/>
        <v>311224072.7551133</v>
      </c>
      <c r="Q84" s="63">
        <f t="shared" si="55"/>
        <v>341739183.67736971</v>
      </c>
      <c r="R84" s="63">
        <f t="shared" si="55"/>
        <v>376525547.53898299</v>
      </c>
      <c r="S84" s="63">
        <f t="shared" si="55"/>
        <v>414968713.71235323</v>
      </c>
      <c r="T84" s="63">
        <f t="shared" si="55"/>
        <v>456712446.82294059</v>
      </c>
      <c r="U84" s="63">
        <f t="shared" si="55"/>
        <v>502152433.05093831</v>
      </c>
      <c r="V84" s="63">
        <f t="shared" si="55"/>
        <v>540705255.42730486</v>
      </c>
      <c r="W84" s="63">
        <f t="shared" si="55"/>
        <v>584694971.51257658</v>
      </c>
      <c r="X84" s="63">
        <f t="shared" si="55"/>
        <v>630992555.25624394</v>
      </c>
      <c r="Y84" s="63">
        <f t="shared" si="55"/>
        <v>678825280.96203184</v>
      </c>
      <c r="Z84" s="63">
        <f t="shared" si="55"/>
        <v>727621195.44792199</v>
      </c>
      <c r="AA84" s="63">
        <f t="shared" si="55"/>
        <v>779766229.80655181</v>
      </c>
      <c r="AB84" s="63">
        <f t="shared" si="55"/>
        <v>836331223.8044498</v>
      </c>
      <c r="AC84" s="63">
        <f t="shared" si="55"/>
        <v>889108265.4735043</v>
      </c>
      <c r="AD84" s="63">
        <f t="shared" si="55"/>
        <v>937342002.78510404</v>
      </c>
    </row>
    <row r="85" spans="1:30" ht="15" thickTop="1" x14ac:dyDescent="0.3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</row>
    <row r="86" spans="1:30" ht="20" thickBot="1" x14ac:dyDescent="0.5">
      <c r="A86" s="142" t="s">
        <v>163</v>
      </c>
      <c r="B86" s="142"/>
      <c r="C86" s="20">
        <f>Summary!$D$13</f>
        <v>315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15" thickTop="1" x14ac:dyDescent="0.3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20" thickBot="1" x14ac:dyDescent="0.5">
      <c r="A88" s="142" t="s">
        <v>7</v>
      </c>
      <c r="B88" s="142"/>
      <c r="C88" s="53">
        <f>C84/C86</f>
        <v>7.181765205559369</v>
      </c>
      <c r="D88" s="9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15" thickTop="1" x14ac:dyDescent="0.3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s="62" customFormat="1" ht="42.65" customHeight="1" thickBot="1" x14ac:dyDescent="0.5">
      <c r="A90" s="170" t="s">
        <v>168</v>
      </c>
      <c r="B90" s="170"/>
      <c r="C90" s="88"/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f>2998934.69920191/1000</f>
        <v>2998.93469920191</v>
      </c>
      <c r="Z90" s="63">
        <f>3033902.00303228/1000</f>
        <v>3033.9020030322799</v>
      </c>
      <c r="AA90" s="63">
        <f>3068869.30686265/1000</f>
        <v>3068.8693068626499</v>
      </c>
      <c r="AB90" s="63">
        <f>3103836.61069302/1000</f>
        <v>3103.8366106930198</v>
      </c>
      <c r="AC90" s="63">
        <f>3139343.87809291/1000</f>
        <v>3139.34387809291</v>
      </c>
      <c r="AD90" s="63">
        <f>3174851.1454928/1000</f>
        <v>3174.8511454928002</v>
      </c>
    </row>
    <row r="91" spans="1:30" ht="15" thickTop="1" x14ac:dyDescent="0.35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</row>
    <row r="92" spans="1:30" x14ac:dyDescent="0.35">
      <c r="A92" s="88"/>
      <c r="B92" s="88"/>
      <c r="C92" s="7">
        <v>2.9638000000000031</v>
      </c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</row>
    <row r="93" spans="1:30" x14ac:dyDescent="0.35">
      <c r="A93" s="88"/>
      <c r="B93" s="88"/>
      <c r="C93" s="7">
        <v>233.60639013116236</v>
      </c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</row>
    <row r="94" spans="1:30" x14ac:dyDescent="0.35">
      <c r="A94" s="88"/>
      <c r="B94" s="88"/>
      <c r="C94" s="7">
        <v>3368.6222911377495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  <row r="95" spans="1:30" x14ac:dyDescent="0.35">
      <c r="A95" s="88"/>
      <c r="B95" s="88"/>
      <c r="C95" s="7">
        <v>1848.4207520057885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</row>
    <row r="96" spans="1:30" x14ac:dyDescent="0.35">
      <c r="A96" s="88"/>
      <c r="B96" s="88"/>
      <c r="C96" s="7">
        <v>56.228499999999997</v>
      </c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</row>
  </sheetData>
  <mergeCells count="9">
    <mergeCell ref="B2:B15"/>
    <mergeCell ref="B18:B31"/>
    <mergeCell ref="A90:B90"/>
    <mergeCell ref="B40:AD40"/>
    <mergeCell ref="A58:AD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94"/>
  <sheetViews>
    <sheetView zoomScale="78" zoomScaleNormal="78" workbookViewId="0"/>
  </sheetViews>
  <sheetFormatPr defaultColWidth="8.81640625" defaultRowHeight="14.5" x14ac:dyDescent="0.35"/>
  <cols>
    <col min="1" max="1" width="17.1796875" style="62" customWidth="1"/>
    <col min="2" max="2" width="28.1796875" style="62" customWidth="1"/>
    <col min="3" max="3" width="14.81640625" style="62" bestFit="1" customWidth="1"/>
    <col min="4" max="6" width="14.81640625" style="62" customWidth="1"/>
    <col min="7" max="7" width="15.7265625" style="62" bestFit="1" customWidth="1"/>
    <col min="8" max="14" width="13.453125" style="62" bestFit="1" customWidth="1"/>
    <col min="15" max="15" width="15.453125" style="62" customWidth="1"/>
    <col min="16" max="24" width="13.453125" style="62" bestFit="1" customWidth="1"/>
    <col min="25" max="25" width="17.453125" style="62" bestFit="1" customWidth="1"/>
    <col min="26" max="26" width="13.54296875" style="62" bestFit="1" customWidth="1"/>
    <col min="27" max="28" width="13.453125" style="62" bestFit="1" customWidth="1"/>
    <col min="29" max="29" width="14.7265625" style="62" bestFit="1" customWidth="1"/>
    <col min="30" max="30" width="17.453125" style="62" bestFit="1" customWidth="1"/>
    <col min="31" max="16384" width="8.81640625" style="62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8" t="s">
        <v>26</v>
      </c>
      <c r="C2" s="88" t="s">
        <v>120</v>
      </c>
      <c r="D2" s="63">
        <v>49666.999999999534</v>
      </c>
      <c r="E2" s="63">
        <v>50103.790384614935</v>
      </c>
      <c r="F2" s="63">
        <v>50540.580769230335</v>
      </c>
      <c r="G2" s="63">
        <v>50977.371153845736</v>
      </c>
      <c r="H2" s="63">
        <v>51414.161538461136</v>
      </c>
      <c r="I2" s="63">
        <v>51850.951923076536</v>
      </c>
      <c r="J2" s="63">
        <v>52287.742307691937</v>
      </c>
      <c r="K2" s="63">
        <v>52724.532692307337</v>
      </c>
      <c r="L2" s="63">
        <v>53161.323076922738</v>
      </c>
      <c r="M2" s="63">
        <v>53598.113461538138</v>
      </c>
      <c r="N2" s="63">
        <v>54034.903846153538</v>
      </c>
      <c r="O2" s="63">
        <v>54471.694230768939</v>
      </c>
      <c r="P2" s="63">
        <v>54908.484615384339</v>
      </c>
      <c r="Q2" s="63">
        <v>55345.27499999974</v>
      </c>
      <c r="R2" s="63">
        <v>55782.06538461514</v>
      </c>
      <c r="S2" s="63">
        <v>56218.85576923054</v>
      </c>
      <c r="T2" s="63">
        <v>56655.646153845941</v>
      </c>
      <c r="U2" s="63">
        <v>57092.436538461341</v>
      </c>
      <c r="V2" s="63">
        <v>57529.226923076742</v>
      </c>
      <c r="W2" s="63">
        <v>57966.017307692142</v>
      </c>
      <c r="X2" s="63">
        <v>58402.807692307542</v>
      </c>
      <c r="Y2" s="63">
        <v>58839.598076922943</v>
      </c>
      <c r="Z2" s="63">
        <v>59276.388461538343</v>
      </c>
      <c r="AA2" s="63">
        <v>59713.178846153744</v>
      </c>
      <c r="AB2" s="63">
        <v>60149.969230769144</v>
      </c>
      <c r="AC2" s="63">
        <v>60586.759615384544</v>
      </c>
      <c r="AD2" s="63">
        <v>61023.550000000017</v>
      </c>
    </row>
    <row r="3" spans="1:30" x14ac:dyDescent="0.35">
      <c r="A3" s="88" t="s">
        <v>30</v>
      </c>
      <c r="B3" s="169"/>
      <c r="C3" s="88" t="s">
        <v>31</v>
      </c>
      <c r="D3" s="63">
        <v>10</v>
      </c>
      <c r="E3" s="63">
        <v>20.5</v>
      </c>
      <c r="F3" s="63">
        <v>29.879999999999995</v>
      </c>
      <c r="G3" s="63">
        <v>39.259999999999991</v>
      </c>
      <c r="H3" s="63">
        <v>48.639999999999986</v>
      </c>
      <c r="I3" s="63">
        <v>58.019999999999982</v>
      </c>
      <c r="J3" s="63">
        <v>67.399999999999977</v>
      </c>
      <c r="K3" s="63">
        <v>91.449999999999989</v>
      </c>
      <c r="L3" s="63">
        <v>115.5</v>
      </c>
      <c r="M3" s="63">
        <v>139.55000000000001</v>
      </c>
      <c r="N3" s="63">
        <v>163.6</v>
      </c>
      <c r="O3" s="63">
        <v>249.4666666666667</v>
      </c>
      <c r="P3" s="63">
        <v>335.33333333333337</v>
      </c>
      <c r="Q3" s="63">
        <v>421.20000000000005</v>
      </c>
      <c r="R3" s="63">
        <v>507.06666666666672</v>
      </c>
      <c r="S3" s="63">
        <v>592.93333333333339</v>
      </c>
      <c r="T3" s="63">
        <v>678.80000000000018</v>
      </c>
      <c r="U3" s="63">
        <v>893.22000000000014</v>
      </c>
      <c r="V3" s="63">
        <v>1107.6400000000001</v>
      </c>
      <c r="W3" s="63">
        <v>1322.0600000000002</v>
      </c>
      <c r="X3" s="63">
        <v>1536.4800000000002</v>
      </c>
      <c r="Y3" s="63">
        <v>1595.6</v>
      </c>
      <c r="Z3" s="63">
        <v>1841.08</v>
      </c>
      <c r="AA3" s="63">
        <v>2086.56</v>
      </c>
      <c r="AB3" s="63">
        <v>2332.04</v>
      </c>
      <c r="AC3" s="63">
        <v>2577.52</v>
      </c>
      <c r="AD3" s="63">
        <v>2823</v>
      </c>
    </row>
    <row r="4" spans="1:30" x14ac:dyDescent="0.35">
      <c r="A4" s="88" t="s">
        <v>30</v>
      </c>
      <c r="B4" s="169"/>
      <c r="C4" s="88" t="s">
        <v>32</v>
      </c>
      <c r="D4" s="63">
        <v>2</v>
      </c>
      <c r="E4" s="63">
        <v>3</v>
      </c>
      <c r="F4" s="63">
        <v>4.6799999999999953</v>
      </c>
      <c r="G4" s="63">
        <v>6.3599999999999905</v>
      </c>
      <c r="H4" s="63">
        <v>8.0399999999999867</v>
      </c>
      <c r="I4" s="63">
        <v>9.7199999999999829</v>
      </c>
      <c r="J4" s="63">
        <v>11.399999999999977</v>
      </c>
      <c r="K4" s="63">
        <v>13.199999999999989</v>
      </c>
      <c r="L4" s="63">
        <v>15</v>
      </c>
      <c r="M4" s="63">
        <v>16.800000000000011</v>
      </c>
      <c r="N4" s="63">
        <v>18.600000000000023</v>
      </c>
      <c r="O4" s="63">
        <v>21.350000000000023</v>
      </c>
      <c r="P4" s="63">
        <v>24.100000000000023</v>
      </c>
      <c r="Q4" s="63">
        <v>26.850000000000023</v>
      </c>
      <c r="R4" s="63">
        <v>29.600000000000023</v>
      </c>
      <c r="S4" s="63">
        <v>32.350000000000023</v>
      </c>
      <c r="T4" s="63">
        <v>35.100000000000023</v>
      </c>
      <c r="U4" s="63">
        <v>37.140000000000015</v>
      </c>
      <c r="V4" s="63">
        <v>39.180000000000007</v>
      </c>
      <c r="W4" s="63">
        <v>41.22</v>
      </c>
      <c r="X4" s="63">
        <v>43.259999999999991</v>
      </c>
      <c r="Y4" s="63">
        <v>45.3</v>
      </c>
      <c r="Z4" s="63">
        <v>49.92</v>
      </c>
      <c r="AA4" s="63">
        <v>54.540000000000006</v>
      </c>
      <c r="AB4" s="63">
        <v>59.160000000000011</v>
      </c>
      <c r="AC4" s="63">
        <v>63.780000000000015</v>
      </c>
      <c r="AD4" s="63">
        <v>68.400000000000006</v>
      </c>
    </row>
    <row r="5" spans="1:30" x14ac:dyDescent="0.35">
      <c r="A5" s="88" t="s">
        <v>30</v>
      </c>
      <c r="B5" s="169"/>
      <c r="C5" s="88" t="s">
        <v>33</v>
      </c>
      <c r="D5" s="63">
        <v>8.4812112193331513E-2</v>
      </c>
      <c r="E5" s="63">
        <v>0.24283371212350299</v>
      </c>
      <c r="F5" s="63">
        <v>0.34046276046663143</v>
      </c>
      <c r="G5" s="63">
        <v>0.43809180880975984</v>
      </c>
      <c r="H5" s="63">
        <v>0.53572085715288831</v>
      </c>
      <c r="I5" s="63">
        <v>0.63334990549601677</v>
      </c>
      <c r="J5" s="63">
        <v>0.73097895383914513</v>
      </c>
      <c r="K5" s="63">
        <v>1.1654530565649843</v>
      </c>
      <c r="L5" s="63">
        <v>1.5999271592908235</v>
      </c>
      <c r="M5" s="63">
        <v>2.0344012620166625</v>
      </c>
      <c r="N5" s="63">
        <v>2.4688753647425017</v>
      </c>
      <c r="O5" s="63">
        <v>6.1188246067013257</v>
      </c>
      <c r="P5" s="63">
        <v>9.7687738486601496</v>
      </c>
      <c r="Q5" s="63">
        <v>13.418723090618974</v>
      </c>
      <c r="R5" s="63">
        <v>17.068672332577798</v>
      </c>
      <c r="S5" s="63">
        <v>20.718621574536623</v>
      </c>
      <c r="T5" s="63">
        <v>24.368570816495449</v>
      </c>
      <c r="U5" s="63">
        <v>38.177554292324203</v>
      </c>
      <c r="V5" s="63">
        <v>51.986537768152957</v>
      </c>
      <c r="W5" s="63">
        <v>65.79552124398171</v>
      </c>
      <c r="X5" s="63">
        <v>79.604504719810464</v>
      </c>
      <c r="Y5" s="63">
        <v>93.413488195639218</v>
      </c>
      <c r="Z5" s="63">
        <v>125.5073617484412</v>
      </c>
      <c r="AA5" s="63">
        <v>157.60123530124318</v>
      </c>
      <c r="AB5" s="63">
        <v>189.69510885404515</v>
      </c>
      <c r="AC5" s="63">
        <v>221.78898240684714</v>
      </c>
      <c r="AD5" s="63">
        <v>253.88285595964913</v>
      </c>
    </row>
    <row r="6" spans="1:30" x14ac:dyDescent="0.35">
      <c r="A6" s="88" t="s">
        <v>30</v>
      </c>
      <c r="B6" s="169"/>
      <c r="C6" s="88" t="s">
        <v>34</v>
      </c>
      <c r="D6" s="63">
        <v>6.0580080138093939E-3</v>
      </c>
      <c r="E6" s="63">
        <v>1.7771756236396739E-2</v>
      </c>
      <c r="F6" s="63">
        <v>2.504677784712513E-2</v>
      </c>
      <c r="G6" s="63">
        <v>3.2321799457853517E-2</v>
      </c>
      <c r="H6" s="63">
        <v>3.9596821068581908E-2</v>
      </c>
      <c r="I6" s="63">
        <v>4.6871842679310299E-2</v>
      </c>
      <c r="J6" s="63">
        <v>5.414686429003869E-2</v>
      </c>
      <c r="K6" s="63">
        <v>7.3798800432577555E-2</v>
      </c>
      <c r="L6" s="63">
        <v>9.3450736575116419E-2</v>
      </c>
      <c r="M6" s="63">
        <v>0.11310267271765528</v>
      </c>
      <c r="N6" s="63">
        <v>0.13275460886019416</v>
      </c>
      <c r="O6" s="63">
        <v>0.20937705636327303</v>
      </c>
      <c r="P6" s="63">
        <v>0.28599950386635192</v>
      </c>
      <c r="Q6" s="63">
        <v>0.36262195136943082</v>
      </c>
      <c r="R6" s="63">
        <v>0.43924439887250971</v>
      </c>
      <c r="S6" s="63">
        <v>0.51586684637558855</v>
      </c>
      <c r="T6" s="63">
        <v>0.59248929387866744</v>
      </c>
      <c r="U6" s="63">
        <v>0.75647401896257604</v>
      </c>
      <c r="V6" s="63">
        <v>0.92045874404648464</v>
      </c>
      <c r="W6" s="63">
        <v>1.0844434691303932</v>
      </c>
      <c r="X6" s="63">
        <v>1.2484281942143018</v>
      </c>
      <c r="Y6" s="63">
        <v>1.4124129192982104</v>
      </c>
      <c r="Z6" s="63">
        <v>1.6368955320956846</v>
      </c>
      <c r="AA6" s="63">
        <v>1.8613781448931588</v>
      </c>
      <c r="AB6" s="63">
        <v>2.0858607576906327</v>
      </c>
      <c r="AC6" s="63">
        <v>2.3103433704881069</v>
      </c>
      <c r="AD6" s="63">
        <v>2.5348259832855811</v>
      </c>
    </row>
    <row r="7" spans="1:30" x14ac:dyDescent="0.35">
      <c r="A7" s="88" t="s">
        <v>30</v>
      </c>
      <c r="B7" s="169"/>
      <c r="C7" s="88" t="s">
        <v>35</v>
      </c>
      <c r="D7" s="63">
        <v>14</v>
      </c>
      <c r="E7" s="63">
        <v>21</v>
      </c>
      <c r="F7" s="63">
        <v>23.2</v>
      </c>
      <c r="G7" s="63">
        <v>25.4</v>
      </c>
      <c r="H7" s="63">
        <v>27.599999999999998</v>
      </c>
      <c r="I7" s="63">
        <v>29.799999999999997</v>
      </c>
      <c r="J7" s="63">
        <v>32</v>
      </c>
      <c r="K7" s="63">
        <v>35.75</v>
      </c>
      <c r="L7" s="63">
        <v>39.5</v>
      </c>
      <c r="M7" s="63">
        <v>43.25</v>
      </c>
      <c r="N7" s="63">
        <v>47</v>
      </c>
      <c r="O7" s="63">
        <v>53.833333333333336</v>
      </c>
      <c r="P7" s="63">
        <v>60.666666666666671</v>
      </c>
      <c r="Q7" s="63">
        <v>67.5</v>
      </c>
      <c r="R7" s="63">
        <v>74.333333333333329</v>
      </c>
      <c r="S7" s="63">
        <v>81.166666666666657</v>
      </c>
      <c r="T7" s="63">
        <v>88</v>
      </c>
      <c r="U7" s="63">
        <v>94.4</v>
      </c>
      <c r="V7" s="63">
        <v>100.80000000000001</v>
      </c>
      <c r="W7" s="63">
        <v>107.20000000000002</v>
      </c>
      <c r="X7" s="63">
        <v>113.60000000000002</v>
      </c>
      <c r="Y7" s="63">
        <v>120</v>
      </c>
      <c r="Z7" s="63">
        <v>126.6</v>
      </c>
      <c r="AA7" s="63">
        <v>133.19999999999999</v>
      </c>
      <c r="AB7" s="63">
        <v>139.79999999999998</v>
      </c>
      <c r="AC7" s="63">
        <v>146.39999999999998</v>
      </c>
      <c r="AD7" s="63">
        <v>153</v>
      </c>
    </row>
    <row r="8" spans="1:30" x14ac:dyDescent="0.35">
      <c r="A8" s="88" t="s">
        <v>39</v>
      </c>
      <c r="B8" s="169"/>
      <c r="C8" s="88" t="s">
        <v>31</v>
      </c>
      <c r="D8" s="63">
        <v>22.2</v>
      </c>
      <c r="E8" s="63">
        <v>65.8</v>
      </c>
      <c r="F8" s="63">
        <v>102.72</v>
      </c>
      <c r="G8" s="63">
        <v>139.63999999999999</v>
      </c>
      <c r="H8" s="63">
        <v>176.56</v>
      </c>
      <c r="I8" s="63">
        <v>213.48000000000002</v>
      </c>
      <c r="J8" s="63">
        <v>250.4</v>
      </c>
      <c r="K8" s="63">
        <v>348.67500000000001</v>
      </c>
      <c r="L8" s="63">
        <v>446.95000000000005</v>
      </c>
      <c r="M8" s="63">
        <v>545.22500000000002</v>
      </c>
      <c r="N8" s="63">
        <v>643.5</v>
      </c>
      <c r="O8" s="63">
        <v>904.91666666666674</v>
      </c>
      <c r="P8" s="63">
        <v>1166.3333333333335</v>
      </c>
      <c r="Q8" s="63">
        <v>1427.7500000000002</v>
      </c>
      <c r="R8" s="63">
        <v>1689.166666666667</v>
      </c>
      <c r="S8" s="63">
        <v>1950.5833333333337</v>
      </c>
      <c r="T8" s="63">
        <v>2212</v>
      </c>
      <c r="U8" s="63">
        <v>2606.48</v>
      </c>
      <c r="V8" s="63">
        <v>3000.96</v>
      </c>
      <c r="W8" s="63">
        <v>3395.44</v>
      </c>
      <c r="X8" s="63">
        <v>3789.92</v>
      </c>
      <c r="Y8" s="63">
        <v>4184.4000000000005</v>
      </c>
      <c r="Z8" s="63">
        <v>4609.4400000000005</v>
      </c>
      <c r="AA8" s="63">
        <v>5034.4800000000005</v>
      </c>
      <c r="AB8" s="63">
        <v>5459.52</v>
      </c>
      <c r="AC8" s="63">
        <v>5884.56</v>
      </c>
      <c r="AD8" s="63">
        <v>6309.5999999999985</v>
      </c>
    </row>
    <row r="9" spans="1:30" x14ac:dyDescent="0.35">
      <c r="A9" s="88" t="s">
        <v>39</v>
      </c>
      <c r="B9" s="169"/>
      <c r="C9" s="88" t="s">
        <v>32</v>
      </c>
      <c r="D9" s="63">
        <v>13</v>
      </c>
      <c r="E9" s="63">
        <v>27</v>
      </c>
      <c r="F9" s="63">
        <v>34.519999999999982</v>
      </c>
      <c r="G9" s="63">
        <v>42.039999999999964</v>
      </c>
      <c r="H9" s="63">
        <v>49.559999999999945</v>
      </c>
      <c r="I9" s="63">
        <v>57.079999999999927</v>
      </c>
      <c r="J9" s="63">
        <v>64.599999999999909</v>
      </c>
      <c r="K9" s="63">
        <v>75.024999999999935</v>
      </c>
      <c r="L9" s="63">
        <v>85.44999999999996</v>
      </c>
      <c r="M9" s="63">
        <v>95.874999999999986</v>
      </c>
      <c r="N9" s="63">
        <v>106.3</v>
      </c>
      <c r="O9" s="63">
        <v>120.25</v>
      </c>
      <c r="P9" s="63">
        <v>134.19999999999999</v>
      </c>
      <c r="Q9" s="63">
        <v>148.14999999999998</v>
      </c>
      <c r="R9" s="63">
        <v>162.09999999999997</v>
      </c>
      <c r="S9" s="63">
        <v>176.04999999999995</v>
      </c>
      <c r="T9" s="63">
        <v>190</v>
      </c>
      <c r="U9" s="63">
        <v>201.2</v>
      </c>
      <c r="V9" s="63">
        <v>212.39999999999998</v>
      </c>
      <c r="W9" s="63">
        <v>223.59999999999997</v>
      </c>
      <c r="X9" s="63">
        <v>234.79999999999995</v>
      </c>
      <c r="Y9" s="63">
        <v>246</v>
      </c>
      <c r="Z9" s="63">
        <v>254.48000000000002</v>
      </c>
      <c r="AA9" s="63">
        <v>262.96000000000004</v>
      </c>
      <c r="AB9" s="63">
        <v>271.44000000000005</v>
      </c>
      <c r="AC9" s="63">
        <v>279.92000000000007</v>
      </c>
      <c r="AD9" s="63">
        <v>288.40000000000009</v>
      </c>
    </row>
    <row r="10" spans="1:30" x14ac:dyDescent="0.35">
      <c r="A10" s="88" t="s">
        <v>39</v>
      </c>
      <c r="B10" s="169"/>
      <c r="C10" s="88" t="s">
        <v>33</v>
      </c>
      <c r="D10" s="63">
        <v>4.7253529883901121E-2</v>
      </c>
      <c r="E10" s="63">
        <v>0.28011551949195379</v>
      </c>
      <c r="F10" s="63">
        <v>0.59718244793816533</v>
      </c>
      <c r="G10" s="63">
        <v>0.91424937638437687</v>
      </c>
      <c r="H10" s="63">
        <v>1.2313163048305884</v>
      </c>
      <c r="I10" s="63">
        <v>1.5483832332767999</v>
      </c>
      <c r="J10" s="63">
        <v>1.8654501617230115</v>
      </c>
      <c r="K10" s="63">
        <v>3.796086780774603</v>
      </c>
      <c r="L10" s="63">
        <v>5.726723399826195</v>
      </c>
      <c r="M10" s="63">
        <v>7.6573600188777871</v>
      </c>
      <c r="N10" s="63">
        <v>9.5879966379293773</v>
      </c>
      <c r="O10" s="63">
        <v>22.507331657050738</v>
      </c>
      <c r="P10" s="63">
        <v>35.426666676172097</v>
      </c>
      <c r="Q10" s="63">
        <v>48.346001695293459</v>
      </c>
      <c r="R10" s="63">
        <v>61.265336714414822</v>
      </c>
      <c r="S10" s="63">
        <v>74.184671733536177</v>
      </c>
      <c r="T10" s="63">
        <v>87.10400675265754</v>
      </c>
      <c r="U10" s="63">
        <v>116.88846005819971</v>
      </c>
      <c r="V10" s="63">
        <v>146.67291336374188</v>
      </c>
      <c r="W10" s="63">
        <v>176.45736666928406</v>
      </c>
      <c r="X10" s="63">
        <v>206.24181997482623</v>
      </c>
      <c r="Y10" s="63">
        <v>236.02627328036843</v>
      </c>
      <c r="Z10" s="63">
        <v>292.23370851605404</v>
      </c>
      <c r="AA10" s="63">
        <v>348.44114375173962</v>
      </c>
      <c r="AB10" s="63">
        <v>404.6485789874252</v>
      </c>
      <c r="AC10" s="63">
        <v>460.85601422311078</v>
      </c>
      <c r="AD10" s="63">
        <v>517.06344945879641</v>
      </c>
    </row>
    <row r="11" spans="1:30" x14ac:dyDescent="0.35">
      <c r="A11" s="88" t="s">
        <v>39</v>
      </c>
      <c r="B11" s="169"/>
      <c r="C11" s="88" t="s">
        <v>34</v>
      </c>
      <c r="D11" s="63">
        <v>2.3626764941950561E-2</v>
      </c>
      <c r="E11" s="63">
        <v>7.0028879872988448E-2</v>
      </c>
      <c r="F11" s="63">
        <v>0.10932167994761965</v>
      </c>
      <c r="G11" s="63">
        <v>0.14861448002225086</v>
      </c>
      <c r="H11" s="63">
        <v>0.18790728009688207</v>
      </c>
      <c r="I11" s="63">
        <v>0.22720008017151327</v>
      </c>
      <c r="J11" s="63">
        <v>0.26649288024614448</v>
      </c>
      <c r="K11" s="63">
        <v>0.37108388586191865</v>
      </c>
      <c r="L11" s="63">
        <v>0.47567489147769282</v>
      </c>
      <c r="M11" s="63">
        <v>0.58026589709346699</v>
      </c>
      <c r="N11" s="63">
        <v>0.68485690270924116</v>
      </c>
      <c r="O11" s="63">
        <v>0.96307447636877097</v>
      </c>
      <c r="P11" s="63">
        <v>1.2412920500283007</v>
      </c>
      <c r="Q11" s="63">
        <v>1.5195096236878305</v>
      </c>
      <c r="R11" s="63">
        <v>1.7977271973473603</v>
      </c>
      <c r="S11" s="63">
        <v>2.0759447710068901</v>
      </c>
      <c r="T11" s="63">
        <v>2.3541623446664199</v>
      </c>
      <c r="U11" s="63">
        <v>2.7739950579232056</v>
      </c>
      <c r="V11" s="63">
        <v>3.1938277711799912</v>
      </c>
      <c r="W11" s="63">
        <v>3.6136604844367768</v>
      </c>
      <c r="X11" s="63">
        <v>4.0334931976935628</v>
      </c>
      <c r="Y11" s="63">
        <v>4.4533259109503485</v>
      </c>
      <c r="Z11" s="63">
        <v>4.9056826754065028</v>
      </c>
      <c r="AA11" s="63">
        <v>5.3580394398626572</v>
      </c>
      <c r="AB11" s="63">
        <v>5.8103962043188115</v>
      </c>
      <c r="AC11" s="63">
        <v>6.2627529687749659</v>
      </c>
      <c r="AD11" s="63">
        <v>6.715109733231122</v>
      </c>
    </row>
    <row r="12" spans="1:30" x14ac:dyDescent="0.35">
      <c r="A12" s="88" t="s">
        <v>39</v>
      </c>
      <c r="B12" s="169"/>
      <c r="C12" s="88" t="s">
        <v>35</v>
      </c>
      <c r="D12" s="63">
        <v>2</v>
      </c>
      <c r="E12" s="63">
        <v>4</v>
      </c>
      <c r="F12" s="63">
        <v>4.5999999999999996</v>
      </c>
      <c r="G12" s="63">
        <v>5.1999999999999993</v>
      </c>
      <c r="H12" s="63">
        <v>5.7999999999999989</v>
      </c>
      <c r="I12" s="63">
        <v>6.3999999999999986</v>
      </c>
      <c r="J12" s="63">
        <v>7</v>
      </c>
      <c r="K12" s="63">
        <v>8.75</v>
      </c>
      <c r="L12" s="63">
        <v>10.5</v>
      </c>
      <c r="M12" s="63">
        <v>12.25</v>
      </c>
      <c r="N12" s="63">
        <v>14</v>
      </c>
      <c r="O12" s="63">
        <v>17.833333333333332</v>
      </c>
      <c r="P12" s="63">
        <v>21.666666666666664</v>
      </c>
      <c r="Q12" s="63">
        <v>25.499999999999996</v>
      </c>
      <c r="R12" s="63">
        <v>29.333333333333329</v>
      </c>
      <c r="S12" s="63">
        <v>33.166666666666664</v>
      </c>
      <c r="T12" s="63">
        <v>37</v>
      </c>
      <c r="U12" s="63">
        <v>40.200000000000003</v>
      </c>
      <c r="V12" s="63">
        <v>43.400000000000006</v>
      </c>
      <c r="W12" s="63">
        <v>46.600000000000009</v>
      </c>
      <c r="X12" s="63">
        <v>49.800000000000011</v>
      </c>
      <c r="Y12" s="63">
        <v>53</v>
      </c>
      <c r="Z12" s="63">
        <v>57.8</v>
      </c>
      <c r="AA12" s="63">
        <v>62.599999999999994</v>
      </c>
      <c r="AB12" s="63">
        <v>67.399999999999991</v>
      </c>
      <c r="AC12" s="63">
        <v>72.199999999999989</v>
      </c>
      <c r="AD12" s="63">
        <v>77</v>
      </c>
    </row>
    <row r="13" spans="1:30" x14ac:dyDescent="0.35">
      <c r="A13" s="88" t="s">
        <v>30</v>
      </c>
      <c r="B13" s="169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x14ac:dyDescent="0.35">
      <c r="A14" s="88" t="s">
        <v>30</v>
      </c>
      <c r="B14" s="169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x14ac:dyDescent="0.35">
      <c r="A15" s="88" t="s">
        <v>30</v>
      </c>
      <c r="B15" s="169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15" thickTop="1" x14ac:dyDescent="0.35">
      <c r="A18" s="88"/>
      <c r="B18" s="168" t="s">
        <v>10</v>
      </c>
      <c r="C18" s="88" t="s">
        <v>120</v>
      </c>
      <c r="D18" s="63">
        <v>48453.299999999697</v>
      </c>
      <c r="E18" s="63">
        <f>D18+(($AD18-$D$18)/(COLUMN($AD18)-COLUMN($D$18)))</f>
        <v>48868.542307692027</v>
      </c>
      <c r="F18" s="63">
        <f>E18+(($AD18-$D$18)/(COLUMN($AD18)-COLUMN($D$18)))</f>
        <v>49283.784615384357</v>
      </c>
      <c r="G18" s="63">
        <f t="shared" ref="G18:AC18" si="0">F18+(($AD18-$D$18)/(COLUMN($AD18)-COLUMN($D$18)))</f>
        <v>49699.026923076686</v>
      </c>
      <c r="H18" s="63">
        <f t="shared" si="0"/>
        <v>50114.269230769016</v>
      </c>
      <c r="I18" s="63">
        <f t="shared" si="0"/>
        <v>50529.511538461345</v>
      </c>
      <c r="J18" s="63">
        <f t="shared" si="0"/>
        <v>50944.753846153675</v>
      </c>
      <c r="K18" s="63">
        <f t="shared" si="0"/>
        <v>51359.996153846005</v>
      </c>
      <c r="L18" s="63">
        <f t="shared" si="0"/>
        <v>51775.238461538334</v>
      </c>
      <c r="M18" s="63">
        <f t="shared" si="0"/>
        <v>52190.480769230664</v>
      </c>
      <c r="N18" s="63">
        <f t="shared" si="0"/>
        <v>52605.723076922994</v>
      </c>
      <c r="O18" s="63">
        <f t="shared" si="0"/>
        <v>53020.965384615323</v>
      </c>
      <c r="P18" s="63">
        <f t="shared" si="0"/>
        <v>53436.207692307653</v>
      </c>
      <c r="Q18" s="63">
        <f t="shared" si="0"/>
        <v>53851.449999999983</v>
      </c>
      <c r="R18" s="63">
        <f t="shared" si="0"/>
        <v>54266.692307692312</v>
      </c>
      <c r="S18" s="63">
        <f t="shared" si="0"/>
        <v>54681.934615384642</v>
      </c>
      <c r="T18" s="63">
        <f t="shared" si="0"/>
        <v>55097.176923076971</v>
      </c>
      <c r="U18" s="63">
        <f t="shared" si="0"/>
        <v>55512.419230769301</v>
      </c>
      <c r="V18" s="63">
        <f t="shared" si="0"/>
        <v>55927.661538461631</v>
      </c>
      <c r="W18" s="63">
        <f t="shared" si="0"/>
        <v>56342.90384615396</v>
      </c>
      <c r="X18" s="63">
        <f t="shared" si="0"/>
        <v>56758.14615384629</v>
      </c>
      <c r="Y18" s="63">
        <f t="shared" si="0"/>
        <v>57173.38846153862</v>
      </c>
      <c r="Z18" s="63">
        <f t="shared" si="0"/>
        <v>57588.630769230949</v>
      </c>
      <c r="AA18" s="63">
        <f t="shared" si="0"/>
        <v>58003.873076923279</v>
      </c>
      <c r="AB18" s="63">
        <f t="shared" si="0"/>
        <v>58419.115384615608</v>
      </c>
      <c r="AC18" s="63">
        <f t="shared" si="0"/>
        <v>58834.357692307938</v>
      </c>
      <c r="AD18" s="63">
        <v>59249.600000000195</v>
      </c>
    </row>
    <row r="19" spans="1:30" x14ac:dyDescent="0.35">
      <c r="A19" s="88" t="s">
        <v>30</v>
      </c>
      <c r="B19" s="169"/>
      <c r="C19" s="88" t="s">
        <v>31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29.400000000000006</v>
      </c>
      <c r="K19" s="63">
        <f>J19+(($N19-$J19)/(COLUMN($N19)-COLUMN($J19)))</f>
        <v>45.949999999999996</v>
      </c>
      <c r="L19" s="63">
        <f t="shared" ref="L19:M19" si="1">K19+(($N19-$J19)/(COLUMN($N19)-COLUMN($J19)))</f>
        <v>62.499999999999986</v>
      </c>
      <c r="M19" s="63">
        <f t="shared" si="1"/>
        <v>79.049999999999983</v>
      </c>
      <c r="N19" s="63">
        <v>95.599999999999966</v>
      </c>
      <c r="O19" s="63">
        <f>N19+(($T19-$N19)/(COLUMN($T19)-COLUMN($N19)))</f>
        <v>148.98333333333329</v>
      </c>
      <c r="P19" s="63">
        <f t="shared" ref="P19:R19" si="2">O19+(($T19-$N19)/(COLUMN($T19)-COLUMN($N19)))</f>
        <v>202.36666666666662</v>
      </c>
      <c r="Q19" s="63">
        <f t="shared" si="2"/>
        <v>255.74999999999994</v>
      </c>
      <c r="R19" s="63">
        <f t="shared" si="2"/>
        <v>309.13333333333327</v>
      </c>
      <c r="S19" s="63">
        <f>R19+(($T19-$N19)/(COLUMN($T19)-COLUMN($N19)))</f>
        <v>362.51666666666659</v>
      </c>
      <c r="T19" s="88">
        <v>415.9</v>
      </c>
      <c r="U19" s="63">
        <f>T19+(($Y19-$T19)/(COLUMN($Y19)-COLUMN($T19)))</f>
        <v>557.66</v>
      </c>
      <c r="V19" s="63">
        <f t="shared" ref="V19:X19" si="3">U19+(($Y19-$T19)/(COLUMN($Y19)-COLUMN($T19)))</f>
        <v>699.42</v>
      </c>
      <c r="W19" s="63">
        <f t="shared" si="3"/>
        <v>841.18</v>
      </c>
      <c r="X19" s="63">
        <f t="shared" si="3"/>
        <v>982.93999999999994</v>
      </c>
      <c r="Y19" s="63">
        <v>1124.7</v>
      </c>
      <c r="Z19" s="63">
        <f>Y19+(($AD19-$Y19)/(COLUMN($AD19)-COLUMN($Y19)))</f>
        <v>1301.5</v>
      </c>
      <c r="AA19" s="63">
        <f t="shared" ref="AA19:AC19" si="4">Z19+(($AD19-$Y19)/(COLUMN($AD19)-COLUMN($Y19)))</f>
        <v>1478.3</v>
      </c>
      <c r="AB19" s="63">
        <f t="shared" si="4"/>
        <v>1655.1</v>
      </c>
      <c r="AC19" s="63">
        <f t="shared" si="4"/>
        <v>1831.8999999999999</v>
      </c>
      <c r="AD19" s="63">
        <v>2008.6999999999998</v>
      </c>
    </row>
    <row r="20" spans="1:30" x14ac:dyDescent="0.35">
      <c r="A20" s="88" t="s">
        <v>30</v>
      </c>
      <c r="B20" s="169"/>
      <c r="C20" s="88" t="s">
        <v>32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10</v>
      </c>
      <c r="K20" s="63">
        <f t="shared" ref="K20:M23" si="5">J20+(($N20-$J20)/(COLUMN($N20)-COLUMN($J20)))</f>
        <v>12.375</v>
      </c>
      <c r="L20" s="63">
        <f t="shared" si="5"/>
        <v>14.75</v>
      </c>
      <c r="M20" s="63">
        <f t="shared" si="5"/>
        <v>17.125</v>
      </c>
      <c r="N20" s="63">
        <v>19.5</v>
      </c>
      <c r="O20" s="63">
        <f t="shared" ref="O20:S23" si="6">N20+(($T20-$N20)/(COLUMN($T20)-COLUMN($N20)))</f>
        <v>21.783333333333331</v>
      </c>
      <c r="P20" s="63">
        <f t="shared" si="6"/>
        <v>24.066666666666663</v>
      </c>
      <c r="Q20" s="63">
        <f t="shared" si="6"/>
        <v>26.349999999999994</v>
      </c>
      <c r="R20" s="63">
        <f t="shared" si="6"/>
        <v>28.633333333333326</v>
      </c>
      <c r="S20" s="63">
        <f t="shared" si="6"/>
        <v>30.916666666666657</v>
      </c>
      <c r="T20" s="63">
        <v>33.199999999999989</v>
      </c>
      <c r="U20" s="63">
        <f t="shared" ref="U20:X23" si="7">T20+(($Y20-$T20)/(COLUMN($Y20)-COLUMN($T20)))</f>
        <v>35.259999999999991</v>
      </c>
      <c r="V20" s="63">
        <f t="shared" si="7"/>
        <v>37.319999999999993</v>
      </c>
      <c r="W20" s="63">
        <f t="shared" si="7"/>
        <v>39.379999999999995</v>
      </c>
      <c r="X20" s="63">
        <f t="shared" si="7"/>
        <v>41.44</v>
      </c>
      <c r="Y20" s="63">
        <v>43.5</v>
      </c>
      <c r="Z20" s="63">
        <f t="shared" ref="Z20:AC23" si="8">Y20+(($AD20-$Y20)/(COLUMN($AD20)-COLUMN($Y20)))</f>
        <v>45.4</v>
      </c>
      <c r="AA20" s="63">
        <f t="shared" si="8"/>
        <v>47.3</v>
      </c>
      <c r="AB20" s="63">
        <f t="shared" si="8"/>
        <v>49.199999999999996</v>
      </c>
      <c r="AC20" s="63">
        <f t="shared" si="8"/>
        <v>51.099999999999994</v>
      </c>
      <c r="AD20" s="63">
        <v>53</v>
      </c>
    </row>
    <row r="21" spans="1:30" x14ac:dyDescent="0.35">
      <c r="A21" s="88" t="s">
        <v>30</v>
      </c>
      <c r="B21" s="169"/>
      <c r="C21" s="88" t="s">
        <v>33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0.15145853601155324</v>
      </c>
      <c r="K21" s="63">
        <f t="shared" si="5"/>
        <v>0.33057999182397924</v>
      </c>
      <c r="L21" s="63">
        <f t="shared" si="5"/>
        <v>0.50970144763640524</v>
      </c>
      <c r="M21" s="63">
        <f t="shared" si="5"/>
        <v>0.68882290344883124</v>
      </c>
      <c r="N21" s="63">
        <v>0.86794435926125735</v>
      </c>
      <c r="O21" s="63">
        <f t="shared" si="6"/>
        <v>2.5276213664097349</v>
      </c>
      <c r="P21" s="63">
        <f t="shared" si="6"/>
        <v>4.1872983735582121</v>
      </c>
      <c r="Q21" s="63">
        <f t="shared" si="6"/>
        <v>5.8469753807066898</v>
      </c>
      <c r="R21" s="63">
        <f t="shared" si="6"/>
        <v>7.5066523878551674</v>
      </c>
      <c r="S21" s="63">
        <f t="shared" si="6"/>
        <v>9.1663293950036451</v>
      </c>
      <c r="T21" s="63">
        <v>10.826006402152123</v>
      </c>
      <c r="U21" s="63">
        <f t="shared" si="7"/>
        <v>17.212575333226262</v>
      </c>
      <c r="V21" s="63">
        <f t="shared" si="7"/>
        <v>23.599144264300399</v>
      </c>
      <c r="W21" s="63">
        <f t="shared" si="7"/>
        <v>29.985713195374537</v>
      </c>
      <c r="X21" s="63">
        <f t="shared" si="7"/>
        <v>36.372282126448674</v>
      </c>
      <c r="Y21" s="63">
        <v>42.758851057522811</v>
      </c>
      <c r="Z21" s="63">
        <f t="shared" si="8"/>
        <v>56.664767070345285</v>
      </c>
      <c r="AA21" s="63">
        <f t="shared" si="8"/>
        <v>70.570683083167751</v>
      </c>
      <c r="AB21" s="63">
        <f t="shared" si="8"/>
        <v>84.476599095990224</v>
      </c>
      <c r="AC21" s="63">
        <f t="shared" si="8"/>
        <v>98.382515108812697</v>
      </c>
      <c r="AD21" s="63">
        <v>112.28843112163517</v>
      </c>
    </row>
    <row r="22" spans="1:30" x14ac:dyDescent="0.35">
      <c r="A22" s="88" t="s">
        <v>30</v>
      </c>
      <c r="B22" s="169"/>
      <c r="C22" s="88" t="s">
        <v>34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3.0291707202310645E-2</v>
      </c>
      <c r="K22" s="63">
        <f t="shared" si="5"/>
        <v>4.7389297691700527E-2</v>
      </c>
      <c r="L22" s="63">
        <f t="shared" si="5"/>
        <v>6.4486888181090413E-2</v>
      </c>
      <c r="M22" s="63">
        <f t="shared" si="5"/>
        <v>8.1584478670480298E-2</v>
      </c>
      <c r="N22" s="63">
        <v>9.8682069159870156E-2</v>
      </c>
      <c r="O22" s="63">
        <f t="shared" si="6"/>
        <v>0.15352327291569043</v>
      </c>
      <c r="P22" s="63">
        <f t="shared" si="6"/>
        <v>0.2083644766715107</v>
      </c>
      <c r="Q22" s="63">
        <f t="shared" si="6"/>
        <v>0.26320568042733095</v>
      </c>
      <c r="R22" s="63">
        <f t="shared" si="6"/>
        <v>0.31804688418315119</v>
      </c>
      <c r="S22" s="63">
        <f t="shared" si="6"/>
        <v>0.37288808793897144</v>
      </c>
      <c r="T22" s="63">
        <v>0.42772929169479174</v>
      </c>
      <c r="U22" s="63">
        <f t="shared" si="7"/>
        <v>0.56316307221179596</v>
      </c>
      <c r="V22" s="63">
        <f t="shared" si="7"/>
        <v>0.69859685272880023</v>
      </c>
      <c r="W22" s="63">
        <f t="shared" si="7"/>
        <v>0.83403063324580451</v>
      </c>
      <c r="X22" s="63">
        <f t="shared" si="7"/>
        <v>0.96946441376280879</v>
      </c>
      <c r="Y22" s="63">
        <v>1.1048981942798131</v>
      </c>
      <c r="Z22" s="63">
        <f t="shared" si="8"/>
        <v>1.2661664435306694</v>
      </c>
      <c r="AA22" s="63">
        <f t="shared" si="8"/>
        <v>1.4274346927815258</v>
      </c>
      <c r="AB22" s="63">
        <f t="shared" si="8"/>
        <v>1.5887029420323822</v>
      </c>
      <c r="AC22" s="63">
        <f t="shared" si="8"/>
        <v>1.7499711912832385</v>
      </c>
      <c r="AD22" s="63">
        <v>1.9112394405340947</v>
      </c>
    </row>
    <row r="23" spans="1:30" x14ac:dyDescent="0.35">
      <c r="A23" s="88" t="s">
        <v>30</v>
      </c>
      <c r="B23" s="169"/>
      <c r="C23" s="88" t="s">
        <v>35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5</v>
      </c>
      <c r="K23" s="63">
        <f t="shared" si="5"/>
        <v>6</v>
      </c>
      <c r="L23" s="63">
        <f t="shared" si="5"/>
        <v>7</v>
      </c>
      <c r="M23" s="63">
        <f t="shared" si="5"/>
        <v>8</v>
      </c>
      <c r="N23" s="63">
        <v>9</v>
      </c>
      <c r="O23" s="63">
        <f t="shared" si="6"/>
        <v>12.5</v>
      </c>
      <c r="P23" s="63">
        <f t="shared" si="6"/>
        <v>16</v>
      </c>
      <c r="Q23" s="63">
        <f t="shared" si="6"/>
        <v>19.5</v>
      </c>
      <c r="R23" s="63">
        <f t="shared" si="6"/>
        <v>23</v>
      </c>
      <c r="S23" s="63">
        <f t="shared" si="6"/>
        <v>26.5</v>
      </c>
      <c r="T23" s="63">
        <v>30</v>
      </c>
      <c r="U23" s="63">
        <f t="shared" si="7"/>
        <v>33.6</v>
      </c>
      <c r="V23" s="63">
        <f t="shared" si="7"/>
        <v>37.200000000000003</v>
      </c>
      <c r="W23" s="63">
        <f t="shared" si="7"/>
        <v>40.800000000000004</v>
      </c>
      <c r="X23" s="63">
        <f t="shared" si="7"/>
        <v>44.400000000000006</v>
      </c>
      <c r="Y23" s="63">
        <v>48</v>
      </c>
      <c r="Z23" s="63">
        <f t="shared" si="8"/>
        <v>53.6</v>
      </c>
      <c r="AA23" s="63">
        <f t="shared" si="8"/>
        <v>59.2</v>
      </c>
      <c r="AB23" s="63">
        <f t="shared" si="8"/>
        <v>64.8</v>
      </c>
      <c r="AC23" s="63">
        <f t="shared" si="8"/>
        <v>70.399999999999991</v>
      </c>
      <c r="AD23" s="63">
        <v>76</v>
      </c>
    </row>
    <row r="24" spans="1:30" x14ac:dyDescent="0.35">
      <c r="A24" s="88" t="s">
        <v>30</v>
      </c>
      <c r="B24" s="169"/>
      <c r="C24" s="88" t="s">
        <v>121</v>
      </c>
      <c r="D24" s="63">
        <v>2180.0835094911145</v>
      </c>
      <c r="E24" s="63">
        <v>2898.8486978724959</v>
      </c>
      <c r="F24" s="63">
        <v>3617.6138862538755</v>
      </c>
      <c r="G24" s="63">
        <v>4336.3790746352552</v>
      </c>
      <c r="H24" s="63">
        <v>5055.1442630166348</v>
      </c>
      <c r="I24" s="63">
        <v>5773.9094513980144</v>
      </c>
      <c r="J24" s="63">
        <v>6492.6746397793941</v>
      </c>
      <c r="K24" s="63">
        <v>7211.4398281607755</v>
      </c>
      <c r="L24" s="63">
        <v>7930.2050165421551</v>
      </c>
      <c r="M24" s="63">
        <v>8648.9702049235348</v>
      </c>
      <c r="N24" s="63">
        <v>9367.7353933049144</v>
      </c>
      <c r="O24" s="63">
        <v>10086.500581686294</v>
      </c>
      <c r="P24" s="63">
        <v>10805.265770067674</v>
      </c>
      <c r="Q24" s="63">
        <v>11524.030958449053</v>
      </c>
      <c r="R24" s="63">
        <v>12242.796146830435</v>
      </c>
      <c r="S24" s="63">
        <v>12961.561335211816</v>
      </c>
      <c r="T24" s="63">
        <v>13680.326523593198</v>
      </c>
      <c r="U24" s="63">
        <v>14399.091711974583</v>
      </c>
      <c r="V24" s="63">
        <v>15117.856900355968</v>
      </c>
      <c r="W24" s="63">
        <v>15836.622088737353</v>
      </c>
      <c r="X24" s="63">
        <v>16555.387277118738</v>
      </c>
      <c r="Y24" s="63">
        <v>17274.152465500123</v>
      </c>
      <c r="Z24" s="63">
        <v>17992.917653881508</v>
      </c>
      <c r="AA24" s="63">
        <v>18711.682842262893</v>
      </c>
      <c r="AB24" s="63">
        <v>19430.448030644278</v>
      </c>
      <c r="AC24" s="63">
        <v>20149.213219025663</v>
      </c>
      <c r="AD24" s="63">
        <v>20867.978407407012</v>
      </c>
    </row>
    <row r="25" spans="1:30" x14ac:dyDescent="0.35">
      <c r="A25" s="88" t="s">
        <v>30</v>
      </c>
      <c r="B25" s="169"/>
      <c r="C25" s="88" t="s">
        <v>122</v>
      </c>
      <c r="D25" s="63">
        <v>139482.77680371277</v>
      </c>
      <c r="E25" s="63">
        <v>141661.07387414237</v>
      </c>
      <c r="F25" s="63">
        <v>142695.39803724739</v>
      </c>
      <c r="G25" s="63">
        <v>143758.23926917702</v>
      </c>
      <c r="H25" s="63">
        <v>144876.06430300316</v>
      </c>
      <c r="I25" s="63">
        <v>146157.60381672592</v>
      </c>
      <c r="J25" s="63">
        <v>147438.92070630915</v>
      </c>
      <c r="K25" s="63">
        <v>149022.84807733318</v>
      </c>
      <c r="L25" s="63">
        <v>150634.15730357741</v>
      </c>
      <c r="M25" s="63">
        <v>152318.80301519096</v>
      </c>
      <c r="N25" s="63">
        <v>154025.56481109976</v>
      </c>
      <c r="O25" s="63">
        <v>155755.05437378879</v>
      </c>
      <c r="P25" s="63">
        <v>157510.13556845629</v>
      </c>
      <c r="Q25" s="63">
        <v>159223.97987594476</v>
      </c>
      <c r="R25" s="63">
        <v>160952.81329554354</v>
      </c>
      <c r="S25" s="63">
        <v>162692.92868944438</v>
      </c>
      <c r="T25" s="63">
        <v>164452.81054665314</v>
      </c>
      <c r="U25" s="63">
        <v>166064.75346248405</v>
      </c>
      <c r="V25" s="63">
        <v>167672.31977376982</v>
      </c>
      <c r="W25" s="63">
        <v>169270.55917001388</v>
      </c>
      <c r="X25" s="63">
        <v>170870.06387020877</v>
      </c>
      <c r="Y25" s="63">
        <v>172235.24672820666</v>
      </c>
      <c r="Z25" s="63">
        <v>173567.29900135833</v>
      </c>
      <c r="AA25" s="63">
        <v>174856.22081746548</v>
      </c>
      <c r="AB25" s="63">
        <v>176110.38930241938</v>
      </c>
      <c r="AC25" s="63">
        <v>177059.66175021513</v>
      </c>
      <c r="AD25" s="63">
        <v>177925.17129618154</v>
      </c>
    </row>
    <row r="26" spans="1:30" s="82" customFormat="1" x14ac:dyDescent="0.35">
      <c r="A26" s="88" t="s">
        <v>30</v>
      </c>
      <c r="B26" s="169"/>
      <c r="C26" s="88" t="s">
        <v>123</v>
      </c>
      <c r="D26" s="63">
        <v>18207.50985422064</v>
      </c>
      <c r="E26" s="63">
        <v>20177.88620599392</v>
      </c>
      <c r="F26" s="63">
        <v>21154.98497198613</v>
      </c>
      <c r="G26" s="63">
        <v>22187.794001180777</v>
      </c>
      <c r="H26" s="63">
        <v>23306.049462374769</v>
      </c>
      <c r="I26" s="63">
        <v>24628.621247964646</v>
      </c>
      <c r="J26" s="63">
        <v>25977.719180346361</v>
      </c>
      <c r="K26" s="63">
        <v>27718.015544212965</v>
      </c>
      <c r="L26" s="63">
        <v>29564.03640350197</v>
      </c>
      <c r="M26" s="63">
        <v>31547.824075071028</v>
      </c>
      <c r="N26" s="63">
        <v>33624.141341979695</v>
      </c>
      <c r="O26" s="63">
        <v>35786.258055167629</v>
      </c>
      <c r="P26" s="63">
        <v>38068.606657417797</v>
      </c>
      <c r="Q26" s="63">
        <v>40360.448325667814</v>
      </c>
      <c r="R26" s="63">
        <v>42747.961751533774</v>
      </c>
      <c r="S26" s="63">
        <v>45229.51040734753</v>
      </c>
      <c r="T26" s="63">
        <v>47823.061687779002</v>
      </c>
      <c r="U26" s="63">
        <v>50258.759528615105</v>
      </c>
      <c r="V26" s="63">
        <v>52732.508131920498</v>
      </c>
      <c r="W26" s="63">
        <v>55279.565981839929</v>
      </c>
      <c r="X26" s="63">
        <v>57905.486763979614</v>
      </c>
      <c r="Y26" s="63">
        <v>60210.070409567197</v>
      </c>
      <c r="Z26" s="63">
        <v>62522.01669415996</v>
      </c>
      <c r="AA26" s="63">
        <v>64828.419720877333</v>
      </c>
      <c r="AB26" s="63">
        <v>67109.559233270789</v>
      </c>
      <c r="AC26" s="63">
        <v>68872.906540075157</v>
      </c>
      <c r="AD26" s="63">
        <v>70500.756853111612</v>
      </c>
    </row>
    <row r="27" spans="1:30" x14ac:dyDescent="0.35">
      <c r="A27" s="88" t="s">
        <v>39</v>
      </c>
      <c r="B27" s="169"/>
      <c r="C27" s="88" t="s">
        <v>31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f>L27+(($N27-$L27)/(COLUMN($N27)-COLUMN($L27)))</f>
        <v>17.899999999999977</v>
      </c>
      <c r="N27" s="63">
        <v>35.799999999999955</v>
      </c>
      <c r="O27" s="63">
        <f>N27+(($T27-$N27)/(COLUMN($T27)-COLUMN($N27)))</f>
        <v>82.166666666666629</v>
      </c>
      <c r="P27" s="63">
        <f t="shared" ref="P27:S27" si="9">O27+(($T27-$N27)/(COLUMN($T27)-COLUMN($N27)))</f>
        <v>128.5333333333333</v>
      </c>
      <c r="Q27" s="63">
        <f t="shared" si="9"/>
        <v>174.89999999999998</v>
      </c>
      <c r="R27" s="63">
        <f t="shared" si="9"/>
        <v>221.26666666666665</v>
      </c>
      <c r="S27" s="63">
        <f t="shared" si="9"/>
        <v>267.63333333333333</v>
      </c>
      <c r="T27" s="63">
        <v>314</v>
      </c>
      <c r="U27" s="63">
        <f>T27+(($Y27-$T27)/(COLUMN($Y27)-COLUMN($T27)))</f>
        <v>412.52000000000004</v>
      </c>
      <c r="V27" s="63">
        <f t="shared" ref="V27:X27" si="10">U27+(($Y27-$T27)/(COLUMN($Y27)-COLUMN($T27)))</f>
        <v>511.04000000000008</v>
      </c>
      <c r="W27" s="63">
        <f t="shared" si="10"/>
        <v>609.56000000000006</v>
      </c>
      <c r="X27" s="63">
        <f t="shared" si="10"/>
        <v>708.08</v>
      </c>
      <c r="Y27" s="63">
        <v>806.60000000000014</v>
      </c>
      <c r="Z27" s="63">
        <f>Y27+(($AD27-$Y27)/(COLUMN($AD27)-COLUMN($Y27)))</f>
        <v>1026.2400000000002</v>
      </c>
      <c r="AA27" s="63">
        <f t="shared" ref="AA27:AC27" si="11">Z27+(($AD27-$Y27)/(COLUMN($AD27)-COLUMN($Y27)))</f>
        <v>1245.8800000000003</v>
      </c>
      <c r="AB27" s="63">
        <f t="shared" si="11"/>
        <v>1465.5200000000004</v>
      </c>
      <c r="AC27" s="63">
        <f t="shared" si="11"/>
        <v>1685.1600000000005</v>
      </c>
      <c r="AD27" s="63">
        <v>1904.8000000000002</v>
      </c>
    </row>
    <row r="28" spans="1:30" x14ac:dyDescent="0.35">
      <c r="A28" s="88" t="s">
        <v>39</v>
      </c>
      <c r="B28" s="169"/>
      <c r="C28" s="88" t="s">
        <v>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f t="shared" ref="M28:M31" si="12">L28+(($N28-$L28)/(COLUMN($N28)-COLUMN($L28)))</f>
        <v>10</v>
      </c>
      <c r="N28" s="63">
        <v>20</v>
      </c>
      <c r="O28" s="63">
        <f t="shared" ref="O28:S31" si="13">N28+(($T28-$N28)/(COLUMN($T28)-COLUMN($N28)))</f>
        <v>30.70000000000001</v>
      </c>
      <c r="P28" s="63">
        <f t="shared" si="13"/>
        <v>41.40000000000002</v>
      </c>
      <c r="Q28" s="63">
        <f t="shared" si="13"/>
        <v>52.10000000000003</v>
      </c>
      <c r="R28" s="63">
        <f t="shared" si="13"/>
        <v>62.80000000000004</v>
      </c>
      <c r="S28" s="63">
        <f t="shared" si="13"/>
        <v>73.500000000000043</v>
      </c>
      <c r="T28" s="63">
        <v>84.200000000000045</v>
      </c>
      <c r="U28" s="63">
        <f t="shared" ref="U28:X31" si="14">T28+(($Y28-$T28)/(COLUMN($Y28)-COLUMN($T28)))</f>
        <v>95.000000000000043</v>
      </c>
      <c r="V28" s="63">
        <f t="shared" si="14"/>
        <v>105.80000000000004</v>
      </c>
      <c r="W28" s="63">
        <f t="shared" si="14"/>
        <v>116.60000000000004</v>
      </c>
      <c r="X28" s="63">
        <f t="shared" si="14"/>
        <v>127.40000000000003</v>
      </c>
      <c r="Y28" s="63">
        <v>138.20000000000005</v>
      </c>
      <c r="Z28" s="63">
        <f t="shared" ref="Z28:AC31" si="15">Y28+(($AD28-$Y28)/(COLUMN($AD28)-COLUMN($Y28)))</f>
        <v>147.40000000000003</v>
      </c>
      <c r="AA28" s="63">
        <f t="shared" si="15"/>
        <v>156.60000000000002</v>
      </c>
      <c r="AB28" s="63">
        <f t="shared" si="15"/>
        <v>165.8</v>
      </c>
      <c r="AC28" s="63">
        <f t="shared" si="15"/>
        <v>175</v>
      </c>
      <c r="AD28" s="63">
        <v>184.20000000000005</v>
      </c>
    </row>
    <row r="29" spans="1:30" x14ac:dyDescent="0.35">
      <c r="A29" s="88" t="s">
        <v>39</v>
      </c>
      <c r="B29" s="169"/>
      <c r="C29" s="88" t="s">
        <v>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f t="shared" si="12"/>
        <v>5.3351851483433306E-2</v>
      </c>
      <c r="N29" s="63">
        <v>0.10670370296686661</v>
      </c>
      <c r="O29" s="63">
        <f t="shared" si="13"/>
        <v>0.55686615933825701</v>
      </c>
      <c r="P29" s="63">
        <f t="shared" si="13"/>
        <v>1.0070286157096473</v>
      </c>
      <c r="Q29" s="63">
        <f t="shared" si="13"/>
        <v>1.4571910720810377</v>
      </c>
      <c r="R29" s="63">
        <f t="shared" si="13"/>
        <v>1.9073535284524281</v>
      </c>
      <c r="S29" s="63">
        <f t="shared" si="13"/>
        <v>2.3575159848238183</v>
      </c>
      <c r="T29" s="63">
        <v>2.8076784411952089</v>
      </c>
      <c r="U29" s="63">
        <f t="shared" si="14"/>
        <v>5.7721735721137915</v>
      </c>
      <c r="V29" s="63">
        <f t="shared" si="14"/>
        <v>8.7366687030323735</v>
      </c>
      <c r="W29" s="63">
        <f t="shared" si="14"/>
        <v>11.701163833950956</v>
      </c>
      <c r="X29" s="63">
        <f t="shared" si="14"/>
        <v>14.665658964869538</v>
      </c>
      <c r="Y29" s="63">
        <v>17.630154095788122</v>
      </c>
      <c r="Z29" s="63">
        <f t="shared" si="15"/>
        <v>25.458827936478979</v>
      </c>
      <c r="AA29" s="63">
        <f t="shared" si="15"/>
        <v>33.287501777169837</v>
      </c>
      <c r="AB29" s="63">
        <f t="shared" si="15"/>
        <v>41.116175617860691</v>
      </c>
      <c r="AC29" s="63">
        <f t="shared" si="15"/>
        <v>48.944849458551545</v>
      </c>
      <c r="AD29" s="63">
        <v>56.773523299242406</v>
      </c>
    </row>
    <row r="30" spans="1:30" x14ac:dyDescent="0.35">
      <c r="A30" s="88" t="s">
        <v>39</v>
      </c>
      <c r="B30" s="169"/>
      <c r="C30" s="88" t="s">
        <v>34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f t="shared" si="12"/>
        <v>1.7783950494477771E-2</v>
      </c>
      <c r="N30" s="63">
        <v>3.5567900988955542E-2</v>
      </c>
      <c r="O30" s="63">
        <f t="shared" si="13"/>
        <v>8.1633962698114959E-2</v>
      </c>
      <c r="P30" s="63">
        <f t="shared" si="13"/>
        <v>0.12770002440727438</v>
      </c>
      <c r="Q30" s="63">
        <f t="shared" si="13"/>
        <v>0.17376608611643379</v>
      </c>
      <c r="R30" s="63">
        <f t="shared" si="13"/>
        <v>0.21983214782559321</v>
      </c>
      <c r="S30" s="63">
        <f t="shared" si="13"/>
        <v>0.26589820953475263</v>
      </c>
      <c r="T30" s="63">
        <v>0.31196427124391213</v>
      </c>
      <c r="U30" s="63">
        <f t="shared" si="14"/>
        <v>0.40984554513865812</v>
      </c>
      <c r="V30" s="63">
        <f t="shared" si="14"/>
        <v>0.50772681903340411</v>
      </c>
      <c r="W30" s="63">
        <f t="shared" si="14"/>
        <v>0.6056080929281501</v>
      </c>
      <c r="X30" s="63">
        <f t="shared" si="14"/>
        <v>0.70348936682289609</v>
      </c>
      <c r="Y30" s="63">
        <v>0.80137064071764197</v>
      </c>
      <c r="Z30" s="63">
        <f t="shared" si="15"/>
        <v>1.0195866679023964</v>
      </c>
      <c r="AA30" s="63">
        <f t="shared" si="15"/>
        <v>1.2378026950871508</v>
      </c>
      <c r="AB30" s="63">
        <f t="shared" si="15"/>
        <v>1.4560187222719052</v>
      </c>
      <c r="AC30" s="63">
        <f t="shared" si="15"/>
        <v>1.6742347494566596</v>
      </c>
      <c r="AD30" s="63">
        <v>1.8924507766414136</v>
      </c>
    </row>
    <row r="31" spans="1:30" x14ac:dyDescent="0.35">
      <c r="A31" s="88" t="s">
        <v>39</v>
      </c>
      <c r="B31" s="169"/>
      <c r="C31" s="88" t="s">
        <v>35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f t="shared" si="12"/>
        <v>1.5</v>
      </c>
      <c r="N31" s="63">
        <v>3</v>
      </c>
      <c r="O31" s="63">
        <f t="shared" si="13"/>
        <v>4</v>
      </c>
      <c r="P31" s="63">
        <f t="shared" si="13"/>
        <v>5</v>
      </c>
      <c r="Q31" s="63">
        <f t="shared" si="13"/>
        <v>6</v>
      </c>
      <c r="R31" s="63">
        <f t="shared" si="13"/>
        <v>7</v>
      </c>
      <c r="S31" s="63">
        <f t="shared" si="13"/>
        <v>8</v>
      </c>
      <c r="T31" s="63">
        <v>9</v>
      </c>
      <c r="U31" s="63">
        <f t="shared" si="14"/>
        <v>11.6</v>
      </c>
      <c r="V31" s="63">
        <f t="shared" si="14"/>
        <v>14.2</v>
      </c>
      <c r="W31" s="63">
        <f t="shared" si="14"/>
        <v>16.8</v>
      </c>
      <c r="X31" s="63">
        <f t="shared" si="14"/>
        <v>19.400000000000002</v>
      </c>
      <c r="Y31" s="63">
        <v>22</v>
      </c>
      <c r="Z31" s="63">
        <f t="shared" si="15"/>
        <v>23.6</v>
      </c>
      <c r="AA31" s="63">
        <f t="shared" si="15"/>
        <v>25.200000000000003</v>
      </c>
      <c r="AB31" s="63">
        <f t="shared" si="15"/>
        <v>26.800000000000004</v>
      </c>
      <c r="AC31" s="63">
        <f t="shared" si="15"/>
        <v>28.400000000000006</v>
      </c>
      <c r="AD31" s="63">
        <v>30</v>
      </c>
    </row>
    <row r="32" spans="1:30" x14ac:dyDescent="0.35">
      <c r="A32" s="88" t="s">
        <v>143</v>
      </c>
      <c r="B32" s="88" t="s">
        <v>124</v>
      </c>
      <c r="C32" s="88" t="s">
        <v>144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123942.35639140721</v>
      </c>
      <c r="N32" s="63">
        <v>353672.51898111869</v>
      </c>
      <c r="O32" s="63">
        <v>661884.96211294772</v>
      </c>
      <c r="P32" s="63">
        <v>1081269.127600258</v>
      </c>
      <c r="Q32" s="63">
        <v>1527580.7028400677</v>
      </c>
      <c r="R32" s="63">
        <v>1803526.5303528984</v>
      </c>
      <c r="S32" s="63">
        <v>2444502.6326350076</v>
      </c>
      <c r="T32" s="63">
        <v>2986664.4742291202</v>
      </c>
      <c r="U32" s="63">
        <v>3432299.5367491455</v>
      </c>
      <c r="V32" s="63">
        <v>4274751.1589235002</v>
      </c>
      <c r="W32" s="63">
        <v>5291950.833239506</v>
      </c>
      <c r="X32" s="63">
        <v>6292093.8678673739</v>
      </c>
      <c r="Y32" s="63">
        <v>7566867.9834460746</v>
      </c>
      <c r="Z32" s="63">
        <v>8654263.3391501885</v>
      </c>
      <c r="AA32" s="63">
        <v>10517607.088711768</v>
      </c>
      <c r="AB32" s="63">
        <v>12420355.28313471</v>
      </c>
      <c r="AC32" s="63">
        <v>14136191.969499545</v>
      </c>
      <c r="AD32" s="63">
        <v>15864656.354002917</v>
      </c>
    </row>
    <row r="33" spans="1:30" x14ac:dyDescent="0.35">
      <c r="A33" s="88" t="s">
        <v>143</v>
      </c>
      <c r="B33" s="88" t="s">
        <v>145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698409.55068271665</v>
      </c>
      <c r="N33" s="63">
        <v>1998484.8521155887</v>
      </c>
      <c r="O33" s="63">
        <v>3504044.2522826702</v>
      </c>
      <c r="P33" s="63">
        <v>5765614.7285208888</v>
      </c>
      <c r="Q33" s="63">
        <v>8026321.7670528991</v>
      </c>
      <c r="R33" s="63">
        <v>8607090.5854249243</v>
      </c>
      <c r="S33" s="63">
        <v>11866933.827824075</v>
      </c>
      <c r="T33" s="63">
        <v>13901770.2048021</v>
      </c>
      <c r="U33" s="63">
        <v>15087279.244299987</v>
      </c>
      <c r="V33" s="63">
        <v>18967114.834798284</v>
      </c>
      <c r="W33" s="63">
        <v>23447026.325526759</v>
      </c>
      <c r="X33" s="63">
        <v>27149069.366310459</v>
      </c>
      <c r="Y33" s="63">
        <v>32500146.786915258</v>
      </c>
      <c r="Z33" s="63">
        <v>37406645.672105365</v>
      </c>
      <c r="AA33" s="63">
        <v>45805521.873432897</v>
      </c>
      <c r="AB33" s="63">
        <v>54051793.96006389</v>
      </c>
      <c r="AC33" s="63">
        <v>61874619.096680403</v>
      </c>
      <c r="AD33" s="63">
        <v>69838620.427453071</v>
      </c>
    </row>
    <row r="34" spans="1:30" x14ac:dyDescent="0.35">
      <c r="A34" s="88" t="s">
        <v>146</v>
      </c>
      <c r="B34" s="88" t="s">
        <v>124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7462.6780833675439</v>
      </c>
      <c r="K34" s="63">
        <f>J34+($O34-$J34)/(COLUMN($O34)-COLUMN($J34))</f>
        <v>11824.380382399871</v>
      </c>
      <c r="L34" s="63">
        <f t="shared" ref="L34:N35" si="16">K34+($O34-$J34)/(COLUMN($O34)-COLUMN($J34))</f>
        <v>16186.082681432199</v>
      </c>
      <c r="M34" s="63">
        <f t="shared" si="16"/>
        <v>20547.784980464527</v>
      </c>
      <c r="N34" s="63">
        <f t="shared" si="16"/>
        <v>24909.487279496854</v>
      </c>
      <c r="O34" s="63">
        <v>29271.189578529185</v>
      </c>
      <c r="P34" s="63">
        <f>O34+($T34-$O34)/(COLUMN($T34)-COLUMN($O34))</f>
        <v>61284.216920692932</v>
      </c>
      <c r="Q34" s="63">
        <f t="shared" ref="Q34:S35" si="17">P34+($T34-$O34)/(COLUMN($T34)-COLUMN($O34))</f>
        <v>93297.244262856679</v>
      </c>
      <c r="R34" s="63">
        <f t="shared" si="17"/>
        <v>125310.27160502042</v>
      </c>
      <c r="S34" s="63">
        <f t="shared" si="17"/>
        <v>157323.29894718417</v>
      </c>
      <c r="T34" s="63">
        <v>189336.32628934793</v>
      </c>
      <c r="U34" s="63">
        <f>T34+($Y34-$T34)/(COLUMN($Y34)-COLUMN($T34))</f>
        <v>280989.84934313578</v>
      </c>
      <c r="V34" s="63">
        <f t="shared" ref="V34:X35" si="18">U34+($Y34-$T34)/(COLUMN($Y34)-COLUMN($T34))</f>
        <v>372643.3723969236</v>
      </c>
      <c r="W34" s="63">
        <f t="shared" si="18"/>
        <v>464296.89545071148</v>
      </c>
      <c r="X34" s="63">
        <f t="shared" si="18"/>
        <v>555950.41850449936</v>
      </c>
      <c r="Y34" s="63">
        <v>647603.94155828725</v>
      </c>
      <c r="Z34" s="63">
        <f>Y34+($AD34-$Y34)/(COLUMN($AD34)-COLUMN($Y34))</f>
        <v>807955.18019575661</v>
      </c>
      <c r="AA34" s="63">
        <f t="shared" ref="AA34:AC35" si="19">Z34+($AD34-$Y34)/(COLUMN($AD34)-COLUMN($Y34))</f>
        <v>968306.41883322597</v>
      </c>
      <c r="AB34" s="63">
        <f t="shared" si="19"/>
        <v>1128657.6574706952</v>
      </c>
      <c r="AC34" s="63">
        <f t="shared" si="19"/>
        <v>1289008.8961081645</v>
      </c>
      <c r="AD34" s="63">
        <v>1449360.1347456339</v>
      </c>
    </row>
    <row r="35" spans="1:30" x14ac:dyDescent="0.35">
      <c r="A35" s="88" t="s">
        <v>146</v>
      </c>
      <c r="B35" s="88" t="s">
        <v>145</v>
      </c>
      <c r="C35" s="88" t="s">
        <v>144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30966.276952905089</v>
      </c>
      <c r="K35" s="63">
        <f>J35+($O35-$J35)/(COLUMN($O35)-COLUMN($J35))</f>
        <v>49065.098832812495</v>
      </c>
      <c r="L35" s="63">
        <f t="shared" si="16"/>
        <v>67163.920712719904</v>
      </c>
      <c r="M35" s="63">
        <f t="shared" si="16"/>
        <v>85262.742592627314</v>
      </c>
      <c r="N35" s="63">
        <f t="shared" si="16"/>
        <v>103361.56447253472</v>
      </c>
      <c r="O35" s="63">
        <v>121460.38635244212</v>
      </c>
      <c r="P35" s="63">
        <f>O35+($T35-$O35)/(COLUMN($T35)-COLUMN($O35))</f>
        <v>254297.98965034954</v>
      </c>
      <c r="Q35" s="63">
        <f t="shared" si="17"/>
        <v>387135.59294825699</v>
      </c>
      <c r="R35" s="63">
        <f t="shared" si="17"/>
        <v>519973.19624616439</v>
      </c>
      <c r="S35" s="63">
        <f t="shared" si="17"/>
        <v>652810.79954407178</v>
      </c>
      <c r="T35" s="63">
        <v>785648.40284197917</v>
      </c>
      <c r="U35" s="63">
        <f>T35+($Y35-$T35)/(COLUMN($Y35)-COLUMN($T35))</f>
        <v>1165963.3979264703</v>
      </c>
      <c r="V35" s="63">
        <f t="shared" si="18"/>
        <v>1546278.3930109614</v>
      </c>
      <c r="W35" s="63">
        <f t="shared" si="18"/>
        <v>1926593.3880954525</v>
      </c>
      <c r="X35" s="63">
        <f t="shared" si="18"/>
        <v>2306908.3831799435</v>
      </c>
      <c r="Y35" s="63">
        <v>2687223.3782644346</v>
      </c>
      <c r="Z35" s="63">
        <f>Y35+($AD35-$Y35)/(COLUMN($AD35)-COLUMN($Y35))</f>
        <v>3352598.5706442418</v>
      </c>
      <c r="AA35" s="63">
        <f t="shared" si="19"/>
        <v>4017973.7630240489</v>
      </c>
      <c r="AB35" s="63">
        <f t="shared" si="19"/>
        <v>4683348.955403856</v>
      </c>
      <c r="AC35" s="63">
        <f t="shared" si="19"/>
        <v>5348724.1477836631</v>
      </c>
      <c r="AD35" s="63">
        <v>6014099.3401634712</v>
      </c>
    </row>
    <row r="36" spans="1:30" ht="29" x14ac:dyDescent="0.35">
      <c r="A36" s="3" t="s">
        <v>147</v>
      </c>
      <c r="B36" s="3" t="s">
        <v>148</v>
      </c>
      <c r="C36" s="88" t="s">
        <v>144</v>
      </c>
      <c r="D36" s="63">
        <v>5590054.3418959305</v>
      </c>
      <c r="E36" s="63">
        <v>6282456.9923428306</v>
      </c>
      <c r="F36" s="63">
        <v>6730597.3402729668</v>
      </c>
      <c r="G36" s="63">
        <v>7226569.5109210191</v>
      </c>
      <c r="H36" s="63">
        <v>7694684.7641902706</v>
      </c>
      <c r="I36" s="63">
        <v>8351451.0883265948</v>
      </c>
      <c r="J36" s="63">
        <v>9003257.1196458619</v>
      </c>
      <c r="K36" s="63">
        <v>9704412.1476969309</v>
      </c>
      <c r="L36" s="63">
        <v>10564905.990847401</v>
      </c>
      <c r="M36" s="63">
        <v>11512383.673333859</v>
      </c>
      <c r="N36" s="63">
        <v>12536728.505879074</v>
      </c>
      <c r="O36" s="63">
        <v>13628830.881289395</v>
      </c>
      <c r="P36" s="63">
        <v>14710784.181667754</v>
      </c>
      <c r="Q36" s="63">
        <v>15982540.224545714</v>
      </c>
      <c r="R36" s="63">
        <v>17272297.524117678</v>
      </c>
      <c r="S36" s="63">
        <v>18697647.969629459</v>
      </c>
      <c r="T36" s="63">
        <v>20070638.430694714</v>
      </c>
      <c r="U36" s="63">
        <v>21650413.288073339</v>
      </c>
      <c r="V36" s="63">
        <v>23038108.34514913</v>
      </c>
      <c r="W36" s="63">
        <v>24646980.784322359</v>
      </c>
      <c r="X36" s="63">
        <v>26383048.19950714</v>
      </c>
      <c r="Y36" s="63">
        <v>28159044.752361141</v>
      </c>
      <c r="Z36" s="63">
        <v>29872854.257755846</v>
      </c>
      <c r="AA36" s="63">
        <v>31739822.296076611</v>
      </c>
      <c r="AB36" s="63">
        <v>33621244.277580932</v>
      </c>
      <c r="AC36" s="63">
        <v>35261048.821600638</v>
      </c>
      <c r="AD36" s="63">
        <v>36988080.787986659</v>
      </c>
    </row>
    <row r="38" spans="1:30" x14ac:dyDescent="0.35">
      <c r="A38" s="88"/>
      <c r="B38" s="88"/>
      <c r="C38" s="88" t="s">
        <v>149</v>
      </c>
      <c r="D38" s="63">
        <v>40</v>
      </c>
      <c r="E38" s="63">
        <v>41</v>
      </c>
      <c r="F38" s="63">
        <v>42.024999999999999</v>
      </c>
      <c r="G38" s="63">
        <v>43.075624999999995</v>
      </c>
      <c r="H38" s="63">
        <v>44.152515624999992</v>
      </c>
      <c r="I38" s="63">
        <v>45.256328515624986</v>
      </c>
      <c r="J38" s="63">
        <v>46.387736728515605</v>
      </c>
      <c r="K38" s="63">
        <v>47.547430146728495</v>
      </c>
      <c r="L38" s="63">
        <v>48.736115900396705</v>
      </c>
      <c r="M38" s="63">
        <v>49.954518797906616</v>
      </c>
      <c r="N38" s="63">
        <v>51.203381767854275</v>
      </c>
      <c r="O38" s="63">
        <v>52.483466312050624</v>
      </c>
      <c r="P38" s="63">
        <v>53.795552969851883</v>
      </c>
      <c r="Q38" s="63">
        <v>55.140441794098173</v>
      </c>
      <c r="R38" s="63">
        <v>56.518952838950625</v>
      </c>
      <c r="S38" s="63">
        <v>57.931926659924386</v>
      </c>
      <c r="T38" s="63">
        <v>59.380224826422491</v>
      </c>
      <c r="U38" s="63">
        <v>60.864730447083048</v>
      </c>
      <c r="V38" s="63">
        <v>62.386348708260115</v>
      </c>
      <c r="W38" s="63">
        <v>63.946007425966613</v>
      </c>
      <c r="X38" s="63">
        <v>65.544657611615776</v>
      </c>
      <c r="Y38" s="63">
        <v>67.183274051906167</v>
      </c>
      <c r="Z38" s="63">
        <v>68.862855903203823</v>
      </c>
      <c r="AA38" s="63">
        <v>70.584427300783915</v>
      </c>
      <c r="AB38" s="63">
        <v>72.349037983303504</v>
      </c>
      <c r="AC38" s="63">
        <v>74.157763932886084</v>
      </c>
      <c r="AD38" s="63">
        <v>76.011708031208229</v>
      </c>
    </row>
    <row r="39" spans="1:30" x14ac:dyDescent="0.35">
      <c r="A39" s="88"/>
      <c r="B39" s="88"/>
      <c r="C39" s="2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3.5" x14ac:dyDescent="0.55000000000000004">
      <c r="A40" s="88"/>
      <c r="B40" s="167" t="s">
        <v>150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</row>
    <row r="41" spans="1:30" ht="20" thickBot="1" x14ac:dyDescent="0.5">
      <c r="A41" s="117"/>
      <c r="B41" s="128" t="s">
        <v>151</v>
      </c>
      <c r="C41" s="117" t="s">
        <v>118</v>
      </c>
      <c r="D41" s="117">
        <v>2022</v>
      </c>
      <c r="E41" s="117">
        <v>2023</v>
      </c>
      <c r="F41" s="117">
        <v>2024</v>
      </c>
      <c r="G41" s="117">
        <v>2025</v>
      </c>
      <c r="H41" s="117">
        <v>2026</v>
      </c>
      <c r="I41" s="117">
        <v>2027</v>
      </c>
      <c r="J41" s="117">
        <v>2028</v>
      </c>
      <c r="K41" s="117">
        <v>2029</v>
      </c>
      <c r="L41" s="117">
        <v>2030</v>
      </c>
      <c r="M41" s="117">
        <v>2031</v>
      </c>
      <c r="N41" s="117">
        <v>2032</v>
      </c>
      <c r="O41" s="117">
        <v>2033</v>
      </c>
      <c r="P41" s="117">
        <v>2034</v>
      </c>
      <c r="Q41" s="117">
        <v>2035</v>
      </c>
      <c r="R41" s="117">
        <v>2036</v>
      </c>
      <c r="S41" s="117">
        <v>2037</v>
      </c>
      <c r="T41" s="117">
        <v>2038</v>
      </c>
      <c r="U41" s="117">
        <v>2039</v>
      </c>
      <c r="V41" s="117">
        <v>2040</v>
      </c>
      <c r="W41" s="117">
        <v>2041</v>
      </c>
      <c r="X41" s="117">
        <v>2042</v>
      </c>
      <c r="Y41" s="117">
        <v>2043</v>
      </c>
      <c r="Z41" s="117">
        <v>2044</v>
      </c>
      <c r="AA41" s="117">
        <v>2045</v>
      </c>
      <c r="AB41" s="117">
        <v>2046</v>
      </c>
      <c r="AC41" s="117">
        <v>2047</v>
      </c>
      <c r="AD41" s="117">
        <v>2048</v>
      </c>
    </row>
    <row r="42" spans="1:30" ht="15" thickTop="1" x14ac:dyDescent="0.35">
      <c r="A42" s="5">
        <f t="shared" ref="A42:A56" si="20">SUM(D42:AD42)/1000</f>
        <v>40.333274999993584</v>
      </c>
      <c r="B42" s="11">
        <f>NPV('Cost Assumptions'!$B$3,'Mira Loma'!D42:'Mira Loma'!AD42)</f>
        <v>12757.879593803844</v>
      </c>
      <c r="C42" s="88" t="s">
        <v>120</v>
      </c>
      <c r="D42" s="63">
        <f t="shared" ref="D42:AD42" si="21">D2-D18</f>
        <v>1213.699999999837</v>
      </c>
      <c r="E42" s="63">
        <f t="shared" si="21"/>
        <v>1235.2480769229078</v>
      </c>
      <c r="F42" s="63">
        <f t="shared" si="21"/>
        <v>1256.7961538459786</v>
      </c>
      <c r="G42" s="63">
        <f t="shared" si="21"/>
        <v>1278.3442307690493</v>
      </c>
      <c r="H42" s="63">
        <f t="shared" si="21"/>
        <v>1299.8923076921201</v>
      </c>
      <c r="I42" s="63">
        <f t="shared" si="21"/>
        <v>1321.4403846151909</v>
      </c>
      <c r="J42" s="63">
        <f t="shared" si="21"/>
        <v>1342.9884615382616</v>
      </c>
      <c r="K42" s="63">
        <f t="shared" si="21"/>
        <v>1364.5365384613324</v>
      </c>
      <c r="L42" s="63">
        <f t="shared" si="21"/>
        <v>1386.0846153844032</v>
      </c>
      <c r="M42" s="63">
        <f t="shared" si="21"/>
        <v>1407.6326923074739</v>
      </c>
      <c r="N42" s="63">
        <f t="shared" si="21"/>
        <v>1429.1807692305447</v>
      </c>
      <c r="O42" s="63">
        <f t="shared" si="21"/>
        <v>1450.7288461536155</v>
      </c>
      <c r="P42" s="63">
        <f t="shared" si="21"/>
        <v>1472.2769230766862</v>
      </c>
      <c r="Q42" s="63">
        <f t="shared" si="21"/>
        <v>1493.824999999757</v>
      </c>
      <c r="R42" s="63">
        <f t="shared" si="21"/>
        <v>1515.3730769228277</v>
      </c>
      <c r="S42" s="63">
        <f t="shared" si="21"/>
        <v>1536.9211538458985</v>
      </c>
      <c r="T42" s="63">
        <f t="shared" si="21"/>
        <v>1558.4692307689693</v>
      </c>
      <c r="U42" s="63">
        <f t="shared" si="21"/>
        <v>1580.01730769204</v>
      </c>
      <c r="V42" s="63">
        <f t="shared" si="21"/>
        <v>1601.5653846151108</v>
      </c>
      <c r="W42" s="63">
        <f t="shared" si="21"/>
        <v>1623.1134615381816</v>
      </c>
      <c r="X42" s="63">
        <f t="shared" si="21"/>
        <v>1644.6615384612523</v>
      </c>
      <c r="Y42" s="63">
        <f t="shared" si="21"/>
        <v>1666.2096153843231</v>
      </c>
      <c r="Z42" s="63">
        <f t="shared" si="21"/>
        <v>1687.7576923073939</v>
      </c>
      <c r="AA42" s="63">
        <f t="shared" si="21"/>
        <v>1709.3057692304646</v>
      </c>
      <c r="AB42" s="63">
        <f t="shared" si="21"/>
        <v>1730.8538461535354</v>
      </c>
      <c r="AC42" s="63">
        <f t="shared" si="21"/>
        <v>1752.4019230766062</v>
      </c>
      <c r="AD42" s="63">
        <f t="shared" si="21"/>
        <v>1773.9499999998225</v>
      </c>
    </row>
    <row r="43" spans="1:30" x14ac:dyDescent="0.35">
      <c r="A43" s="5">
        <f t="shared" si="20"/>
        <v>2313.9475380879735</v>
      </c>
      <c r="B43" s="11">
        <f>NPV('Cost Assumptions'!$B$3,'Mira Loma'!D43:'Mira Loma'!AD43)</f>
        <v>638758.99618753651</v>
      </c>
      <c r="C43" s="88" t="s">
        <v>152</v>
      </c>
      <c r="D43" s="63">
        <f>D42*D38</f>
        <v>48547.999999993481</v>
      </c>
      <c r="E43" s="63">
        <f>E42*E38</f>
        <v>50645.171153839219</v>
      </c>
      <c r="F43" s="63">
        <f>F42*F38</f>
        <v>52816.858365377244</v>
      </c>
      <c r="G43" s="63">
        <f>G42*G38</f>
        <v>55065.476705521025</v>
      </c>
      <c r="H43" s="63">
        <f t="shared" ref="H43:AD43" si="22">H42*H38</f>
        <v>57393.515426193633</v>
      </c>
      <c r="I43" s="63">
        <f t="shared" si="22"/>
        <v>59803.540159958909</v>
      </c>
      <c r="J43" s="63">
        <f t="shared" si="22"/>
        <v>62298.195183271084</v>
      </c>
      <c r="K43" s="63">
        <f t="shared" si="22"/>
        <v>64880.205745148902</v>
      </c>
      <c r="L43" s="63">
        <f t="shared" si="22"/>
        <v>67552.380463131063</v>
      </c>
      <c r="M43" s="63">
        <f t="shared" si="22"/>
        <v>70317.6137884216</v>
      </c>
      <c r="N43" s="63">
        <f t="shared" si="22"/>
        <v>73178.888542187226</v>
      </c>
      <c r="O43" s="63">
        <f t="shared" si="22"/>
        <v>76139.278525023343</v>
      </c>
      <c r="P43" s="63">
        <f t="shared" si="22"/>
        <v>79201.951201662421</v>
      </c>
      <c r="Q43" s="63">
        <f t="shared" si="22"/>
        <v>82370.170463055299</v>
      </c>
      <c r="R43" s="63">
        <f t="shared" si="22"/>
        <v>85647.299468016805</v>
      </c>
      <c r="S43" s="63">
        <f t="shared" si="22"/>
        <v>89036.803566686955</v>
      </c>
      <c r="T43" s="63">
        <f t="shared" si="22"/>
        <v>92542.253308123109</v>
      </c>
      <c r="U43" s="63">
        <f t="shared" si="22"/>
        <v>96167.327534401891</v>
      </c>
      <c r="V43" s="63">
        <f t="shared" si="22"/>
        <v>99915.816563677028</v>
      </c>
      <c r="W43" s="63">
        <f t="shared" si="22"/>
        <v>103791.62546470693</v>
      </c>
      <c r="X43" s="63">
        <f t="shared" si="22"/>
        <v>107798.77742543604</v>
      </c>
      <c r="Y43" s="63">
        <f t="shared" si="22"/>
        <v>111941.41721828615</v>
      </c>
      <c r="Z43" s="63">
        <f t="shared" si="22"/>
        <v>116223.81476488788</v>
      </c>
      <c r="AA43" s="63">
        <f t="shared" si="22"/>
        <v>120650.36880305826</v>
      </c>
      <c r="AB43" s="63">
        <f t="shared" si="22"/>
        <v>125225.61065890909</v>
      </c>
      <c r="AC43" s="63">
        <f t="shared" si="22"/>
        <v>129954.20812705056</v>
      </c>
      <c r="AD43" s="63">
        <f t="shared" si="22"/>
        <v>134840.96946194835</v>
      </c>
    </row>
    <row r="44" spans="1:30" x14ac:dyDescent="0.35">
      <c r="A44" s="5">
        <f t="shared" si="20"/>
        <v>7.1952500000000015</v>
      </c>
      <c r="B44" s="11">
        <f>NPV('Cost Assumptions'!$B$3,'Mira Loma'!D44:'Mira Loma'!AD44)</f>
        <v>1152.6507811310296</v>
      </c>
      <c r="C44" s="88" t="s">
        <v>31</v>
      </c>
      <c r="D44" s="63">
        <f t="shared" ref="D44:AD44" si="23">D3-D19</f>
        <v>10</v>
      </c>
      <c r="E44" s="63">
        <f t="shared" si="23"/>
        <v>20.5</v>
      </c>
      <c r="F44" s="63">
        <f t="shared" si="23"/>
        <v>29.879999999999995</v>
      </c>
      <c r="G44" s="63">
        <f t="shared" si="23"/>
        <v>39.259999999999991</v>
      </c>
      <c r="H44" s="63">
        <f t="shared" si="23"/>
        <v>48.639999999999986</v>
      </c>
      <c r="I44" s="63">
        <f t="shared" si="23"/>
        <v>58.019999999999982</v>
      </c>
      <c r="J44" s="63">
        <f t="shared" si="23"/>
        <v>37.999999999999972</v>
      </c>
      <c r="K44" s="63">
        <f t="shared" si="23"/>
        <v>45.499999999999993</v>
      </c>
      <c r="L44" s="63">
        <f t="shared" si="23"/>
        <v>53.000000000000014</v>
      </c>
      <c r="M44" s="63">
        <f t="shared" si="23"/>
        <v>60.500000000000028</v>
      </c>
      <c r="N44" s="63">
        <f t="shared" si="23"/>
        <v>68.000000000000028</v>
      </c>
      <c r="O44" s="63">
        <f t="shared" si="23"/>
        <v>100.48333333333341</v>
      </c>
      <c r="P44" s="63">
        <f t="shared" si="23"/>
        <v>132.96666666666675</v>
      </c>
      <c r="Q44" s="63">
        <f t="shared" si="23"/>
        <v>165.4500000000001</v>
      </c>
      <c r="R44" s="63">
        <f t="shared" si="23"/>
        <v>197.93333333333345</v>
      </c>
      <c r="S44" s="63">
        <f t="shared" si="23"/>
        <v>230.4166666666668</v>
      </c>
      <c r="T44" s="63">
        <f t="shared" si="23"/>
        <v>262.9000000000002</v>
      </c>
      <c r="U44" s="63">
        <f t="shared" si="23"/>
        <v>335.56000000000017</v>
      </c>
      <c r="V44" s="63">
        <f t="shared" si="23"/>
        <v>408.22000000000014</v>
      </c>
      <c r="W44" s="63">
        <f t="shared" si="23"/>
        <v>480.88000000000022</v>
      </c>
      <c r="X44" s="63">
        <f t="shared" si="23"/>
        <v>553.5400000000003</v>
      </c>
      <c r="Y44" s="63">
        <f t="shared" si="23"/>
        <v>470.89999999999986</v>
      </c>
      <c r="Z44" s="63">
        <f t="shared" si="23"/>
        <v>539.57999999999993</v>
      </c>
      <c r="AA44" s="63">
        <f t="shared" si="23"/>
        <v>608.26</v>
      </c>
      <c r="AB44" s="63">
        <f t="shared" si="23"/>
        <v>676.94</v>
      </c>
      <c r="AC44" s="63">
        <f t="shared" si="23"/>
        <v>745.62000000000012</v>
      </c>
      <c r="AD44" s="63">
        <f t="shared" si="23"/>
        <v>814.30000000000018</v>
      </c>
    </row>
    <row r="45" spans="1:30" x14ac:dyDescent="0.35">
      <c r="A45" s="5">
        <f t="shared" si="20"/>
        <v>9.8450000000000218E-2</v>
      </c>
      <c r="B45" s="11">
        <f>NPV('Cost Assumptions'!$B$3,'Mira Loma'!D45:'Mira Loma'!AD45)</f>
        <v>30.108122137949504</v>
      </c>
      <c r="C45" s="88" t="s">
        <v>32</v>
      </c>
      <c r="D45" s="63">
        <f t="shared" ref="D45:AD45" si="24">D4-D20</f>
        <v>2</v>
      </c>
      <c r="E45" s="63">
        <f t="shared" si="24"/>
        <v>3</v>
      </c>
      <c r="F45" s="63">
        <f t="shared" si="24"/>
        <v>4.6799999999999953</v>
      </c>
      <c r="G45" s="63">
        <f t="shared" si="24"/>
        <v>6.3599999999999905</v>
      </c>
      <c r="H45" s="63">
        <f t="shared" si="24"/>
        <v>8.0399999999999867</v>
      </c>
      <c r="I45" s="63">
        <f t="shared" si="24"/>
        <v>9.7199999999999829</v>
      </c>
      <c r="J45" s="63">
        <f t="shared" si="24"/>
        <v>1.3999999999999773</v>
      </c>
      <c r="K45" s="63">
        <f t="shared" si="24"/>
        <v>0.82499999999998863</v>
      </c>
      <c r="L45" s="63">
        <f t="shared" si="24"/>
        <v>0.25</v>
      </c>
      <c r="M45" s="63">
        <f t="shared" si="24"/>
        <v>-0.32499999999998863</v>
      </c>
      <c r="N45" s="63">
        <f t="shared" si="24"/>
        <v>-0.89999999999997726</v>
      </c>
      <c r="O45" s="63">
        <f t="shared" si="24"/>
        <v>-0.4333333333333087</v>
      </c>
      <c r="P45" s="63">
        <f t="shared" si="24"/>
        <v>3.333333333335986E-2</v>
      </c>
      <c r="Q45" s="63">
        <f t="shared" si="24"/>
        <v>0.50000000000002842</v>
      </c>
      <c r="R45" s="63">
        <f t="shared" si="24"/>
        <v>0.96666666666669698</v>
      </c>
      <c r="S45" s="63">
        <f t="shared" si="24"/>
        <v>1.4333333333333655</v>
      </c>
      <c r="T45" s="63">
        <f t="shared" si="24"/>
        <v>1.9000000000000341</v>
      </c>
      <c r="U45" s="63">
        <f t="shared" si="24"/>
        <v>1.8800000000000239</v>
      </c>
      <c r="V45" s="63">
        <f t="shared" si="24"/>
        <v>1.8600000000000136</v>
      </c>
      <c r="W45" s="63">
        <f t="shared" si="24"/>
        <v>1.8400000000000034</v>
      </c>
      <c r="X45" s="63">
        <f t="shared" si="24"/>
        <v>1.8199999999999932</v>
      </c>
      <c r="Y45" s="63">
        <f t="shared" si="24"/>
        <v>1.7999999999999972</v>
      </c>
      <c r="Z45" s="63">
        <f t="shared" si="24"/>
        <v>4.5200000000000031</v>
      </c>
      <c r="AA45" s="63">
        <f t="shared" si="24"/>
        <v>7.2400000000000091</v>
      </c>
      <c r="AB45" s="63">
        <f t="shared" si="24"/>
        <v>9.9600000000000151</v>
      </c>
      <c r="AC45" s="63">
        <f t="shared" si="24"/>
        <v>12.680000000000021</v>
      </c>
      <c r="AD45" s="63">
        <f t="shared" si="24"/>
        <v>15.400000000000006</v>
      </c>
    </row>
    <row r="46" spans="1:30" x14ac:dyDescent="0.35">
      <c r="A46" s="5">
        <f t="shared" si="20"/>
        <v>0.76426929171172941</v>
      </c>
      <c r="B46" s="11">
        <f>NPV('Cost Assumptions'!$B$3,'Mira Loma'!D46:'Mira Loma'!AD46)</f>
        <v>89.179662392465147</v>
      </c>
      <c r="C46" s="88" t="s">
        <v>33</v>
      </c>
      <c r="D46" s="63">
        <f t="shared" ref="D46:AD46" si="25">D5-D21</f>
        <v>8.4812112193331513E-2</v>
      </c>
      <c r="E46" s="63">
        <f t="shared" si="25"/>
        <v>0.24283371212350299</v>
      </c>
      <c r="F46" s="63">
        <f t="shared" si="25"/>
        <v>0.34046276046663143</v>
      </c>
      <c r="G46" s="63">
        <f t="shared" si="25"/>
        <v>0.43809180880975984</v>
      </c>
      <c r="H46" s="63">
        <f t="shared" si="25"/>
        <v>0.53572085715288831</v>
      </c>
      <c r="I46" s="63">
        <f t="shared" si="25"/>
        <v>0.63334990549601677</v>
      </c>
      <c r="J46" s="63">
        <f t="shared" si="25"/>
        <v>0.57952041782759189</v>
      </c>
      <c r="K46" s="63">
        <f t="shared" si="25"/>
        <v>0.83487306474100509</v>
      </c>
      <c r="L46" s="63">
        <f t="shared" si="25"/>
        <v>1.0902257116544183</v>
      </c>
      <c r="M46" s="63">
        <f t="shared" si="25"/>
        <v>1.3455783585678311</v>
      </c>
      <c r="N46" s="63">
        <f t="shared" si="25"/>
        <v>1.6009310054812445</v>
      </c>
      <c r="O46" s="63">
        <f t="shared" si="25"/>
        <v>3.5912032402915908</v>
      </c>
      <c r="P46" s="63">
        <f t="shared" si="25"/>
        <v>5.5814754751019375</v>
      </c>
      <c r="Q46" s="63">
        <f t="shared" si="25"/>
        <v>7.5717477099122839</v>
      </c>
      <c r="R46" s="63">
        <f t="shared" si="25"/>
        <v>9.5620199447226302</v>
      </c>
      <c r="S46" s="63">
        <f t="shared" si="25"/>
        <v>11.552292179532978</v>
      </c>
      <c r="T46" s="63">
        <f t="shared" si="25"/>
        <v>13.542564414343326</v>
      </c>
      <c r="U46" s="63">
        <f t="shared" si="25"/>
        <v>20.964978959097941</v>
      </c>
      <c r="V46" s="63">
        <f t="shared" si="25"/>
        <v>28.387393503852557</v>
      </c>
      <c r="W46" s="63">
        <f t="shared" si="25"/>
        <v>35.809808048607174</v>
      </c>
      <c r="X46" s="63">
        <f t="shared" si="25"/>
        <v>43.23222259336179</v>
      </c>
      <c r="Y46" s="63">
        <f t="shared" si="25"/>
        <v>50.654637138116406</v>
      </c>
      <c r="Z46" s="63">
        <f t="shared" si="25"/>
        <v>68.842594678095907</v>
      </c>
      <c r="AA46" s="63">
        <f t="shared" si="25"/>
        <v>87.030552218075428</v>
      </c>
      <c r="AB46" s="63">
        <f t="shared" si="25"/>
        <v>105.21850975805492</v>
      </c>
      <c r="AC46" s="63">
        <f t="shared" si="25"/>
        <v>123.40646729803444</v>
      </c>
      <c r="AD46" s="63">
        <f t="shared" si="25"/>
        <v>141.59442483801396</v>
      </c>
    </row>
    <row r="47" spans="1:30" x14ac:dyDescent="0.35">
      <c r="A47" s="5">
        <f t="shared" si="20"/>
        <v>4.7121808618817785E-3</v>
      </c>
      <c r="B47" s="11">
        <f>NPV('Cost Assumptions'!$B$3,'Mira Loma'!D47:'Mira Loma'!AD47)</f>
        <v>0.74193263189027736</v>
      </c>
      <c r="C47" s="88" t="s">
        <v>34</v>
      </c>
      <c r="D47" s="63">
        <f t="shared" ref="D47:AD47" si="26">D6-D22</f>
        <v>6.0580080138093939E-3</v>
      </c>
      <c r="E47" s="63">
        <f t="shared" si="26"/>
        <v>1.7771756236396739E-2</v>
      </c>
      <c r="F47" s="63">
        <f t="shared" si="26"/>
        <v>2.504677784712513E-2</v>
      </c>
      <c r="G47" s="63">
        <f t="shared" si="26"/>
        <v>3.2321799457853517E-2</v>
      </c>
      <c r="H47" s="63">
        <f t="shared" si="26"/>
        <v>3.9596821068581908E-2</v>
      </c>
      <c r="I47" s="63">
        <f t="shared" si="26"/>
        <v>4.6871842679310299E-2</v>
      </c>
      <c r="J47" s="63">
        <f t="shared" si="26"/>
        <v>2.3855157087728045E-2</v>
      </c>
      <c r="K47" s="63">
        <f t="shared" si="26"/>
        <v>2.6409502740877028E-2</v>
      </c>
      <c r="L47" s="63">
        <f t="shared" si="26"/>
        <v>2.8963848394026007E-2</v>
      </c>
      <c r="M47" s="63">
        <f t="shared" si="26"/>
        <v>3.1518194047174986E-2</v>
      </c>
      <c r="N47" s="63">
        <f t="shared" si="26"/>
        <v>3.4072539700324006E-2</v>
      </c>
      <c r="O47" s="63">
        <f t="shared" si="26"/>
        <v>5.58537834475826E-2</v>
      </c>
      <c r="P47" s="63">
        <f t="shared" si="26"/>
        <v>7.7635027194841222E-2</v>
      </c>
      <c r="Q47" s="63">
        <f t="shared" si="26"/>
        <v>9.9416270942099871E-2</v>
      </c>
      <c r="R47" s="63">
        <f t="shared" si="26"/>
        <v>0.12119751468935852</v>
      </c>
      <c r="S47" s="63">
        <f t="shared" si="26"/>
        <v>0.14297875843661711</v>
      </c>
      <c r="T47" s="63">
        <f t="shared" si="26"/>
        <v>0.16476000218387571</v>
      </c>
      <c r="U47" s="63">
        <f t="shared" si="26"/>
        <v>0.19331094675078009</v>
      </c>
      <c r="V47" s="63">
        <f t="shared" si="26"/>
        <v>0.22186189131768441</v>
      </c>
      <c r="W47" s="63">
        <f t="shared" si="26"/>
        <v>0.25041283588458874</v>
      </c>
      <c r="X47" s="63">
        <f t="shared" si="26"/>
        <v>0.27896378045149306</v>
      </c>
      <c r="Y47" s="63">
        <f t="shared" si="26"/>
        <v>0.30751472501839738</v>
      </c>
      <c r="Z47" s="63">
        <f t="shared" si="26"/>
        <v>0.37072908856501519</v>
      </c>
      <c r="AA47" s="63">
        <f t="shared" si="26"/>
        <v>0.43394345211163299</v>
      </c>
      <c r="AB47" s="63">
        <f t="shared" si="26"/>
        <v>0.49715781565825057</v>
      </c>
      <c r="AC47" s="63">
        <f t="shared" si="26"/>
        <v>0.56037217920486837</v>
      </c>
      <c r="AD47" s="63">
        <f t="shared" si="26"/>
        <v>0.62358654275148639</v>
      </c>
    </row>
    <row r="48" spans="1:30" x14ac:dyDescent="0.35">
      <c r="A48" s="5">
        <f t="shared" si="20"/>
        <v>1.3085</v>
      </c>
      <c r="B48" s="11">
        <f>NPV('Cost Assumptions'!$B$3,'Mira Loma'!D48:'Mira Loma'!AD48)</f>
        <v>325.89400618303426</v>
      </c>
      <c r="C48" s="88" t="s">
        <v>35</v>
      </c>
      <c r="D48" s="63">
        <f t="shared" ref="D48:AD48" si="27">D7-D23</f>
        <v>14</v>
      </c>
      <c r="E48" s="63">
        <f t="shared" si="27"/>
        <v>21</v>
      </c>
      <c r="F48" s="63">
        <f t="shared" si="27"/>
        <v>23.2</v>
      </c>
      <c r="G48" s="63">
        <f t="shared" si="27"/>
        <v>25.4</v>
      </c>
      <c r="H48" s="63">
        <f t="shared" si="27"/>
        <v>27.599999999999998</v>
      </c>
      <c r="I48" s="63">
        <f t="shared" si="27"/>
        <v>29.799999999999997</v>
      </c>
      <c r="J48" s="63">
        <f t="shared" si="27"/>
        <v>27</v>
      </c>
      <c r="K48" s="63">
        <f t="shared" si="27"/>
        <v>29.75</v>
      </c>
      <c r="L48" s="63">
        <f t="shared" si="27"/>
        <v>32.5</v>
      </c>
      <c r="M48" s="63">
        <f t="shared" si="27"/>
        <v>35.25</v>
      </c>
      <c r="N48" s="63">
        <f t="shared" si="27"/>
        <v>38</v>
      </c>
      <c r="O48" s="63">
        <f t="shared" si="27"/>
        <v>41.333333333333336</v>
      </c>
      <c r="P48" s="63">
        <f t="shared" si="27"/>
        <v>44.666666666666671</v>
      </c>
      <c r="Q48" s="63">
        <f t="shared" si="27"/>
        <v>48</v>
      </c>
      <c r="R48" s="63">
        <f t="shared" si="27"/>
        <v>51.333333333333329</v>
      </c>
      <c r="S48" s="63">
        <f t="shared" si="27"/>
        <v>54.666666666666657</v>
      </c>
      <c r="T48" s="63">
        <f t="shared" si="27"/>
        <v>58</v>
      </c>
      <c r="U48" s="63">
        <f t="shared" si="27"/>
        <v>60.800000000000004</v>
      </c>
      <c r="V48" s="63">
        <f t="shared" si="27"/>
        <v>63.600000000000009</v>
      </c>
      <c r="W48" s="63">
        <f t="shared" si="27"/>
        <v>66.400000000000006</v>
      </c>
      <c r="X48" s="63">
        <f t="shared" si="27"/>
        <v>69.200000000000017</v>
      </c>
      <c r="Y48" s="63">
        <f t="shared" si="27"/>
        <v>72</v>
      </c>
      <c r="Z48" s="63">
        <f t="shared" si="27"/>
        <v>73</v>
      </c>
      <c r="AA48" s="63">
        <f t="shared" si="27"/>
        <v>73.999999999999986</v>
      </c>
      <c r="AB48" s="63">
        <f t="shared" si="27"/>
        <v>74.999999999999986</v>
      </c>
      <c r="AC48" s="63">
        <f t="shared" si="27"/>
        <v>75.999999999999986</v>
      </c>
      <c r="AD48" s="63">
        <f t="shared" si="27"/>
        <v>77</v>
      </c>
    </row>
    <row r="49" spans="1:30" ht="13.9" customHeight="1" x14ac:dyDescent="0.35">
      <c r="A49" s="5">
        <f t="shared" si="20"/>
        <v>466.1976832540455</v>
      </c>
      <c r="B49" s="11">
        <f>NPV('Cost Assumptions'!$B$3,'Mira Loma'!D49:'Mira Loma'!AD49)</f>
        <v>107491.56446464331</v>
      </c>
      <c r="C49" s="86" t="s">
        <v>153</v>
      </c>
      <c r="D49" s="63">
        <f>D13-D24</f>
        <v>3265.7421655023345</v>
      </c>
      <c r="E49" s="63">
        <f t="shared" ref="E49:AD49" si="28">E13-E24</f>
        <v>4342.4448571988651</v>
      </c>
      <c r="F49" s="63">
        <f t="shared" si="28"/>
        <v>5419.1475488953965</v>
      </c>
      <c r="G49" s="63">
        <f t="shared" si="28"/>
        <v>6495.850240591928</v>
      </c>
      <c r="H49" s="63">
        <f t="shared" si="28"/>
        <v>7572.5529322884595</v>
      </c>
      <c r="I49" s="63">
        <f t="shared" si="28"/>
        <v>8649.255623984991</v>
      </c>
      <c r="J49" s="63">
        <f t="shared" si="28"/>
        <v>9725.9583156815224</v>
      </c>
      <c r="K49" s="63">
        <f t="shared" si="28"/>
        <v>10802.661007378054</v>
      </c>
      <c r="L49" s="63">
        <f t="shared" si="28"/>
        <v>11979.363699074545</v>
      </c>
      <c r="M49" s="63">
        <f t="shared" si="28"/>
        <v>12956.066390771117</v>
      </c>
      <c r="N49" s="63">
        <f t="shared" si="28"/>
        <v>14032.769082467648</v>
      </c>
      <c r="O49" s="63">
        <f t="shared" si="28"/>
        <v>15109.47177416418</v>
      </c>
      <c r="P49" s="63">
        <f t="shared" si="28"/>
        <v>16186.174465860711</v>
      </c>
      <c r="Q49" s="63">
        <f t="shared" si="28"/>
        <v>17262.877157557243</v>
      </c>
      <c r="R49" s="63">
        <f t="shared" si="28"/>
        <v>18339.579849253772</v>
      </c>
      <c r="S49" s="63">
        <f t="shared" si="28"/>
        <v>19416.282540950302</v>
      </c>
      <c r="T49" s="63">
        <f t="shared" si="28"/>
        <v>20492.985232646832</v>
      </c>
      <c r="U49" s="63">
        <f t="shared" si="28"/>
        <v>21569.687924343361</v>
      </c>
      <c r="V49" s="63">
        <f t="shared" si="28"/>
        <v>22646.390616039891</v>
      </c>
      <c r="W49" s="63">
        <f t="shared" si="28"/>
        <v>23723.093307736421</v>
      </c>
      <c r="X49" s="63">
        <f t="shared" si="28"/>
        <v>24799.79599943295</v>
      </c>
      <c r="Y49" s="63">
        <f t="shared" si="28"/>
        <v>25876.49869112948</v>
      </c>
      <c r="Z49" s="63">
        <f t="shared" si="28"/>
        <v>26953.20138282601</v>
      </c>
      <c r="AA49" s="63">
        <f t="shared" si="28"/>
        <v>28029.904074522539</v>
      </c>
      <c r="AB49" s="63">
        <f t="shared" si="28"/>
        <v>29106.606766219069</v>
      </c>
      <c r="AC49" s="63">
        <f t="shared" si="28"/>
        <v>30183.309457915599</v>
      </c>
      <c r="AD49" s="63">
        <f t="shared" si="28"/>
        <v>31260.012149612143</v>
      </c>
    </row>
    <row r="50" spans="1:30" x14ac:dyDescent="0.35">
      <c r="A50" s="5">
        <f t="shared" si="20"/>
        <v>1489.2707202164102</v>
      </c>
      <c r="B50" s="11">
        <f>NPV('Cost Assumptions'!$B$3,'Mira Loma'!D50:'Mira Loma'!AD50)</f>
        <v>502763.63150252239</v>
      </c>
      <c r="C50" s="86" t="s">
        <v>154</v>
      </c>
      <c r="D50" s="63">
        <f>D14-D25</f>
        <v>53381.8894002288</v>
      </c>
      <c r="E50" s="63">
        <f t="shared" ref="E50:AD50" si="29">E14-E25</f>
        <v>53578.168090881227</v>
      </c>
      <c r="F50" s="63">
        <f t="shared" si="29"/>
        <v>53671.367404785822</v>
      </c>
      <c r="G50" s="63">
        <f t="shared" si="29"/>
        <v>53767.136291503062</v>
      </c>
      <c r="H50" s="63">
        <f t="shared" si="29"/>
        <v>53867.859575299401</v>
      </c>
      <c r="I50" s="63">
        <f t="shared" si="29"/>
        <v>53983.334595299326</v>
      </c>
      <c r="J50" s="63">
        <f t="shared" si="29"/>
        <v>54098.789555420459</v>
      </c>
      <c r="K50" s="63">
        <f t="shared" si="29"/>
        <v>54241.511682119162</v>
      </c>
      <c r="L50" s="63">
        <f t="shared" si="29"/>
        <v>54386.701091523573</v>
      </c>
      <c r="M50" s="63">
        <f t="shared" si="29"/>
        <v>54538.498593791417</v>
      </c>
      <c r="N50" s="63">
        <f t="shared" si="29"/>
        <v>54692.288898660714</v>
      </c>
      <c r="O50" s="63">
        <f t="shared" si="29"/>
        <v>54848.127122688718</v>
      </c>
      <c r="P50" s="63">
        <f t="shared" si="29"/>
        <v>55006.271318700805</v>
      </c>
      <c r="Q50" s="63">
        <f t="shared" si="29"/>
        <v>55160.699803787662</v>
      </c>
      <c r="R50" s="63">
        <f t="shared" si="29"/>
        <v>55316.478905068827</v>
      </c>
      <c r="S50" s="63">
        <f t="shared" si="29"/>
        <v>55473.274585389998</v>
      </c>
      <c r="T50" s="63">
        <f t="shared" si="29"/>
        <v>55631.851352225349</v>
      </c>
      <c r="U50" s="63">
        <f t="shared" si="29"/>
        <v>55777.097861170623</v>
      </c>
      <c r="V50" s="63">
        <f t="shared" si="29"/>
        <v>55921.950009667926</v>
      </c>
      <c r="W50" s="63">
        <f t="shared" si="29"/>
        <v>56065.961742641317</v>
      </c>
      <c r="X50" s="63">
        <f t="shared" si="29"/>
        <v>56210.087487705547</v>
      </c>
      <c r="Y50" s="63">
        <f t="shared" si="29"/>
        <v>56333.099315387954</v>
      </c>
      <c r="Z50" s="63">
        <f t="shared" si="29"/>
        <v>56453.125862549117</v>
      </c>
      <c r="AA50" s="63">
        <f t="shared" si="29"/>
        <v>56569.266075861873</v>
      </c>
      <c r="AB50" s="63">
        <f t="shared" si="29"/>
        <v>56682.274788688956</v>
      </c>
      <c r="AC50" s="63">
        <f t="shared" si="29"/>
        <v>56767.810391548672</v>
      </c>
      <c r="AD50" s="63">
        <f t="shared" si="29"/>
        <v>56845.798413814016</v>
      </c>
    </row>
    <row r="51" spans="1:30" s="82" customFormat="1" x14ac:dyDescent="0.35">
      <c r="A51" s="5">
        <f t="shared" si="20"/>
        <v>1735.0290753021013</v>
      </c>
      <c r="B51" s="11">
        <f>NPV('Cost Assumptions'!$B$3,'Mira Loma'!D51:'Mira Loma'!AD51)</f>
        <v>496777.86753826664</v>
      </c>
      <c r="C51" s="86" t="s">
        <v>155</v>
      </c>
      <c r="D51" s="63">
        <f>D15-D26</f>
        <v>39606.65394158486</v>
      </c>
      <c r="E51" s="63">
        <f t="shared" ref="E51:AD51" si="30">E15-E26</f>
        <v>42013.860688029439</v>
      </c>
      <c r="F51" s="63">
        <f t="shared" si="30"/>
        <v>43206.120267581733</v>
      </c>
      <c r="G51" s="63">
        <f t="shared" si="30"/>
        <v>44440.706999924703</v>
      </c>
      <c r="H51" s="63">
        <f t="shared" si="30"/>
        <v>45762.177259159595</v>
      </c>
      <c r="I51" s="63">
        <f t="shared" si="30"/>
        <v>47290.339768676902</v>
      </c>
      <c r="J51" s="63">
        <f t="shared" si="30"/>
        <v>48842.960024909931</v>
      </c>
      <c r="K51" s="63">
        <f t="shared" si="30"/>
        <v>50778.823763078311</v>
      </c>
      <c r="L51" s="63">
        <f t="shared" si="30"/>
        <v>52745.179619612565</v>
      </c>
      <c r="M51" s="63">
        <f t="shared" si="30"/>
        <v>54800.523228481572</v>
      </c>
      <c r="N51" s="63">
        <f t="shared" si="30"/>
        <v>56920.607137643652</v>
      </c>
      <c r="O51" s="63">
        <f t="shared" si="30"/>
        <v>59126.948959612469</v>
      </c>
      <c r="P51" s="63">
        <f t="shared" si="30"/>
        <v>61397.127860260269</v>
      </c>
      <c r="Q51" s="63">
        <f t="shared" si="30"/>
        <v>63676.95945052879</v>
      </c>
      <c r="R51" s="63">
        <f t="shared" si="30"/>
        <v>66012.620793131457</v>
      </c>
      <c r="S51" s="63">
        <f t="shared" si="30"/>
        <v>68374.486942790973</v>
      </c>
      <c r="T51" s="63">
        <f t="shared" si="30"/>
        <v>70752.821333053507</v>
      </c>
      <c r="U51" s="63">
        <f t="shared" si="30"/>
        <v>72963.955518085961</v>
      </c>
      <c r="V51" s="63">
        <f t="shared" si="30"/>
        <v>75206.630257774494</v>
      </c>
      <c r="W51" s="63">
        <f t="shared" si="30"/>
        <v>77411.128922027827</v>
      </c>
      <c r="X51" s="63">
        <f t="shared" si="30"/>
        <v>79603.735343899505</v>
      </c>
      <c r="Y51" s="63">
        <f t="shared" si="30"/>
        <v>81486.476322017479</v>
      </c>
      <c r="Z51" s="63">
        <f t="shared" si="30"/>
        <v>83317.407951842601</v>
      </c>
      <c r="AA51" s="63">
        <f t="shared" si="30"/>
        <v>85069.354445185134</v>
      </c>
      <c r="AB51" s="63">
        <f t="shared" si="30"/>
        <v>86785.605140153144</v>
      </c>
      <c r="AC51" s="63">
        <f t="shared" si="30"/>
        <v>88114.113900743148</v>
      </c>
      <c r="AD51" s="63">
        <f t="shared" si="30"/>
        <v>89321.749462311185</v>
      </c>
    </row>
    <row r="52" spans="1:30" x14ac:dyDescent="0.35">
      <c r="A52" s="5">
        <f t="shared" si="20"/>
        <v>42.092150000000011</v>
      </c>
      <c r="B52" s="11">
        <f>NPV('Cost Assumptions'!$B$3,'Mira Loma'!D52:'Mira Loma'!AD52)</f>
        <v>6756.1080887472981</v>
      </c>
      <c r="C52" s="88" t="s">
        <v>31</v>
      </c>
      <c r="D52" s="63">
        <f t="shared" ref="D52:AD52" si="31">D8-D19</f>
        <v>22.2</v>
      </c>
      <c r="E52" s="63">
        <f t="shared" si="31"/>
        <v>65.8</v>
      </c>
      <c r="F52" s="63">
        <f t="shared" si="31"/>
        <v>102.72</v>
      </c>
      <c r="G52" s="63">
        <f t="shared" si="31"/>
        <v>139.63999999999999</v>
      </c>
      <c r="H52" s="63">
        <f t="shared" si="31"/>
        <v>176.56</v>
      </c>
      <c r="I52" s="63">
        <f t="shared" si="31"/>
        <v>213.48000000000002</v>
      </c>
      <c r="J52" s="63">
        <f t="shared" si="31"/>
        <v>221</v>
      </c>
      <c r="K52" s="63">
        <f t="shared" si="31"/>
        <v>302.72500000000002</v>
      </c>
      <c r="L52" s="63">
        <f t="shared" si="31"/>
        <v>384.45000000000005</v>
      </c>
      <c r="M52" s="63">
        <f t="shared" si="31"/>
        <v>466.17500000000007</v>
      </c>
      <c r="N52" s="63">
        <f t="shared" si="31"/>
        <v>547.90000000000009</v>
      </c>
      <c r="O52" s="63">
        <f t="shared" si="31"/>
        <v>755.93333333333339</v>
      </c>
      <c r="P52" s="63">
        <f t="shared" si="31"/>
        <v>963.96666666666692</v>
      </c>
      <c r="Q52" s="63">
        <f t="shared" si="31"/>
        <v>1172.0000000000002</v>
      </c>
      <c r="R52" s="63">
        <f t="shared" si="31"/>
        <v>1380.0333333333338</v>
      </c>
      <c r="S52" s="63">
        <f t="shared" si="31"/>
        <v>1588.0666666666671</v>
      </c>
      <c r="T52" s="63">
        <f t="shared" si="31"/>
        <v>1796.1</v>
      </c>
      <c r="U52" s="63">
        <f t="shared" si="31"/>
        <v>2048.8200000000002</v>
      </c>
      <c r="V52" s="63">
        <f t="shared" si="31"/>
        <v>2301.54</v>
      </c>
      <c r="W52" s="63">
        <f t="shared" si="31"/>
        <v>2554.2600000000002</v>
      </c>
      <c r="X52" s="63">
        <f t="shared" si="31"/>
        <v>2806.98</v>
      </c>
      <c r="Y52" s="63">
        <f t="shared" si="31"/>
        <v>3059.7000000000007</v>
      </c>
      <c r="Z52" s="63">
        <f t="shared" si="31"/>
        <v>3307.9400000000005</v>
      </c>
      <c r="AA52" s="63">
        <f t="shared" si="31"/>
        <v>3556.1800000000003</v>
      </c>
      <c r="AB52" s="63">
        <f t="shared" si="31"/>
        <v>3804.4200000000005</v>
      </c>
      <c r="AC52" s="63">
        <f t="shared" si="31"/>
        <v>4052.6600000000008</v>
      </c>
      <c r="AD52" s="63">
        <f t="shared" si="31"/>
        <v>4300.8999999999987</v>
      </c>
    </row>
    <row r="53" spans="1:30" x14ac:dyDescent="0.35">
      <c r="A53" s="5">
        <f t="shared" si="20"/>
        <v>2.2696999999999989</v>
      </c>
      <c r="B53" s="11">
        <f>NPV('Cost Assumptions'!$B$3,'Mira Loma'!D53:'Mira Loma'!AD53)</f>
        <v>596.69828441680932</v>
      </c>
      <c r="C53" s="88" t="s">
        <v>32</v>
      </c>
      <c r="D53" s="63">
        <f t="shared" ref="D53:I56" si="32">D9-D20</f>
        <v>13</v>
      </c>
      <c r="E53" s="63">
        <f t="shared" si="32"/>
        <v>27</v>
      </c>
      <c r="F53" s="63">
        <f t="shared" si="32"/>
        <v>34.519999999999982</v>
      </c>
      <c r="G53" s="63">
        <f t="shared" si="32"/>
        <v>42.039999999999964</v>
      </c>
      <c r="H53" s="63">
        <f t="shared" si="32"/>
        <v>49.559999999999945</v>
      </c>
      <c r="I53" s="63">
        <f t="shared" si="32"/>
        <v>57.079999999999927</v>
      </c>
      <c r="J53" s="63">
        <f t="shared" ref="J53:AD53" si="33">J9-J28</f>
        <v>64.599999999999909</v>
      </c>
      <c r="K53" s="63">
        <f t="shared" si="33"/>
        <v>75.024999999999935</v>
      </c>
      <c r="L53" s="63">
        <f t="shared" si="33"/>
        <v>85.44999999999996</v>
      </c>
      <c r="M53" s="63">
        <f t="shared" si="33"/>
        <v>85.874999999999986</v>
      </c>
      <c r="N53" s="63">
        <f t="shared" si="33"/>
        <v>86.3</v>
      </c>
      <c r="O53" s="63">
        <f t="shared" si="33"/>
        <v>89.549999999999983</v>
      </c>
      <c r="P53" s="63">
        <f t="shared" si="33"/>
        <v>92.799999999999969</v>
      </c>
      <c r="Q53" s="63">
        <f t="shared" si="33"/>
        <v>96.049999999999955</v>
      </c>
      <c r="R53" s="63">
        <f t="shared" si="33"/>
        <v>99.299999999999926</v>
      </c>
      <c r="S53" s="63">
        <f t="shared" si="33"/>
        <v>102.54999999999991</v>
      </c>
      <c r="T53" s="63">
        <f t="shared" si="33"/>
        <v>105.79999999999995</v>
      </c>
      <c r="U53" s="63">
        <f t="shared" si="33"/>
        <v>106.19999999999995</v>
      </c>
      <c r="V53" s="63">
        <f t="shared" si="33"/>
        <v>106.59999999999994</v>
      </c>
      <c r="W53" s="63">
        <f t="shared" si="33"/>
        <v>106.99999999999993</v>
      </c>
      <c r="X53" s="63">
        <f t="shared" si="33"/>
        <v>107.39999999999992</v>
      </c>
      <c r="Y53" s="63">
        <f t="shared" si="33"/>
        <v>107.79999999999995</v>
      </c>
      <c r="Z53" s="63">
        <f t="shared" si="33"/>
        <v>107.07999999999998</v>
      </c>
      <c r="AA53" s="63">
        <f t="shared" si="33"/>
        <v>106.36000000000001</v>
      </c>
      <c r="AB53" s="63">
        <f t="shared" si="33"/>
        <v>105.64000000000004</v>
      </c>
      <c r="AC53" s="63">
        <f t="shared" si="33"/>
        <v>104.92000000000007</v>
      </c>
      <c r="AD53" s="63">
        <f t="shared" si="33"/>
        <v>104.20000000000005</v>
      </c>
    </row>
    <row r="54" spans="1:30" x14ac:dyDescent="0.35">
      <c r="A54" s="5">
        <f t="shared" si="20"/>
        <v>2.9932754743084988</v>
      </c>
      <c r="B54" s="11">
        <f>NPV('Cost Assumptions'!$B$3,'Mira Loma'!D54:'Mira Loma'!AD54)</f>
        <v>374.98731403574095</v>
      </c>
      <c r="C54" s="88" t="s">
        <v>33</v>
      </c>
      <c r="D54" s="63">
        <f t="shared" si="32"/>
        <v>4.7253529883901121E-2</v>
      </c>
      <c r="E54" s="63">
        <f t="shared" si="32"/>
        <v>0.28011551949195379</v>
      </c>
      <c r="F54" s="63">
        <f t="shared" si="32"/>
        <v>0.59718244793816533</v>
      </c>
      <c r="G54" s="63">
        <f t="shared" si="32"/>
        <v>0.91424937638437687</v>
      </c>
      <c r="H54" s="63">
        <f t="shared" si="32"/>
        <v>1.2313163048305884</v>
      </c>
      <c r="I54" s="63">
        <f t="shared" si="32"/>
        <v>1.5483832332767999</v>
      </c>
      <c r="J54" s="63">
        <f t="shared" ref="J54:AD54" si="34">J10-J29</f>
        <v>1.8654501617230115</v>
      </c>
      <c r="K54" s="63">
        <f t="shared" si="34"/>
        <v>3.796086780774603</v>
      </c>
      <c r="L54" s="63">
        <f t="shared" si="34"/>
        <v>5.726723399826195</v>
      </c>
      <c r="M54" s="63">
        <f t="shared" si="34"/>
        <v>7.6040081673943538</v>
      </c>
      <c r="N54" s="63">
        <f t="shared" si="34"/>
        <v>9.4812929349625108</v>
      </c>
      <c r="O54" s="63">
        <f t="shared" si="34"/>
        <v>21.950465497712482</v>
      </c>
      <c r="P54" s="63">
        <f t="shared" si="34"/>
        <v>34.419638060462447</v>
      </c>
      <c r="Q54" s="63">
        <f t="shared" si="34"/>
        <v>46.888810623212422</v>
      </c>
      <c r="R54" s="63">
        <f t="shared" si="34"/>
        <v>59.357983185962397</v>
      </c>
      <c r="S54" s="63">
        <f t="shared" si="34"/>
        <v>71.827155748712357</v>
      </c>
      <c r="T54" s="63">
        <f t="shared" si="34"/>
        <v>84.296328311462332</v>
      </c>
      <c r="U54" s="63">
        <f t="shared" si="34"/>
        <v>111.11628648608593</v>
      </c>
      <c r="V54" s="63">
        <f t="shared" si="34"/>
        <v>137.93624466070952</v>
      </c>
      <c r="W54" s="63">
        <f t="shared" si="34"/>
        <v>164.75620283533311</v>
      </c>
      <c r="X54" s="63">
        <f t="shared" si="34"/>
        <v>191.57616100995668</v>
      </c>
      <c r="Y54" s="63">
        <f t="shared" si="34"/>
        <v>218.3961191845803</v>
      </c>
      <c r="Z54" s="63">
        <f t="shared" si="34"/>
        <v>266.77488057957504</v>
      </c>
      <c r="AA54" s="63">
        <f t="shared" si="34"/>
        <v>315.15364197456978</v>
      </c>
      <c r="AB54" s="63">
        <f t="shared" si="34"/>
        <v>363.53240336956452</v>
      </c>
      <c r="AC54" s="63">
        <f t="shared" si="34"/>
        <v>411.9111647645592</v>
      </c>
      <c r="AD54" s="63">
        <f t="shared" si="34"/>
        <v>460.289926159554</v>
      </c>
    </row>
    <row r="55" spans="1:30" x14ac:dyDescent="0.35">
      <c r="A55" s="5">
        <f t="shared" si="20"/>
        <v>4.8674786900015393E-2</v>
      </c>
      <c r="B55" s="11">
        <f>NPV('Cost Assumptions'!$B$3,'Mira Loma'!D55:'Mira Loma'!AD55)</f>
        <v>7.8146508339753131</v>
      </c>
      <c r="C55" s="88" t="s">
        <v>34</v>
      </c>
      <c r="D55" s="63">
        <f t="shared" si="32"/>
        <v>2.3626764941950561E-2</v>
      </c>
      <c r="E55" s="63">
        <f t="shared" si="32"/>
        <v>7.0028879872988448E-2</v>
      </c>
      <c r="F55" s="63">
        <f t="shared" si="32"/>
        <v>0.10932167994761965</v>
      </c>
      <c r="G55" s="63">
        <f t="shared" si="32"/>
        <v>0.14861448002225086</v>
      </c>
      <c r="H55" s="63">
        <f t="shared" si="32"/>
        <v>0.18790728009688207</v>
      </c>
      <c r="I55" s="63">
        <f t="shared" si="32"/>
        <v>0.22720008017151327</v>
      </c>
      <c r="J55" s="63">
        <f t="shared" ref="J55:AD55" si="35">J11-J30</f>
        <v>0.26649288024614448</v>
      </c>
      <c r="K55" s="63">
        <f t="shared" si="35"/>
        <v>0.37108388586191865</v>
      </c>
      <c r="L55" s="63">
        <f t="shared" si="35"/>
        <v>0.47567489147769282</v>
      </c>
      <c r="M55" s="63">
        <f t="shared" si="35"/>
        <v>0.5624819465989892</v>
      </c>
      <c r="N55" s="63">
        <f t="shared" si="35"/>
        <v>0.64928900172028559</v>
      </c>
      <c r="O55" s="63">
        <f t="shared" si="35"/>
        <v>0.88144051367065601</v>
      </c>
      <c r="P55" s="63">
        <f t="shared" si="35"/>
        <v>1.1135920256210263</v>
      </c>
      <c r="Q55" s="63">
        <f t="shared" si="35"/>
        <v>1.3457435375713966</v>
      </c>
      <c r="R55" s="63">
        <f t="shared" si="35"/>
        <v>1.5778950495217672</v>
      </c>
      <c r="S55" s="63">
        <f t="shared" si="35"/>
        <v>1.8100465614721375</v>
      </c>
      <c r="T55" s="63">
        <f t="shared" si="35"/>
        <v>2.042198073422508</v>
      </c>
      <c r="U55" s="63">
        <f t="shared" si="35"/>
        <v>2.3641495127845475</v>
      </c>
      <c r="V55" s="63">
        <f t="shared" si="35"/>
        <v>2.6861009521465871</v>
      </c>
      <c r="W55" s="63">
        <f t="shared" si="35"/>
        <v>3.0080523915086266</v>
      </c>
      <c r="X55" s="63">
        <f t="shared" si="35"/>
        <v>3.330003830870667</v>
      </c>
      <c r="Y55" s="63">
        <f t="shared" si="35"/>
        <v>3.6519552702327065</v>
      </c>
      <c r="Z55" s="63">
        <f t="shared" si="35"/>
        <v>3.8860960075041064</v>
      </c>
      <c r="AA55" s="63">
        <f t="shared" si="35"/>
        <v>4.1202367447755064</v>
      </c>
      <c r="AB55" s="63">
        <f t="shared" si="35"/>
        <v>4.3543774820469068</v>
      </c>
      <c r="AC55" s="63">
        <f t="shared" si="35"/>
        <v>4.5885182193183063</v>
      </c>
      <c r="AD55" s="63">
        <f t="shared" si="35"/>
        <v>4.8226589565897084</v>
      </c>
    </row>
    <row r="56" spans="1:30" x14ac:dyDescent="0.35">
      <c r="A56" s="5">
        <f t="shared" si="20"/>
        <v>0.55349999999999988</v>
      </c>
      <c r="B56" s="11">
        <f>NPV('Cost Assumptions'!$B$3,'Mira Loma'!D56:'Mira Loma'!AD56)</f>
        <v>111.0942022573812</v>
      </c>
      <c r="C56" s="88" t="s">
        <v>35</v>
      </c>
      <c r="D56" s="63">
        <f t="shared" si="32"/>
        <v>2</v>
      </c>
      <c r="E56" s="63">
        <f t="shared" si="32"/>
        <v>4</v>
      </c>
      <c r="F56" s="63">
        <f t="shared" si="32"/>
        <v>4.5999999999999996</v>
      </c>
      <c r="G56" s="63">
        <f t="shared" si="32"/>
        <v>5.1999999999999993</v>
      </c>
      <c r="H56" s="63">
        <f t="shared" si="32"/>
        <v>5.7999999999999989</v>
      </c>
      <c r="I56" s="63">
        <f t="shared" si="32"/>
        <v>6.3999999999999986</v>
      </c>
      <c r="J56" s="63">
        <f t="shared" ref="J56:AD56" si="36">J12-J31</f>
        <v>7</v>
      </c>
      <c r="K56" s="63">
        <f t="shared" si="36"/>
        <v>8.75</v>
      </c>
      <c r="L56" s="63">
        <f t="shared" si="36"/>
        <v>10.5</v>
      </c>
      <c r="M56" s="63">
        <f t="shared" si="36"/>
        <v>10.75</v>
      </c>
      <c r="N56" s="63">
        <f t="shared" si="36"/>
        <v>11</v>
      </c>
      <c r="O56" s="63">
        <f t="shared" si="36"/>
        <v>13.833333333333332</v>
      </c>
      <c r="P56" s="63">
        <f t="shared" si="36"/>
        <v>16.666666666666664</v>
      </c>
      <c r="Q56" s="63">
        <f t="shared" si="36"/>
        <v>19.499999999999996</v>
      </c>
      <c r="R56" s="63">
        <f t="shared" si="36"/>
        <v>22.333333333333329</v>
      </c>
      <c r="S56" s="63">
        <f t="shared" si="36"/>
        <v>25.166666666666664</v>
      </c>
      <c r="T56" s="63">
        <f t="shared" si="36"/>
        <v>28</v>
      </c>
      <c r="U56" s="63">
        <f t="shared" si="36"/>
        <v>28.6</v>
      </c>
      <c r="V56" s="63">
        <f t="shared" si="36"/>
        <v>29.200000000000006</v>
      </c>
      <c r="W56" s="63">
        <f t="shared" si="36"/>
        <v>29.800000000000008</v>
      </c>
      <c r="X56" s="63">
        <f t="shared" si="36"/>
        <v>30.400000000000009</v>
      </c>
      <c r="Y56" s="63">
        <f t="shared" si="36"/>
        <v>31</v>
      </c>
      <c r="Z56" s="63">
        <f t="shared" si="36"/>
        <v>34.199999999999996</v>
      </c>
      <c r="AA56" s="63">
        <f t="shared" si="36"/>
        <v>37.399999999999991</v>
      </c>
      <c r="AB56" s="63">
        <f t="shared" si="36"/>
        <v>40.599999999999987</v>
      </c>
      <c r="AC56" s="63">
        <f t="shared" si="36"/>
        <v>43.799999999999983</v>
      </c>
      <c r="AD56" s="63">
        <f t="shared" si="36"/>
        <v>47</v>
      </c>
    </row>
    <row r="58" spans="1:30" ht="15" thickBot="1" x14ac:dyDescent="0.4">
      <c r="A58" s="166" t="s">
        <v>156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</row>
    <row r="59" spans="1:30" ht="15.5" thickTop="1" thickBot="1" x14ac:dyDescent="0.4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" thickTop="1" x14ac:dyDescent="0.35">
      <c r="A60" s="88" t="s">
        <v>124</v>
      </c>
      <c r="B60" s="88" t="s">
        <v>125</v>
      </c>
      <c r="C60" s="88" t="s">
        <v>129</v>
      </c>
      <c r="D60" s="5">
        <v>4.4933261328125003</v>
      </c>
      <c r="E60" s="5">
        <v>4.6056592861328127</v>
      </c>
      <c r="F60" s="5">
        <v>4.720800768286133</v>
      </c>
      <c r="G60" s="5">
        <v>4.8388207874932858</v>
      </c>
      <c r="H60" s="5">
        <v>4.9597913071806179</v>
      </c>
      <c r="I60" s="5">
        <v>5.0837860898601326</v>
      </c>
      <c r="J60" s="5">
        <v>5.2108807421066352</v>
      </c>
      <c r="K60" s="5">
        <v>5.341152760659301</v>
      </c>
      <c r="L60" s="5">
        <v>5.4746815796757833</v>
      </c>
      <c r="M60" s="5">
        <v>5.6115486191676771</v>
      </c>
      <c r="N60" s="5">
        <v>5.7518373346468685</v>
      </c>
      <c r="O60" s="5">
        <v>5.8956332680130394</v>
      </c>
      <c r="P60" s="5">
        <v>6.0430240997133646</v>
      </c>
      <c r="Q60" s="5">
        <v>6.1940997022061985</v>
      </c>
      <c r="R60" s="5">
        <v>6.3489521947613525</v>
      </c>
      <c r="S60" s="5">
        <v>6.5076759996303855</v>
      </c>
      <c r="T60" s="5">
        <v>6.6703678996211444</v>
      </c>
      <c r="U60" s="5">
        <v>6.8371270971116722</v>
      </c>
      <c r="V60" s="5">
        <v>7.0080552745394638</v>
      </c>
      <c r="W60" s="5">
        <v>7.1832566564029499</v>
      </c>
      <c r="X60" s="5">
        <v>7.3628380728130232</v>
      </c>
      <c r="Y60" s="5">
        <v>7.5469090246333481</v>
      </c>
      <c r="Z60" s="5">
        <v>7.7355817502491808</v>
      </c>
      <c r="AA60" s="5">
        <v>7.92897129400541</v>
      </c>
      <c r="AB60" s="5">
        <v>8.127195576355545</v>
      </c>
      <c r="AC60" s="5">
        <v>8.3303754657644333</v>
      </c>
      <c r="AD60" s="5">
        <v>8.5386348524085438</v>
      </c>
    </row>
    <row r="61" spans="1:30" x14ac:dyDescent="0.35">
      <c r="A61" s="88" t="s">
        <v>124</v>
      </c>
      <c r="B61" s="88" t="s">
        <v>126</v>
      </c>
      <c r="C61" s="88" t="s">
        <v>129</v>
      </c>
      <c r="D61" s="5">
        <v>3.7920011132812492</v>
      </c>
      <c r="E61" s="5">
        <v>3.8868011411132799</v>
      </c>
      <c r="F61" s="5">
        <v>3.9839711696411118</v>
      </c>
      <c r="G61" s="5">
        <v>4.0835704488821394</v>
      </c>
      <c r="H61" s="5">
        <v>4.1856597101041926</v>
      </c>
      <c r="I61" s="5">
        <v>4.2903012028567966</v>
      </c>
      <c r="J61" s="5">
        <v>4.397558732928216</v>
      </c>
      <c r="K61" s="5">
        <v>4.5074977012514212</v>
      </c>
      <c r="L61" s="5">
        <v>4.6201851437827059</v>
      </c>
      <c r="M61" s="5">
        <v>4.7356897723772731</v>
      </c>
      <c r="N61" s="5">
        <v>4.8540820166867045</v>
      </c>
      <c r="O61" s="5">
        <v>4.9754340671038717</v>
      </c>
      <c r="P61" s="5">
        <v>5.0998199187814679</v>
      </c>
      <c r="Q61" s="5">
        <v>5.2273154167510043</v>
      </c>
      <c r="R61" s="5">
        <v>5.3579983021697792</v>
      </c>
      <c r="S61" s="5">
        <v>5.4919482597240235</v>
      </c>
      <c r="T61" s="5">
        <v>5.6292469662171234</v>
      </c>
      <c r="U61" s="5">
        <v>5.769978140372551</v>
      </c>
      <c r="V61" s="5">
        <v>5.914227593881864</v>
      </c>
      <c r="W61" s="5">
        <v>6.06208328372891</v>
      </c>
      <c r="X61" s="5">
        <v>6.2136353658221326</v>
      </c>
      <c r="Y61" s="5">
        <v>6.3689762499676856</v>
      </c>
      <c r="Z61" s="5">
        <v>6.5282006562168773</v>
      </c>
      <c r="AA61" s="5">
        <v>6.6914056726222988</v>
      </c>
      <c r="AB61" s="5">
        <v>6.858690814437856</v>
      </c>
      <c r="AC61" s="5">
        <v>7.0301580847988019</v>
      </c>
      <c r="AD61" s="5">
        <v>7.2059120369187717</v>
      </c>
    </row>
    <row r="62" spans="1:30" x14ac:dyDescent="0.35">
      <c r="A62" s="88" t="s">
        <v>127</v>
      </c>
      <c r="B62" s="88" t="s">
        <v>125</v>
      </c>
      <c r="C62" s="88" t="s">
        <v>129</v>
      </c>
      <c r="D62" s="5">
        <v>166.59767191406246</v>
      </c>
      <c r="E62" s="5">
        <v>170.76261371191401</v>
      </c>
      <c r="F62" s="5">
        <v>175.03167905471184</v>
      </c>
      <c r="G62" s="5">
        <v>179.40747103107964</v>
      </c>
      <c r="H62" s="5">
        <v>183.89265780685662</v>
      </c>
      <c r="I62" s="5">
        <v>188.48997425202802</v>
      </c>
      <c r="J62" s="5">
        <v>193.20222360832869</v>
      </c>
      <c r="K62" s="5">
        <v>198.03227919853688</v>
      </c>
      <c r="L62" s="5">
        <v>202.98308617850029</v>
      </c>
      <c r="M62" s="5">
        <v>208.05766333296279</v>
      </c>
      <c r="N62" s="5">
        <v>213.25910491628684</v>
      </c>
      <c r="O62" s="5">
        <v>218.590582539194</v>
      </c>
      <c r="P62" s="5">
        <v>224.05534710267384</v>
      </c>
      <c r="Q62" s="5">
        <v>229.65673078024065</v>
      </c>
      <c r="R62" s="5">
        <v>235.39814904974665</v>
      </c>
      <c r="S62" s="5">
        <v>241.2831027759903</v>
      </c>
      <c r="T62" s="5">
        <v>247.31518034539005</v>
      </c>
      <c r="U62" s="5">
        <v>253.49805985402477</v>
      </c>
      <c r="V62" s="5">
        <v>259.83551135037538</v>
      </c>
      <c r="W62" s="5">
        <v>266.33139913413476</v>
      </c>
      <c r="X62" s="5">
        <v>272.98968411248808</v>
      </c>
      <c r="Y62" s="5">
        <v>279.81442621530027</v>
      </c>
      <c r="Z62" s="5">
        <v>286.80978687068273</v>
      </c>
      <c r="AA62" s="5">
        <v>293.98003154244975</v>
      </c>
      <c r="AB62" s="5">
        <v>301.32953233101097</v>
      </c>
      <c r="AC62" s="5">
        <v>308.86277063928623</v>
      </c>
      <c r="AD62" s="5">
        <v>316.58433990526834</v>
      </c>
    </row>
    <row r="63" spans="1:30" x14ac:dyDescent="0.35">
      <c r="A63" s="88" t="s">
        <v>127</v>
      </c>
      <c r="B63" s="88" t="s">
        <v>126</v>
      </c>
      <c r="C63" s="88" t="s">
        <v>129</v>
      </c>
      <c r="D63" s="5">
        <v>153.83719106445315</v>
      </c>
      <c r="E63" s="5">
        <v>157.68312084106446</v>
      </c>
      <c r="F63" s="5">
        <v>161.62519886209105</v>
      </c>
      <c r="G63" s="5">
        <v>165.6658288336433</v>
      </c>
      <c r="H63" s="5">
        <v>169.80747455448437</v>
      </c>
      <c r="I63" s="5">
        <v>174.05266141834647</v>
      </c>
      <c r="J63" s="5">
        <v>178.40397795380511</v>
      </c>
      <c r="K63" s="5">
        <v>182.86407740265022</v>
      </c>
      <c r="L63" s="5">
        <v>187.43567933771646</v>
      </c>
      <c r="M63" s="5">
        <v>192.12157132115937</v>
      </c>
      <c r="N63" s="5">
        <v>196.92461060418833</v>
      </c>
      <c r="O63" s="5">
        <v>201.84772586929301</v>
      </c>
      <c r="P63" s="5">
        <v>206.89391901602534</v>
      </c>
      <c r="Q63" s="5">
        <v>212.06626699142595</v>
      </c>
      <c r="R63" s="5">
        <v>217.36792366621157</v>
      </c>
      <c r="S63" s="5">
        <v>222.80212175786684</v>
      </c>
      <c r="T63" s="5">
        <v>228.37217480181349</v>
      </c>
      <c r="U63" s="5">
        <v>234.0814791718588</v>
      </c>
      <c r="V63" s="5">
        <v>239.93351615115526</v>
      </c>
      <c r="W63" s="5">
        <v>245.93185405493412</v>
      </c>
      <c r="X63" s="5">
        <v>252.08015040630744</v>
      </c>
      <c r="Y63" s="5">
        <v>258.38215416646511</v>
      </c>
      <c r="Z63" s="5">
        <v>264.8417080206267</v>
      </c>
      <c r="AA63" s="5">
        <v>271.46275072114236</v>
      </c>
      <c r="AB63" s="5">
        <v>278.24931948917089</v>
      </c>
      <c r="AC63" s="5">
        <v>285.20555247640016</v>
      </c>
      <c r="AD63" s="5">
        <v>292.33569128831016</v>
      </c>
    </row>
    <row r="65" spans="1:30" x14ac:dyDescent="0.35">
      <c r="A65" s="88" t="s">
        <v>130</v>
      </c>
      <c r="B65" s="88" t="s">
        <v>31</v>
      </c>
      <c r="C65" s="20">
        <f>NPV('Cost Assumptions'!$B$3,D65:AD65)</f>
        <v>330802.0375703621</v>
      </c>
      <c r="D65" s="5">
        <v>1354.9655166582397</v>
      </c>
      <c r="E65" s="5">
        <v>3468.8297365152371</v>
      </c>
      <c r="F65" s="5">
        <v>5582.6939563722344</v>
      </c>
      <c r="G65" s="5">
        <v>7696.5581762292313</v>
      </c>
      <c r="H65" s="5">
        <v>9810.4223960862291</v>
      </c>
      <c r="I65" s="5">
        <v>11924.286615943227</v>
      </c>
      <c r="J65" s="5">
        <v>6575.4727524326809</v>
      </c>
      <c r="K65" s="5">
        <v>8477.6399854421907</v>
      </c>
      <c r="L65" s="5">
        <v>10379.8072184517</v>
      </c>
      <c r="M65" s="5">
        <v>12281.974451461207</v>
      </c>
      <c r="N65" s="5">
        <v>14184.14168447072</v>
      </c>
      <c r="O65" s="5">
        <v>49467.349000081798</v>
      </c>
      <c r="P65" s="5">
        <v>57099.231272561454</v>
      </c>
      <c r="Q65" s="5">
        <v>64731.113545041109</v>
      </c>
      <c r="R65" s="5">
        <v>72362.995817520772</v>
      </c>
      <c r="S65" s="5">
        <v>79994.87809000042</v>
      </c>
      <c r="T65" s="5">
        <v>87626.760362480098</v>
      </c>
      <c r="U65" s="5">
        <v>99946.624454824138</v>
      </c>
      <c r="V65" s="5">
        <v>112266.48854716821</v>
      </c>
      <c r="W65" s="5">
        <v>124586.35263951228</v>
      </c>
      <c r="X65" s="5">
        <v>136906.21673185634</v>
      </c>
      <c r="Y65" s="5">
        <v>149226.0808242003</v>
      </c>
      <c r="Z65" s="5">
        <v>164815.03285744414</v>
      </c>
      <c r="AA65" s="5">
        <v>180403.98489068798</v>
      </c>
      <c r="AB65" s="5">
        <v>195992.93692393205</v>
      </c>
      <c r="AC65" s="5">
        <v>211581.88895717612</v>
      </c>
      <c r="AD65" s="5">
        <v>227170.84099041973</v>
      </c>
    </row>
    <row r="66" spans="1:30" x14ac:dyDescent="0.35">
      <c r="A66" s="88" t="s">
        <v>132</v>
      </c>
      <c r="B66" s="88" t="s">
        <v>31</v>
      </c>
      <c r="C66" s="20">
        <f>NPV('Cost Assumptions'!$B$3,D66:AD66)</f>
        <v>1372658.3670840412</v>
      </c>
      <c r="D66" s="5">
        <v>5622.4102100812415</v>
      </c>
      <c r="E66" s="5">
        <v>14393.85983468976</v>
      </c>
      <c r="F66" s="5">
        <v>23165.309459298278</v>
      </c>
      <c r="G66" s="5">
        <v>31936.759083906796</v>
      </c>
      <c r="H66" s="5">
        <v>40708.208708515318</v>
      </c>
      <c r="I66" s="5">
        <v>49479.658333123836</v>
      </c>
      <c r="J66" s="5">
        <v>27284.831004827258</v>
      </c>
      <c r="K66" s="5">
        <v>35177.846982481962</v>
      </c>
      <c r="L66" s="5">
        <v>43070.862960136656</v>
      </c>
      <c r="M66" s="5">
        <v>50963.878937791349</v>
      </c>
      <c r="N66" s="5">
        <v>58856.894915446028</v>
      </c>
      <c r="O66" s="5">
        <v>205264.06367126989</v>
      </c>
      <c r="P66" s="5">
        <v>236932.45100909373</v>
      </c>
      <c r="Q66" s="5">
        <v>268600.83834691753</v>
      </c>
      <c r="R66" s="5">
        <v>300269.2256847414</v>
      </c>
      <c r="S66" s="5">
        <v>331937.61302256526</v>
      </c>
      <c r="T66" s="5">
        <v>363606.00036038901</v>
      </c>
      <c r="U66" s="5">
        <v>414727.10182608757</v>
      </c>
      <c r="V66" s="5">
        <v>465848.2032917859</v>
      </c>
      <c r="W66" s="5">
        <v>516969.30475748423</v>
      </c>
      <c r="X66" s="5">
        <v>568090.40622318257</v>
      </c>
      <c r="Y66" s="5">
        <v>619211.50768888136</v>
      </c>
      <c r="Z66" s="5">
        <v>683897.64323891606</v>
      </c>
      <c r="AA66" s="5">
        <v>748583.77878895029</v>
      </c>
      <c r="AB66" s="5">
        <v>813269.91433898453</v>
      </c>
      <c r="AC66" s="5">
        <v>877956.04988901876</v>
      </c>
      <c r="AD66" s="5">
        <v>942642.18543905392</v>
      </c>
    </row>
    <row r="67" spans="1:30" x14ac:dyDescent="0.35">
      <c r="A67" s="88" t="s">
        <v>24</v>
      </c>
      <c r="B67" s="88" t="s">
        <v>31</v>
      </c>
      <c r="C67" s="20">
        <f>NPV('Cost Assumptions'!$B$3,D67:AD67)</f>
        <v>1703460.4046544028</v>
      </c>
      <c r="D67" s="5">
        <f>SUM(D65:D66)</f>
        <v>6977.3757267394813</v>
      </c>
      <c r="E67" s="5">
        <f t="shared" ref="E67:AD67" si="37">SUM(E65:E66)</f>
        <v>17862.689571204995</v>
      </c>
      <c r="F67" s="5">
        <f t="shared" si="37"/>
        <v>28748.003415670511</v>
      </c>
      <c r="G67" s="5">
        <f t="shared" si="37"/>
        <v>39633.317260136027</v>
      </c>
      <c r="H67" s="5">
        <f t="shared" si="37"/>
        <v>50518.631104601547</v>
      </c>
      <c r="I67" s="5">
        <f t="shared" si="37"/>
        <v>61403.944949067067</v>
      </c>
      <c r="J67" s="5">
        <f t="shared" si="37"/>
        <v>33860.303757259942</v>
      </c>
      <c r="K67" s="5">
        <f t="shared" si="37"/>
        <v>43655.486967924153</v>
      </c>
      <c r="L67" s="5">
        <f t="shared" si="37"/>
        <v>53450.670178588356</v>
      </c>
      <c r="M67" s="5">
        <f t="shared" si="37"/>
        <v>63245.853389252559</v>
      </c>
      <c r="N67" s="5">
        <f t="shared" si="37"/>
        <v>73041.036599916755</v>
      </c>
      <c r="O67" s="5">
        <f t="shared" si="37"/>
        <v>254731.41267135169</v>
      </c>
      <c r="P67" s="5">
        <f t="shared" si="37"/>
        <v>294031.6822816552</v>
      </c>
      <c r="Q67" s="5">
        <f t="shared" si="37"/>
        <v>333331.95189195866</v>
      </c>
      <c r="R67" s="5">
        <f t="shared" si="37"/>
        <v>372632.22150226217</v>
      </c>
      <c r="S67" s="5">
        <f t="shared" si="37"/>
        <v>411932.49111256568</v>
      </c>
      <c r="T67" s="5">
        <f t="shared" si="37"/>
        <v>451232.76072286908</v>
      </c>
      <c r="U67" s="5">
        <f t="shared" si="37"/>
        <v>514673.72628091171</v>
      </c>
      <c r="V67" s="5">
        <f t="shared" si="37"/>
        <v>578114.69183895411</v>
      </c>
      <c r="W67" s="5">
        <f t="shared" si="37"/>
        <v>641555.65739699651</v>
      </c>
      <c r="X67" s="5">
        <f t="shared" si="37"/>
        <v>704996.62295503891</v>
      </c>
      <c r="Y67" s="5">
        <f t="shared" si="37"/>
        <v>768437.58851308166</v>
      </c>
      <c r="Z67" s="5">
        <f t="shared" si="37"/>
        <v>848712.6760963602</v>
      </c>
      <c r="AA67" s="5">
        <f t="shared" si="37"/>
        <v>928987.76367963827</v>
      </c>
      <c r="AB67" s="5">
        <f t="shared" si="37"/>
        <v>1009262.8512629166</v>
      </c>
      <c r="AC67" s="5">
        <f t="shared" si="37"/>
        <v>1089537.9388461949</v>
      </c>
      <c r="AD67" s="5">
        <f t="shared" si="37"/>
        <v>1169813.0264294737</v>
      </c>
    </row>
    <row r="68" spans="1:30" x14ac:dyDescent="0.35">
      <c r="A68" s="88"/>
      <c r="B68" s="88"/>
      <c r="C68" s="8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x14ac:dyDescent="0.35">
      <c r="A69" s="88" t="s">
        <v>133</v>
      </c>
      <c r="B69" s="88" t="s">
        <v>31</v>
      </c>
      <c r="C69" s="20">
        <f>NPV('Cost Assumptions'!$B$3,D69:AD69)</f>
        <v>42913199.004994877</v>
      </c>
      <c r="D69" s="5">
        <v>160316.96625268596</v>
      </c>
      <c r="E69" s="5">
        <v>426669.25690772623</v>
      </c>
      <c r="F69" s="5">
        <v>622795.96524369309</v>
      </c>
      <c r="G69" s="5">
        <v>833703.43870740035</v>
      </c>
      <c r="H69" s="5">
        <v>1064554.7712044911</v>
      </c>
      <c r="I69" s="5">
        <v>1155250.6032801536</v>
      </c>
      <c r="J69" s="5">
        <v>1567814.7930424134</v>
      </c>
      <c r="K69" s="5">
        <v>2064587.6916558424</v>
      </c>
      <c r="L69" s="5">
        <v>2485972.1963254735</v>
      </c>
      <c r="M69" s="5">
        <v>2783272.4263315573</v>
      </c>
      <c r="N69" s="5">
        <v>3299814.5354174413</v>
      </c>
      <c r="O69" s="5">
        <v>3850475.7391594169</v>
      </c>
      <c r="P69" s="5">
        <v>4764443.8119956469</v>
      </c>
      <c r="Q69" s="5">
        <v>5617653.6872675493</v>
      </c>
      <c r="R69" s="5">
        <v>7300816.1569148097</v>
      </c>
      <c r="S69" s="5">
        <v>8958125.9120632</v>
      </c>
      <c r="T69" s="5">
        <v>11109103.18734125</v>
      </c>
      <c r="U69" s="5">
        <v>13759603.474811984</v>
      </c>
      <c r="V69" s="5">
        <v>15118498.409466818</v>
      </c>
      <c r="W69" s="5">
        <v>16912226.09026137</v>
      </c>
      <c r="X69" s="5">
        <v>19008392.849589877</v>
      </c>
      <c r="Y69" s="5">
        <v>20850199.431426451</v>
      </c>
      <c r="Z69" s="5">
        <v>23097789.210402943</v>
      </c>
      <c r="AA69" s="5">
        <v>25029337.393503718</v>
      </c>
      <c r="AB69" s="5">
        <v>27483197.314490687</v>
      </c>
      <c r="AC69" s="5">
        <v>29116974.708075665</v>
      </c>
      <c r="AD69" s="5">
        <v>30682016.88592083</v>
      </c>
    </row>
    <row r="70" spans="1:30" x14ac:dyDescent="0.35">
      <c r="A70" s="88" t="s">
        <v>134</v>
      </c>
      <c r="B70" s="88" t="s">
        <v>31</v>
      </c>
      <c r="C70" s="20">
        <f>NPV('Cost Assumptions'!$B$3,D70:AD70)</f>
        <v>188176890.7797347</v>
      </c>
      <c r="D70" s="5">
        <v>903378.82566768141</v>
      </c>
      <c r="E70" s="5">
        <v>2253314.5961599764</v>
      </c>
      <c r="F70" s="5">
        <v>3310509.516156707</v>
      </c>
      <c r="G70" s="5">
        <v>4447440.2170750583</v>
      </c>
      <c r="H70" s="5">
        <v>5587242.1815372296</v>
      </c>
      <c r="I70" s="5">
        <v>5454561.6522228802</v>
      </c>
      <c r="J70" s="5">
        <v>7543245.1947770724</v>
      </c>
      <c r="K70" s="5">
        <v>10054559.779896669</v>
      </c>
      <c r="L70" s="5">
        <v>11610814.214658689</v>
      </c>
      <c r="M70" s="5">
        <v>12127941.506525969</v>
      </c>
      <c r="N70" s="5">
        <v>14063799.270800794</v>
      </c>
      <c r="O70" s="5">
        <v>15899598.868354479</v>
      </c>
      <c r="P70" s="5">
        <v>19454125.77607188</v>
      </c>
      <c r="Q70" s="5">
        <v>23045089.42979937</v>
      </c>
      <c r="R70" s="5">
        <v>31037650.671515547</v>
      </c>
      <c r="S70" s="5">
        <v>38384584.337062925</v>
      </c>
      <c r="T70" s="5">
        <v>49073605.102826297</v>
      </c>
      <c r="U70" s="5">
        <v>62880257.378826343</v>
      </c>
      <c r="V70" s="5">
        <v>66526514.790880285</v>
      </c>
      <c r="W70" s="5">
        <v>73442916.938743472</v>
      </c>
      <c r="X70" s="5">
        <v>81895863.105665073</v>
      </c>
      <c r="Y70" s="5">
        <v>90034005.751607254</v>
      </c>
      <c r="Z70" s="5">
        <v>99109903.549020439</v>
      </c>
      <c r="AA70" s="5">
        <v>106506996.707917</v>
      </c>
      <c r="AB70" s="5">
        <v>116614633.5577703</v>
      </c>
      <c r="AC70" s="5">
        <v>123886576.86163485</v>
      </c>
      <c r="AD70" s="5">
        <v>128435949.8578904</v>
      </c>
    </row>
    <row r="71" spans="1:30" x14ac:dyDescent="0.35">
      <c r="A71" s="88" t="s">
        <v>24</v>
      </c>
      <c r="B71" s="88" t="s">
        <v>31</v>
      </c>
      <c r="C71" s="20">
        <f>NPV('Cost Assumptions'!$B$3,D71:AD71)</f>
        <v>231090089.78472951</v>
      </c>
      <c r="D71" s="5">
        <f>SUM(D69:D70)</f>
        <v>1063695.7919203674</v>
      </c>
      <c r="E71" s="5">
        <f t="shared" ref="E71:AD71" si="38">SUM(E69:E70)</f>
        <v>2679983.8530677026</v>
      </c>
      <c r="F71" s="5">
        <f t="shared" si="38"/>
        <v>3933305.4814003999</v>
      </c>
      <c r="G71" s="5">
        <f t="shared" si="38"/>
        <v>5281143.6557824584</v>
      </c>
      <c r="H71" s="5">
        <f t="shared" si="38"/>
        <v>6651796.9527417207</v>
      </c>
      <c r="I71" s="5">
        <f t="shared" si="38"/>
        <v>6609812.2555030342</v>
      </c>
      <c r="J71" s="5">
        <f t="shared" si="38"/>
        <v>9111059.9878194854</v>
      </c>
      <c r="K71" s="5">
        <f t="shared" si="38"/>
        <v>12119147.471552512</v>
      </c>
      <c r="L71" s="5">
        <f t="shared" si="38"/>
        <v>14096786.410984162</v>
      </c>
      <c r="M71" s="5">
        <f t="shared" si="38"/>
        <v>14911213.932857526</v>
      </c>
      <c r="N71" s="5">
        <f t="shared" si="38"/>
        <v>17363613.806218237</v>
      </c>
      <c r="O71" s="5">
        <f t="shared" si="38"/>
        <v>19750074.607513897</v>
      </c>
      <c r="P71" s="5">
        <f t="shared" si="38"/>
        <v>24218569.588067528</v>
      </c>
      <c r="Q71" s="5">
        <f t="shared" si="38"/>
        <v>28662743.11706692</v>
      </c>
      <c r="R71" s="5">
        <f t="shared" si="38"/>
        <v>38338466.828430355</v>
      </c>
      <c r="S71" s="5">
        <f t="shared" si="38"/>
        <v>47342710.249126121</v>
      </c>
      <c r="T71" s="5">
        <f t="shared" si="38"/>
        <v>60182708.290167548</v>
      </c>
      <c r="U71" s="5">
        <f t="shared" si="38"/>
        <v>76639860.853638321</v>
      </c>
      <c r="V71" s="5">
        <f t="shared" si="38"/>
        <v>81645013.200347096</v>
      </c>
      <c r="W71" s="5">
        <f t="shared" si="38"/>
        <v>90355143.029004842</v>
      </c>
      <c r="X71" s="5">
        <f t="shared" si="38"/>
        <v>100904255.95525494</v>
      </c>
      <c r="Y71" s="5">
        <f t="shared" si="38"/>
        <v>110884205.1830337</v>
      </c>
      <c r="Z71" s="5">
        <f t="shared" si="38"/>
        <v>122207692.75942338</v>
      </c>
      <c r="AA71" s="5">
        <f t="shared" si="38"/>
        <v>131536334.10142073</v>
      </c>
      <c r="AB71" s="5">
        <f t="shared" si="38"/>
        <v>144097830.87226099</v>
      </c>
      <c r="AC71" s="5">
        <f t="shared" si="38"/>
        <v>153003551.56971052</v>
      </c>
      <c r="AD71" s="5">
        <f t="shared" si="38"/>
        <v>159117966.74381122</v>
      </c>
    </row>
    <row r="72" spans="1:30" x14ac:dyDescent="0.3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</row>
    <row r="73" spans="1:30" x14ac:dyDescent="0.35">
      <c r="A73" s="88" t="s">
        <v>130</v>
      </c>
      <c r="B73" s="88" t="s">
        <v>157</v>
      </c>
      <c r="C73" s="20">
        <f>NPV('Cost Assumptions'!$B$3,D73:AD73)</f>
        <v>592582122.98671484</v>
      </c>
      <c r="D73" s="63">
        <v>13206640.153751392</v>
      </c>
      <c r="E73" s="63">
        <v>17999839.332969867</v>
      </c>
      <c r="F73" s="63">
        <v>23024444.321053173</v>
      </c>
      <c r="G73" s="63">
        <v>28289029.658957537</v>
      </c>
      <c r="H73" s="63">
        <v>33802453.986056462</v>
      </c>
      <c r="I73" s="63">
        <v>39573868.885973476</v>
      </c>
      <c r="J73" s="63">
        <v>45612727.997145057</v>
      </c>
      <c r="K73" s="63">
        <v>51928796.395821489</v>
      </c>
      <c r="L73" s="63">
        <v>58532160.259433523</v>
      </c>
      <c r="M73" s="63">
        <v>65433236.818478763</v>
      </c>
      <c r="N73" s="63">
        <v>72642784.605314136</v>
      </c>
      <c r="O73" s="63">
        <v>80171914.008479714</v>
      </c>
      <c r="P73" s="63">
        <v>88032098.141425237</v>
      </c>
      <c r="Q73" s="63">
        <v>96235184.034762755</v>
      </c>
      <c r="R73" s="63">
        <v>104793404.16142873</v>
      </c>
      <c r="S73" s="63">
        <v>113719388.30440629</v>
      </c>
      <c r="T73" s="63">
        <v>123026175.77693181</v>
      </c>
      <c r="U73" s="63">
        <v>132727228.00539337</v>
      </c>
      <c r="V73" s="63">
        <v>142836441.48541746</v>
      </c>
      <c r="W73" s="63">
        <v>153368161.12193933</v>
      </c>
      <c r="X73" s="63">
        <v>164337193.96435893</v>
      </c>
      <c r="Y73" s="63">
        <v>175758823.34819829</v>
      </c>
      <c r="Z73" s="63">
        <v>187648823.45500189</v>
      </c>
      <c r="AA73" s="63">
        <v>200023474.30255306</v>
      </c>
      <c r="AB73" s="63">
        <v>212899577.17782241</v>
      </c>
      <c r="AC73" s="63">
        <v>226294470.52541611</v>
      </c>
      <c r="AD73" s="63">
        <v>240226046.30465347</v>
      </c>
    </row>
    <row r="74" spans="1:30" x14ac:dyDescent="0.35">
      <c r="A74" s="88" t="s">
        <v>132</v>
      </c>
      <c r="B74" s="88" t="s">
        <v>157</v>
      </c>
      <c r="C74" s="20">
        <f>NPV('Cost Assumptions'!$B$3,D74:AD74)</f>
        <v>2441220581.3554935</v>
      </c>
      <c r="D74" s="63">
        <v>54406504.184427761</v>
      </c>
      <c r="E74" s="63">
        <v>74152723.371513724</v>
      </c>
      <c r="F74" s="63">
        <v>94852249.452838719</v>
      </c>
      <c r="G74" s="63">
        <v>116540406.38612278</v>
      </c>
      <c r="H74" s="63">
        <v>139253688.51016301</v>
      </c>
      <c r="I74" s="63">
        <v>163029796.98641393</v>
      </c>
      <c r="J74" s="63">
        <v>187907677.33115849</v>
      </c>
      <c r="K74" s="63">
        <v>213927558.07002383</v>
      </c>
      <c r="L74" s="63">
        <v>241130990.5475004</v>
      </c>
      <c r="M74" s="63">
        <v>269560889.92505705</v>
      </c>
      <c r="N74" s="63">
        <v>299261577.40239936</v>
      </c>
      <c r="O74" s="63">
        <v>330278823.69740564</v>
      </c>
      <c r="P74" s="63">
        <v>362659893.82128572</v>
      </c>
      <c r="Q74" s="63">
        <v>396453593.18654889</v>
      </c>
      <c r="R74" s="63">
        <v>431710315.08643693</v>
      </c>
      <c r="S74" s="63">
        <v>468482089.58557767</v>
      </c>
      <c r="T74" s="63">
        <v>506822633.86274654</v>
      </c>
      <c r="U74" s="63">
        <v>546787404.04778278</v>
      </c>
      <c r="V74" s="63">
        <v>588433648.59590673</v>
      </c>
      <c r="W74" s="63">
        <v>631820463.24390686</v>
      </c>
      <c r="X74" s="63">
        <v>677008847.59393454</v>
      </c>
      <c r="Y74" s="63">
        <v>724061763.3719362</v>
      </c>
      <c r="Z74" s="63">
        <v>773044194.40909171</v>
      </c>
      <c r="AA74" s="63">
        <v>824023208.39599752</v>
      </c>
      <c r="AB74" s="63">
        <v>877068020.46074295</v>
      </c>
      <c r="AC74" s="63">
        <v>932250058.62347806</v>
      </c>
      <c r="AD74" s="63">
        <v>989643031.18156254</v>
      </c>
    </row>
    <row r="75" spans="1:30" x14ac:dyDescent="0.35">
      <c r="A75" s="88" t="s">
        <v>24</v>
      </c>
      <c r="B75" s="88" t="s">
        <v>157</v>
      </c>
      <c r="C75" s="20">
        <f>NPV('Cost Assumptions'!$B$3,D75:AD75)</f>
        <v>3033802704.3422079</v>
      </c>
      <c r="D75" s="63">
        <f>SUM(D73:D74)</f>
        <v>67613144.338179156</v>
      </c>
      <c r="E75" s="63">
        <f t="shared" ref="E75:AD75" si="39">SUM(E73:E74)</f>
        <v>92152562.704483598</v>
      </c>
      <c r="F75" s="63">
        <f t="shared" si="39"/>
        <v>117876693.7738919</v>
      </c>
      <c r="G75" s="63">
        <f t="shared" si="39"/>
        <v>144829436.0450803</v>
      </c>
      <c r="H75" s="63">
        <f t="shared" si="39"/>
        <v>173056142.49621946</v>
      </c>
      <c r="I75" s="63">
        <f t="shared" si="39"/>
        <v>202603665.87238741</v>
      </c>
      <c r="J75" s="63">
        <f t="shared" si="39"/>
        <v>233520405.32830355</v>
      </c>
      <c r="K75" s="63">
        <f t="shared" si="39"/>
        <v>265856354.46584532</v>
      </c>
      <c r="L75" s="63">
        <f t="shared" si="39"/>
        <v>299663150.80693394</v>
      </c>
      <c r="M75" s="63">
        <f t="shared" si="39"/>
        <v>334994126.74353582</v>
      </c>
      <c r="N75" s="63">
        <f t="shared" si="39"/>
        <v>371904362.0077135</v>
      </c>
      <c r="O75" s="63">
        <f t="shared" si="39"/>
        <v>410450737.70588535</v>
      </c>
      <c r="P75" s="63">
        <f t="shared" si="39"/>
        <v>450691991.96271098</v>
      </c>
      <c r="Q75" s="63">
        <f t="shared" si="39"/>
        <v>492688777.22131163</v>
      </c>
      <c r="R75" s="63">
        <f t="shared" si="39"/>
        <v>536503719.24786568</v>
      </c>
      <c r="S75" s="63">
        <f t="shared" si="39"/>
        <v>582201477.88998389</v>
      </c>
      <c r="T75" s="63">
        <f t="shared" si="39"/>
        <v>629848809.63967836</v>
      </c>
      <c r="U75" s="63">
        <f t="shared" si="39"/>
        <v>679514632.05317616</v>
      </c>
      <c r="V75" s="63">
        <f t="shared" si="39"/>
        <v>731270090.08132422</v>
      </c>
      <c r="W75" s="63">
        <f t="shared" si="39"/>
        <v>785188624.36584616</v>
      </c>
      <c r="X75" s="63">
        <f t="shared" si="39"/>
        <v>841346041.55829346</v>
      </c>
      <c r="Y75" s="63">
        <f t="shared" si="39"/>
        <v>899820586.7201345</v>
      </c>
      <c r="Z75" s="63">
        <f t="shared" si="39"/>
        <v>960693017.86409354</v>
      </c>
      <c r="AA75" s="63">
        <f t="shared" si="39"/>
        <v>1024046682.6985506</v>
      </c>
      <c r="AB75" s="63">
        <f t="shared" si="39"/>
        <v>1089967597.6385653</v>
      </c>
      <c r="AC75" s="63">
        <f t="shared" si="39"/>
        <v>1158544529.1488941</v>
      </c>
      <c r="AD75" s="63">
        <f t="shared" si="39"/>
        <v>1229869077.4862161</v>
      </c>
    </row>
    <row r="76" spans="1:30" x14ac:dyDescent="0.35">
      <c r="A76" s="88"/>
      <c r="B76" s="88"/>
      <c r="C76" s="20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x14ac:dyDescent="0.35">
      <c r="A77" s="88" t="s">
        <v>130</v>
      </c>
      <c r="B77" s="88" t="s">
        <v>164</v>
      </c>
      <c r="C77" s="20">
        <f>NPV('Cost Assumptions'!$B$3,D77:AD77)</f>
        <v>21151039.854575124</v>
      </c>
      <c r="D77" s="63">
        <v>1821817.6563125174</v>
      </c>
      <c r="E77" s="63">
        <v>1874229.1638695663</v>
      </c>
      <c r="F77" s="63">
        <v>1924426.6233829418</v>
      </c>
      <c r="G77" s="63">
        <v>1976056.9999290032</v>
      </c>
      <c r="H77" s="63">
        <v>2029252.7654449297</v>
      </c>
      <c r="I77" s="63">
        <v>2084442.8881359028</v>
      </c>
      <c r="J77" s="63">
        <v>2141123.4400525652</v>
      </c>
      <c r="K77" s="63">
        <v>2200441.4029759886</v>
      </c>
      <c r="L77" s="63">
        <v>2261489.6556216711</v>
      </c>
      <c r="M77" s="63">
        <v>2324496.6899228725</v>
      </c>
      <c r="N77" s="63">
        <v>2389327.7039498058</v>
      </c>
      <c r="O77" s="63">
        <v>2456039.1618276234</v>
      </c>
      <c r="P77" s="63">
        <v>2524698.7031610729</v>
      </c>
      <c r="Q77" s="63">
        <v>2595081.3883480201</v>
      </c>
      <c r="R77" s="63">
        <v>2667470.4004983227</v>
      </c>
      <c r="S77" s="63">
        <v>2741907.1843838301</v>
      </c>
      <c r="T77" s="63">
        <v>2818488.8740460086</v>
      </c>
      <c r="U77" s="63">
        <v>2896493.7185313758</v>
      </c>
      <c r="V77" s="63">
        <v>2976616.2586577423</v>
      </c>
      <c r="W77" s="63">
        <v>3058888.7651962545</v>
      </c>
      <c r="X77" s="63">
        <v>3143420.8877660697</v>
      </c>
      <c r="Y77" s="63">
        <v>3229057.5446409914</v>
      </c>
      <c r="Z77" s="63">
        <v>3316835.999712484</v>
      </c>
      <c r="AA77" s="63">
        <v>3406751.1712449212</v>
      </c>
      <c r="AB77" s="63">
        <v>3498895.7769116103</v>
      </c>
      <c r="AC77" s="63">
        <v>3591780.1306242421</v>
      </c>
      <c r="AD77" s="63">
        <v>3686632.4073452442</v>
      </c>
    </row>
    <row r="78" spans="1:30" x14ac:dyDescent="0.35">
      <c r="A78" s="88" t="s">
        <v>132</v>
      </c>
      <c r="B78" s="88" t="s">
        <v>164</v>
      </c>
      <c r="C78" s="20">
        <f>NPV('Cost Assumptions'!$B$3,D78:AD78)</f>
        <v>95341526.138148576</v>
      </c>
      <c r="D78" s="63">
        <v>8212119.9190445021</v>
      </c>
      <c r="E78" s="63">
        <v>8448372.7535172869</v>
      </c>
      <c r="F78" s="63">
        <v>8674645.4299988579</v>
      </c>
      <c r="G78" s="63">
        <v>8907377.1977433152</v>
      </c>
      <c r="H78" s="63">
        <v>9147165.1941371877</v>
      </c>
      <c r="I78" s="63">
        <v>9395943.0585489422</v>
      </c>
      <c r="J78" s="63">
        <v>9651439.2591727711</v>
      </c>
      <c r="K78" s="63">
        <v>9918823.9906757921</v>
      </c>
      <c r="L78" s="63">
        <v>10194008.266027045</v>
      </c>
      <c r="M78" s="63">
        <v>10478022.047336046</v>
      </c>
      <c r="N78" s="63">
        <v>10770257.694420531</v>
      </c>
      <c r="O78" s="63">
        <v>11070969.727904603</v>
      </c>
      <c r="P78" s="63">
        <v>11380463.043584798</v>
      </c>
      <c r="Q78" s="63">
        <v>11697723.692023929</v>
      </c>
      <c r="R78" s="63">
        <v>12024028.1641206</v>
      </c>
      <c r="S78" s="63">
        <v>12359563.278481638</v>
      </c>
      <c r="T78" s="63">
        <v>12704766.88155891</v>
      </c>
      <c r="U78" s="63">
        <v>13056385.57125634</v>
      </c>
      <c r="V78" s="63">
        <v>13417550.095848754</v>
      </c>
      <c r="W78" s="63">
        <v>13788405.920740783</v>
      </c>
      <c r="X78" s="63">
        <v>14169447.308252512</v>
      </c>
      <c r="Y78" s="63">
        <v>14555467.551983356</v>
      </c>
      <c r="Z78" s="63">
        <v>14951142.27654092</v>
      </c>
      <c r="AA78" s="63">
        <v>15356448.575229663</v>
      </c>
      <c r="AB78" s="63">
        <v>15771804.387050886</v>
      </c>
      <c r="AC78" s="63">
        <v>16190494.725597167</v>
      </c>
      <c r="AD78" s="63">
        <v>16618055.776138244</v>
      </c>
    </row>
    <row r="79" spans="1:30" ht="29" x14ac:dyDescent="0.35">
      <c r="A79" s="3" t="s">
        <v>159</v>
      </c>
      <c r="B79" s="88" t="s">
        <v>164</v>
      </c>
      <c r="C79" s="20">
        <f>NPV('Cost Assumptions'!$B$3,D79:AD79)</f>
        <v>116492565.99272367</v>
      </c>
      <c r="D79" s="63">
        <f>SUM(D77:D78)</f>
        <v>10033937.57535702</v>
      </c>
      <c r="E79" s="63">
        <f t="shared" ref="E79:AD79" si="40">SUM(E77:E78)</f>
        <v>10322601.917386852</v>
      </c>
      <c r="F79" s="63">
        <f t="shared" si="40"/>
        <v>10599072.053381801</v>
      </c>
      <c r="G79" s="63">
        <f t="shared" si="40"/>
        <v>10883434.197672319</v>
      </c>
      <c r="H79" s="63">
        <f t="shared" si="40"/>
        <v>11176417.959582116</v>
      </c>
      <c r="I79" s="63">
        <f t="shared" si="40"/>
        <v>11480385.946684845</v>
      </c>
      <c r="J79" s="63">
        <f t="shared" si="40"/>
        <v>11792562.699225336</v>
      </c>
      <c r="K79" s="63">
        <f t="shared" si="40"/>
        <v>12119265.39365178</v>
      </c>
      <c r="L79" s="63">
        <f t="shared" si="40"/>
        <v>12455497.921648715</v>
      </c>
      <c r="M79" s="63">
        <f t="shared" si="40"/>
        <v>12802518.737258919</v>
      </c>
      <c r="N79" s="63">
        <f t="shared" si="40"/>
        <v>13159585.398370337</v>
      </c>
      <c r="O79" s="63">
        <f t="shared" si="40"/>
        <v>13527008.889732227</v>
      </c>
      <c r="P79" s="63">
        <f t="shared" si="40"/>
        <v>13905161.74674587</v>
      </c>
      <c r="Q79" s="63">
        <f t="shared" si="40"/>
        <v>14292805.08037195</v>
      </c>
      <c r="R79" s="63">
        <f t="shared" si="40"/>
        <v>14691498.564618923</v>
      </c>
      <c r="S79" s="63">
        <f t="shared" si="40"/>
        <v>15101470.462865468</v>
      </c>
      <c r="T79" s="63">
        <f t="shared" si="40"/>
        <v>15523255.755604919</v>
      </c>
      <c r="U79" s="63">
        <f t="shared" si="40"/>
        <v>15952879.289787715</v>
      </c>
      <c r="V79" s="63">
        <f t="shared" si="40"/>
        <v>16394166.354506496</v>
      </c>
      <c r="W79" s="63">
        <f t="shared" si="40"/>
        <v>16847294.68593704</v>
      </c>
      <c r="X79" s="63">
        <f t="shared" si="40"/>
        <v>17312868.19601858</v>
      </c>
      <c r="Y79" s="63">
        <f t="shared" si="40"/>
        <v>17784525.096624348</v>
      </c>
      <c r="Z79" s="63">
        <f t="shared" si="40"/>
        <v>18267978.276253402</v>
      </c>
      <c r="AA79" s="63">
        <f t="shared" si="40"/>
        <v>18763199.746474586</v>
      </c>
      <c r="AB79" s="63">
        <f t="shared" si="40"/>
        <v>19270700.163962495</v>
      </c>
      <c r="AC79" s="63">
        <f t="shared" si="40"/>
        <v>19782274.856221408</v>
      </c>
      <c r="AD79" s="63">
        <f t="shared" si="40"/>
        <v>20304688.183483489</v>
      </c>
    </row>
    <row r="80" spans="1:30" x14ac:dyDescent="0.35">
      <c r="A80" s="3"/>
      <c r="B80" s="88"/>
      <c r="C80" s="2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ht="29" x14ac:dyDescent="0.35">
      <c r="A81" s="3" t="s">
        <v>160</v>
      </c>
      <c r="B81" s="88" t="s">
        <v>161</v>
      </c>
      <c r="C81" s="20">
        <f>NPV('Cost Assumptions'!$B$3,D81:AD81)</f>
        <v>164515733.15861705</v>
      </c>
      <c r="D81" s="63">
        <f>('Baseline System Analysis'!D42-D36)</f>
        <v>10482499.499520168</v>
      </c>
      <c r="E81" s="63">
        <f>('Baseline System Analysis'!E42-E36)</f>
        <v>11411281.580639385</v>
      </c>
      <c r="F81" s="63">
        <f>('Baseline System Analysis'!F42-F36)</f>
        <v>12010926.267791424</v>
      </c>
      <c r="G81" s="63">
        <f>('Baseline System Analysis'!G42-G36)</f>
        <v>12686198.578203633</v>
      </c>
      <c r="H81" s="63">
        <f>('Baseline System Analysis'!H42-H36)</f>
        <v>13366610.487789944</v>
      </c>
      <c r="I81" s="63">
        <f>('Baseline System Analysis'!I42-I36)</f>
        <v>14080247.587244794</v>
      </c>
      <c r="J81" s="63">
        <f>('Baseline System Analysis'!J42-J36)</f>
        <v>14863873.509232217</v>
      </c>
      <c r="K81" s="63">
        <f>('Baseline System Analysis'!K42-K36)</f>
        <v>15871452.418092538</v>
      </c>
      <c r="L81" s="63">
        <f>('Baseline System Analysis'!L42-L36)</f>
        <v>16898479.650319021</v>
      </c>
      <c r="M81" s="63">
        <f>('Baseline System Analysis'!M42-M36)</f>
        <v>17980157.852113411</v>
      </c>
      <c r="N81" s="63">
        <f>('Baseline System Analysis'!N42-N36)</f>
        <v>18826641.161108099</v>
      </c>
      <c r="O81" s="63">
        <f>('Baseline System Analysis'!O42-O36)</f>
        <v>19952252.805206984</v>
      </c>
      <c r="P81" s="63">
        <f>('Baseline System Analysis'!P42-P36)</f>
        <v>21242518.619887158</v>
      </c>
      <c r="Q81" s="63">
        <f>('Baseline System Analysis'!Q42-Q36)</f>
        <v>22470884.088553119</v>
      </c>
      <c r="R81" s="63">
        <f>('Baseline System Analysis'!R42-R36)</f>
        <v>23660493.911319382</v>
      </c>
      <c r="S81" s="63">
        <f>('Baseline System Analysis'!S42-S36)</f>
        <v>25212246.281766243</v>
      </c>
      <c r="T81" s="63">
        <f>('Baseline System Analysis'!T42-T36)</f>
        <v>26640928.001924209</v>
      </c>
      <c r="U81" s="63">
        <f>('Baseline System Analysis'!U42-U36)</f>
        <v>27859168.10085424</v>
      </c>
      <c r="V81" s="63">
        <f>('Baseline System Analysis'!V42-V36)</f>
        <v>29591187.323598169</v>
      </c>
      <c r="W81" s="63">
        <f>('Baseline System Analysis'!W42-W36)</f>
        <v>31208235.749158695</v>
      </c>
      <c r="X81" s="63">
        <f>('Baseline System Analysis'!X42-X36)</f>
        <v>32649034.279777646</v>
      </c>
      <c r="Y81" s="63">
        <f>('Baseline System Analysis'!Y42-Y36)</f>
        <v>34163037.834793806</v>
      </c>
      <c r="Z81" s="63">
        <f>('Baseline System Analysis'!Z42-Z36)</f>
        <v>35684390.601262584</v>
      </c>
      <c r="AA81" s="63">
        <f>('Baseline System Analysis'!AA42-AA36)</f>
        <v>37265208.937808216</v>
      </c>
      <c r="AB81" s="63">
        <f>('Baseline System Analysis'!AB42-AB36)</f>
        <v>38911154.238215551</v>
      </c>
      <c r="AC81" s="63">
        <f>('Baseline System Analysis'!AC42-AC36)</f>
        <v>40402941.882393591</v>
      </c>
      <c r="AD81" s="63">
        <f>('Baseline System Analysis'!AD42-AD36)</f>
        <v>41868926.904911838</v>
      </c>
    </row>
    <row r="83" spans="1:30" ht="20" thickBot="1" x14ac:dyDescent="0.5">
      <c r="A83" s="142" t="s">
        <v>74</v>
      </c>
      <c r="B83" s="171"/>
      <c r="C83" s="20">
        <f>NPV('Cost Assumptions'!$B$3,D83:AD83)/1000000</f>
        <v>3547.604553682932</v>
      </c>
      <c r="D83" s="63">
        <f>SUM(D67,D71,D75,D79,D81)</f>
        <v>89200254.580703452</v>
      </c>
      <c r="E83" s="63">
        <f t="shared" ref="E83:AD83" si="41">SUM(E67,E71,E75,E79,E81)</f>
        <v>116584292.74514875</v>
      </c>
      <c r="F83" s="63">
        <f t="shared" si="41"/>
        <v>144448745.57988119</v>
      </c>
      <c r="G83" s="63">
        <f t="shared" si="41"/>
        <v>173719845.79399884</v>
      </c>
      <c r="H83" s="63">
        <f t="shared" si="41"/>
        <v>204301486.52743787</v>
      </c>
      <c r="I83" s="63">
        <f t="shared" si="41"/>
        <v>234835515.60676914</v>
      </c>
      <c r="J83" s="63">
        <f t="shared" si="41"/>
        <v>269321761.82833785</v>
      </c>
      <c r="K83" s="63">
        <f t="shared" si="41"/>
        <v>306009875.23611009</v>
      </c>
      <c r="L83" s="63">
        <f t="shared" si="41"/>
        <v>343167365.46006447</v>
      </c>
      <c r="M83" s="63">
        <f t="shared" si="41"/>
        <v>380751263.11915493</v>
      </c>
      <c r="N83" s="63">
        <f t="shared" si="41"/>
        <v>421327243.41001004</v>
      </c>
      <c r="O83" s="63">
        <f t="shared" si="41"/>
        <v>463934805.42100978</v>
      </c>
      <c r="P83" s="63">
        <f t="shared" si="41"/>
        <v>510352273.59969324</v>
      </c>
      <c r="Q83" s="63">
        <f t="shared" si="41"/>
        <v>558448541.45919561</v>
      </c>
      <c r="R83" s="63">
        <f t="shared" si="41"/>
        <v>613566810.7737366</v>
      </c>
      <c r="S83" s="63">
        <f t="shared" si="41"/>
        <v>670269837.37485433</v>
      </c>
      <c r="T83" s="63">
        <f t="shared" si="41"/>
        <v>732646934.44809783</v>
      </c>
      <c r="U83" s="63">
        <f t="shared" si="41"/>
        <v>800481214.02373743</v>
      </c>
      <c r="V83" s="63">
        <f t="shared" si="41"/>
        <v>859478571.6516149</v>
      </c>
      <c r="W83" s="63">
        <f t="shared" si="41"/>
        <v>924240853.48734379</v>
      </c>
      <c r="X83" s="63">
        <f t="shared" si="41"/>
        <v>992917196.61229968</v>
      </c>
      <c r="Y83" s="63">
        <f t="shared" si="41"/>
        <v>1063420792.4230995</v>
      </c>
      <c r="Z83" s="63">
        <f t="shared" si="41"/>
        <v>1137701792.1771293</v>
      </c>
      <c r="AA83" s="63">
        <f t="shared" si="41"/>
        <v>1212540413.2479336</v>
      </c>
      <c r="AB83" s="63">
        <f t="shared" si="41"/>
        <v>1293256545.7642672</v>
      </c>
      <c r="AC83" s="63">
        <f t="shared" si="41"/>
        <v>1372822835.3960657</v>
      </c>
      <c r="AD83" s="63">
        <f t="shared" si="41"/>
        <v>1452330472.3448522</v>
      </c>
    </row>
    <row r="84" spans="1:30" ht="20.5" thickTop="1" thickBot="1" x14ac:dyDescent="0.5">
      <c r="A84" s="142" t="s">
        <v>169</v>
      </c>
      <c r="B84" s="142"/>
      <c r="C84" s="20">
        <f>NPV('Cost Assumptions'!$B$3,D84:AD84)/1000000</f>
        <v>3548.2433126791207</v>
      </c>
      <c r="D84" s="63">
        <f>D83+D43</f>
        <v>89248802.580703452</v>
      </c>
      <c r="E84" s="63">
        <f>E83+E43</f>
        <v>116634937.91630259</v>
      </c>
      <c r="F84" s="63">
        <f t="shared" ref="F84:AD84" si="42">F83+F43</f>
        <v>144501562.43824658</v>
      </c>
      <c r="G84" s="63">
        <f t="shared" si="42"/>
        <v>173774911.27070436</v>
      </c>
      <c r="H84" s="63">
        <f t="shared" si="42"/>
        <v>204358880.04286405</v>
      </c>
      <c r="I84" s="63">
        <f t="shared" si="42"/>
        <v>234895319.14692912</v>
      </c>
      <c r="J84" s="63">
        <f>J83+J43</f>
        <v>269384060.02352113</v>
      </c>
      <c r="K84" s="63">
        <f t="shared" si="42"/>
        <v>306074755.44185525</v>
      </c>
      <c r="L84" s="63">
        <f t="shared" si="42"/>
        <v>343234917.84052759</v>
      </c>
      <c r="M84" s="63">
        <f t="shared" si="42"/>
        <v>380821580.73294336</v>
      </c>
      <c r="N84" s="63">
        <f t="shared" si="42"/>
        <v>421400422.29855222</v>
      </c>
      <c r="O84" s="63">
        <f t="shared" si="42"/>
        <v>464010944.69953477</v>
      </c>
      <c r="P84" s="63">
        <f t="shared" si="42"/>
        <v>510431475.55089492</v>
      </c>
      <c r="Q84" s="63">
        <f t="shared" si="42"/>
        <v>558530911.6296587</v>
      </c>
      <c r="R84" s="63">
        <f t="shared" si="42"/>
        <v>613652458.07320464</v>
      </c>
      <c r="S84" s="63">
        <f t="shared" si="42"/>
        <v>670358874.17842102</v>
      </c>
      <c r="T84" s="63">
        <f t="shared" si="42"/>
        <v>732739476.701406</v>
      </c>
      <c r="U84" s="63">
        <f t="shared" si="42"/>
        <v>800577381.35127187</v>
      </c>
      <c r="V84" s="63">
        <f t="shared" si="42"/>
        <v>859578487.46817863</v>
      </c>
      <c r="W84" s="63">
        <f t="shared" si="42"/>
        <v>924344645.11280847</v>
      </c>
      <c r="X84" s="63">
        <f t="shared" si="42"/>
        <v>993024995.38972509</v>
      </c>
      <c r="Y84" s="63">
        <f t="shared" si="42"/>
        <v>1063532733.8403178</v>
      </c>
      <c r="Z84" s="63">
        <f t="shared" si="42"/>
        <v>1137818015.9918942</v>
      </c>
      <c r="AA84" s="63">
        <f t="shared" si="42"/>
        <v>1212661063.6167367</v>
      </c>
      <c r="AB84" s="63">
        <f t="shared" si="42"/>
        <v>1293381771.3749261</v>
      </c>
      <c r="AC84" s="63">
        <f t="shared" si="42"/>
        <v>1372952789.6041927</v>
      </c>
      <c r="AD84" s="63">
        <f t="shared" si="42"/>
        <v>1452465313.3143141</v>
      </c>
    </row>
    <row r="85" spans="1:30" ht="15" thickTop="1" x14ac:dyDescent="0.3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</row>
    <row r="86" spans="1:30" ht="20" thickBot="1" x14ac:dyDescent="0.5">
      <c r="A86" s="142" t="s">
        <v>163</v>
      </c>
      <c r="B86" s="142"/>
      <c r="C86" s="20">
        <v>290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15" thickTop="1" x14ac:dyDescent="0.3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20" thickBot="1" x14ac:dyDescent="0.5">
      <c r="A88" s="142" t="s">
        <v>7</v>
      </c>
      <c r="B88" s="142"/>
      <c r="C88" s="53">
        <f>C83/C86</f>
        <v>12.233119150630801</v>
      </c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15" thickTop="1" x14ac:dyDescent="0.3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x14ac:dyDescent="0.35">
      <c r="A90" s="88"/>
      <c r="B90" s="88"/>
      <c r="C90" s="88"/>
      <c r="D90" s="7">
        <v>7.1952500000000015</v>
      </c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</row>
    <row r="91" spans="1:30" x14ac:dyDescent="0.35">
      <c r="A91" s="88"/>
      <c r="B91" s="88"/>
      <c r="C91" s="88"/>
      <c r="D91" s="7">
        <v>466.1976832540455</v>
      </c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</row>
    <row r="92" spans="1:30" x14ac:dyDescent="0.35">
      <c r="A92" s="88"/>
      <c r="B92" s="88"/>
      <c r="C92" s="88"/>
      <c r="D92" s="7">
        <v>1489.2707202164102</v>
      </c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</row>
    <row r="93" spans="1:30" x14ac:dyDescent="0.35">
      <c r="A93" s="88"/>
      <c r="B93" s="88"/>
      <c r="C93" s="88"/>
      <c r="D93" s="7">
        <v>1735.0290753021013</v>
      </c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</row>
    <row r="94" spans="1:30" x14ac:dyDescent="0.35">
      <c r="A94" s="88"/>
      <c r="B94" s="88"/>
      <c r="C94" s="88"/>
      <c r="D94" s="7">
        <v>42.092150000000011</v>
      </c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</sheetData>
  <mergeCells count="8">
    <mergeCell ref="A86:B86"/>
    <mergeCell ref="A88:B88"/>
    <mergeCell ref="A84:B84"/>
    <mergeCell ref="B2:B15"/>
    <mergeCell ref="B18:B31"/>
    <mergeCell ref="B40:AD40"/>
    <mergeCell ref="A58:AD59"/>
    <mergeCell ref="A83:B8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94"/>
  <sheetViews>
    <sheetView zoomScale="78" zoomScaleNormal="78" workbookViewId="0"/>
  </sheetViews>
  <sheetFormatPr defaultRowHeight="14.5" x14ac:dyDescent="0.35"/>
  <cols>
    <col min="1" max="1" width="18.26953125" customWidth="1"/>
    <col min="2" max="2" width="29.26953125" customWidth="1"/>
    <col min="3" max="3" width="14.81640625" bestFit="1" customWidth="1"/>
    <col min="4" max="4" width="15.7265625" bestFit="1" customWidth="1"/>
    <col min="5" max="6" width="14.81640625" customWidth="1"/>
    <col min="7" max="7" width="18" customWidth="1"/>
    <col min="8" max="16" width="13.54296875" bestFit="1" customWidth="1"/>
    <col min="17" max="17" width="14.7265625" bestFit="1" customWidth="1"/>
    <col min="18" max="30" width="17.54296875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8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9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9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9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9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9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9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9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9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9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9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9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9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9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15" thickTop="1" x14ac:dyDescent="0.35">
      <c r="A18" s="88"/>
      <c r="B18" s="168" t="s">
        <v>20</v>
      </c>
      <c r="C18" s="88" t="s">
        <v>120</v>
      </c>
      <c r="D18" s="63">
        <v>43189.300000001451</v>
      </c>
      <c r="E18" s="63">
        <f>D18+(($AD18-$D$18)/(COLUMN($AD18)-COLUMN($D$18)))</f>
        <v>43589.898076924495</v>
      </c>
      <c r="F18" s="63">
        <f>E18+(($AD18-$D$18)/(COLUMN($AD18)-COLUMN($D$18)))</f>
        <v>43990.496153847533</v>
      </c>
      <c r="G18" s="63">
        <f t="shared" ref="G18:AC18" si="0">F18+(($AD18-$D$18)/(COLUMN($AD18)-COLUMN($D$18)))</f>
        <v>44391.09423077057</v>
      </c>
      <c r="H18" s="63">
        <f t="shared" si="0"/>
        <v>44791.692307693607</v>
      </c>
      <c r="I18" s="63">
        <f t="shared" si="0"/>
        <v>45192.290384616645</v>
      </c>
      <c r="J18" s="63">
        <f t="shared" si="0"/>
        <v>45592.888461539682</v>
      </c>
      <c r="K18" s="63">
        <f t="shared" si="0"/>
        <v>45993.486538462719</v>
      </c>
      <c r="L18" s="63">
        <f t="shared" si="0"/>
        <v>46394.084615385756</v>
      </c>
      <c r="M18" s="63">
        <f t="shared" si="0"/>
        <v>46794.682692308794</v>
      </c>
      <c r="N18" s="63">
        <f t="shared" si="0"/>
        <v>47195.280769231831</v>
      </c>
      <c r="O18" s="63">
        <f t="shared" si="0"/>
        <v>47595.878846154868</v>
      </c>
      <c r="P18" s="63">
        <f t="shared" si="0"/>
        <v>47996.476923077906</v>
      </c>
      <c r="Q18" s="63">
        <f t="shared" si="0"/>
        <v>48397.075000000943</v>
      </c>
      <c r="R18" s="63">
        <f t="shared" si="0"/>
        <v>48797.67307692398</v>
      </c>
      <c r="S18" s="63">
        <f t="shared" si="0"/>
        <v>49198.271153847018</v>
      </c>
      <c r="T18" s="63">
        <f t="shared" si="0"/>
        <v>49598.869230770055</v>
      </c>
      <c r="U18" s="63">
        <f t="shared" si="0"/>
        <v>49999.467307693092</v>
      </c>
      <c r="V18" s="63">
        <f t="shared" si="0"/>
        <v>50400.065384616129</v>
      </c>
      <c r="W18" s="63">
        <f t="shared" si="0"/>
        <v>50800.663461539167</v>
      </c>
      <c r="X18" s="63">
        <f t="shared" si="0"/>
        <v>51201.261538462204</v>
      </c>
      <c r="Y18" s="63">
        <f t="shared" si="0"/>
        <v>51601.859615385241</v>
      </c>
      <c r="Z18" s="63">
        <f t="shared" si="0"/>
        <v>52002.457692308279</v>
      </c>
      <c r="AA18" s="63">
        <f t="shared" si="0"/>
        <v>52403.055769231316</v>
      </c>
      <c r="AB18" s="63">
        <f t="shared" si="0"/>
        <v>52803.653846154353</v>
      </c>
      <c r="AC18" s="63">
        <f t="shared" si="0"/>
        <v>53204.251923077391</v>
      </c>
      <c r="AD18" s="63">
        <v>53604.850000000515</v>
      </c>
    </row>
    <row r="19" spans="1:30" x14ac:dyDescent="0.35">
      <c r="A19" s="88" t="s">
        <v>30</v>
      </c>
      <c r="B19" s="169"/>
      <c r="C19" s="88" t="s">
        <v>31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12.5</v>
      </c>
      <c r="K19" s="61">
        <f>J19+(($O19-$J19)/(COLUMN($O19)-COLUMN($J19)))</f>
        <v>17.060000000000002</v>
      </c>
      <c r="L19" s="61">
        <f t="shared" ref="L19:N19" si="1">K19+(($O19-$J19)/(COLUMN($O19)-COLUMN($J19)))</f>
        <v>21.620000000000005</v>
      </c>
      <c r="M19" s="61">
        <f t="shared" si="1"/>
        <v>26.180000000000007</v>
      </c>
      <c r="N19" s="61">
        <f t="shared" si="1"/>
        <v>30.740000000000009</v>
      </c>
      <c r="O19" s="63">
        <v>35.300000000000011</v>
      </c>
      <c r="P19" s="61">
        <f>O19+(($T19-$O19)/(COLUMN($T19)-COLUMN($O19)))</f>
        <v>54.220000000000006</v>
      </c>
      <c r="Q19" s="61">
        <f t="shared" ref="Q19:R19" si="2">P19+(($T19-$O19)/(COLUMN($T19)-COLUMN($O19)))</f>
        <v>73.14</v>
      </c>
      <c r="R19" s="61">
        <f t="shared" si="2"/>
        <v>92.06</v>
      </c>
      <c r="S19" s="61">
        <f>R19+(($T19-$O19)/(COLUMN($T19)-COLUMN($O19)))</f>
        <v>110.97999999999999</v>
      </c>
      <c r="T19" s="63">
        <v>129.89999999999998</v>
      </c>
      <c r="U19" s="61">
        <f>T19+(($Y19-$T19)/(COLUMN($Y19)-COLUMN($T19)))</f>
        <v>166.53999999999996</v>
      </c>
      <c r="V19" s="61">
        <f t="shared" ref="V19:X19" si="3">U19+(($Y19-$T19)/(COLUMN($Y19)-COLUMN($T19)))</f>
        <v>203.17999999999995</v>
      </c>
      <c r="W19" s="61">
        <f t="shared" si="3"/>
        <v>239.81999999999994</v>
      </c>
      <c r="X19" s="61">
        <f t="shared" si="3"/>
        <v>276.45999999999992</v>
      </c>
      <c r="Y19" s="63">
        <v>313.09999999999997</v>
      </c>
      <c r="Z19" s="61">
        <f>Y19+(($AD19-$Y19)/(COLUMN($AD19)-COLUMN($Y19)))</f>
        <v>366.12</v>
      </c>
      <c r="AA19" s="61">
        <f t="shared" ref="AA19:AC19" si="4">Z19+(($AD19-$Y19)/(COLUMN($AD19)-COLUMN($Y19)))</f>
        <v>419.14000000000004</v>
      </c>
      <c r="AB19" s="61">
        <f t="shared" si="4"/>
        <v>472.16000000000008</v>
      </c>
      <c r="AC19" s="61">
        <f t="shared" si="4"/>
        <v>525.18000000000006</v>
      </c>
      <c r="AD19" s="63">
        <v>578.20000000000005</v>
      </c>
    </row>
    <row r="20" spans="1:30" x14ac:dyDescent="0.35">
      <c r="A20" s="88" t="s">
        <v>30</v>
      </c>
      <c r="B20" s="169"/>
      <c r="C20" s="88" t="s">
        <v>32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2.5</v>
      </c>
      <c r="K20" s="61">
        <f t="shared" ref="K20:N20" si="5">J20+(($O20-$J20)/(COLUMN($O20)-COLUMN($J20)))</f>
        <v>2.6600000000000024</v>
      </c>
      <c r="L20" s="61">
        <f t="shared" si="5"/>
        <v>2.8200000000000047</v>
      </c>
      <c r="M20" s="61">
        <f t="shared" si="5"/>
        <v>2.9800000000000071</v>
      </c>
      <c r="N20" s="61">
        <f t="shared" si="5"/>
        <v>3.1400000000000095</v>
      </c>
      <c r="O20" s="63">
        <v>3.3000000000000114</v>
      </c>
      <c r="P20" s="61">
        <f t="shared" ref="P20:S20" si="6">O20+(($T20-$O20)/(COLUMN($T20)-COLUMN($O20)))</f>
        <v>5.4400000000000093</v>
      </c>
      <c r="Q20" s="61">
        <f t="shared" si="6"/>
        <v>7.5800000000000072</v>
      </c>
      <c r="R20" s="61">
        <f t="shared" si="6"/>
        <v>9.720000000000006</v>
      </c>
      <c r="S20" s="61">
        <f t="shared" si="6"/>
        <v>11.860000000000003</v>
      </c>
      <c r="T20" s="63">
        <v>14</v>
      </c>
      <c r="U20" s="61">
        <f t="shared" ref="U20:X20" si="7">T20+(($Y20-$T20)/(COLUMN($Y20)-COLUMN($T20)))</f>
        <v>16.399999999999999</v>
      </c>
      <c r="V20" s="61">
        <f t="shared" si="7"/>
        <v>18.799999999999997</v>
      </c>
      <c r="W20" s="61">
        <f t="shared" si="7"/>
        <v>21.199999999999996</v>
      </c>
      <c r="X20" s="61">
        <f t="shared" si="7"/>
        <v>23.599999999999994</v>
      </c>
      <c r="Y20" s="63">
        <v>26</v>
      </c>
      <c r="Z20" s="61">
        <f t="shared" ref="Z20:AC20" si="8">Y20+(($AD20-$Y20)/(COLUMN($AD20)-COLUMN($Y20)))</f>
        <v>28.060000000000002</v>
      </c>
      <c r="AA20" s="61">
        <f t="shared" si="8"/>
        <v>30.120000000000005</v>
      </c>
      <c r="AB20" s="61">
        <f t="shared" si="8"/>
        <v>32.180000000000007</v>
      </c>
      <c r="AC20" s="61">
        <f t="shared" si="8"/>
        <v>34.240000000000009</v>
      </c>
      <c r="AD20" s="63">
        <v>36.300000000000011</v>
      </c>
    </row>
    <row r="21" spans="1:30" x14ac:dyDescent="0.35">
      <c r="A21" s="88" t="s">
        <v>30</v>
      </c>
      <c r="B21" s="169"/>
      <c r="C21" s="88" t="s">
        <v>33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5.7281742097044439E-2</v>
      </c>
      <c r="K21" s="61">
        <f t="shared" ref="K21:N21" si="9">J21+(($O21-$J21)/(COLUMN($O21)-COLUMN($J21)))</f>
        <v>8.9623122660989513E-2</v>
      </c>
      <c r="L21" s="61">
        <f t="shared" si="9"/>
        <v>0.12196450322493457</v>
      </c>
      <c r="M21" s="61">
        <f t="shared" si="9"/>
        <v>0.15430588378887963</v>
      </c>
      <c r="N21" s="61">
        <f t="shared" si="9"/>
        <v>0.18664726435282469</v>
      </c>
      <c r="O21" s="63">
        <v>0.21898864491676978</v>
      </c>
      <c r="P21" s="61">
        <f t="shared" ref="P21:S21" si="10">O21+(($T21-$O21)/(COLUMN($T21)-COLUMN($O21)))</f>
        <v>0.51152416101420473</v>
      </c>
      <c r="Q21" s="61">
        <f t="shared" si="10"/>
        <v>0.80405967711163973</v>
      </c>
      <c r="R21" s="61">
        <f t="shared" si="10"/>
        <v>1.0965951932090747</v>
      </c>
      <c r="S21" s="61">
        <f t="shared" si="10"/>
        <v>1.3891307093065097</v>
      </c>
      <c r="T21" s="63">
        <v>1.6816662254039447</v>
      </c>
      <c r="U21" s="61">
        <f t="shared" ref="U21:X21" si="11">T21+(($Y21-$T21)/(COLUMN($Y21)-COLUMN($T21)))</f>
        <v>2.4471458772448198</v>
      </c>
      <c r="V21" s="61">
        <f t="shared" si="11"/>
        <v>3.2126255290856949</v>
      </c>
      <c r="W21" s="61">
        <f t="shared" si="11"/>
        <v>3.97810518092657</v>
      </c>
      <c r="X21" s="61">
        <f t="shared" si="11"/>
        <v>4.7435848327674446</v>
      </c>
      <c r="Y21" s="63">
        <v>5.5090644846083201</v>
      </c>
      <c r="Z21" s="61">
        <f t="shared" ref="Z21:AC21" si="12">Y21+(($AD21-$Y21)/(COLUMN($AD21)-COLUMN($Y21)))</f>
        <v>7.803122417193781</v>
      </c>
      <c r="AA21" s="61">
        <f t="shared" si="12"/>
        <v>10.097180349779242</v>
      </c>
      <c r="AB21" s="61">
        <f t="shared" si="12"/>
        <v>12.391238282364704</v>
      </c>
      <c r="AC21" s="61">
        <f t="shared" si="12"/>
        <v>14.685296214950164</v>
      </c>
      <c r="AD21" s="63">
        <v>16.979354147535624</v>
      </c>
    </row>
    <row r="22" spans="1:30" x14ac:dyDescent="0.35">
      <c r="A22" s="88" t="s">
        <v>30</v>
      </c>
      <c r="B22" s="169"/>
      <c r="C22" s="88" t="s">
        <v>34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1.1456348419408888E-2</v>
      </c>
      <c r="K22" s="61">
        <f t="shared" ref="K22:N22" si="13">J22+(($O22-$J22)/(COLUMN($O22)-COLUMN($J22)))</f>
        <v>1.7616156754990425E-2</v>
      </c>
      <c r="L22" s="61">
        <f t="shared" si="13"/>
        <v>2.3775965090571963E-2</v>
      </c>
      <c r="M22" s="61">
        <f t="shared" si="13"/>
        <v>2.99357734261535E-2</v>
      </c>
      <c r="N22" s="61">
        <f t="shared" si="13"/>
        <v>3.6095581761735038E-2</v>
      </c>
      <c r="O22" s="63">
        <v>4.2255390097316582E-2</v>
      </c>
      <c r="P22" s="61">
        <f t="shared" ref="P22:S22" si="14">O22+(($T22-$O22)/(COLUMN($T22)-COLUMN($O22)))</f>
        <v>6.3686646141919767E-2</v>
      </c>
      <c r="Q22" s="61">
        <f t="shared" si="14"/>
        <v>8.5117902186522945E-2</v>
      </c>
      <c r="R22" s="61">
        <f t="shared" si="14"/>
        <v>0.10654915823112612</v>
      </c>
      <c r="S22" s="61">
        <f t="shared" si="14"/>
        <v>0.12798041427572932</v>
      </c>
      <c r="T22" s="63">
        <v>0.14941167032033248</v>
      </c>
      <c r="U22" s="61">
        <f t="shared" ref="U22:X22" si="15">T22+(($Y22-$T22)/(COLUMN($Y22)-COLUMN($T22)))</f>
        <v>0.19333942656309502</v>
      </c>
      <c r="V22" s="61">
        <f t="shared" si="15"/>
        <v>0.23726718280585757</v>
      </c>
      <c r="W22" s="61">
        <f t="shared" si="15"/>
        <v>0.28119493904862009</v>
      </c>
      <c r="X22" s="61">
        <f t="shared" si="15"/>
        <v>0.3251226952913826</v>
      </c>
      <c r="Y22" s="63">
        <v>0.36905045153414517</v>
      </c>
      <c r="Z22" s="61">
        <f t="shared" ref="Z22:AC22" si="16">Y22+(($AD22-$Y22)/(COLUMN($AD22)-COLUMN($Y22)))</f>
        <v>0.43187243303017886</v>
      </c>
      <c r="AA22" s="61">
        <f t="shared" si="16"/>
        <v>0.49469441452621254</v>
      </c>
      <c r="AB22" s="61">
        <f t="shared" si="16"/>
        <v>0.55751639602224623</v>
      </c>
      <c r="AC22" s="61">
        <f t="shared" si="16"/>
        <v>0.62033837751827992</v>
      </c>
      <c r="AD22" s="63">
        <v>0.68316035901431349</v>
      </c>
    </row>
    <row r="23" spans="1:30" x14ac:dyDescent="0.35">
      <c r="A23" s="88" t="s">
        <v>30</v>
      </c>
      <c r="B23" s="169"/>
      <c r="C23" s="88" t="s">
        <v>35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5</v>
      </c>
      <c r="K23" s="61">
        <f t="shared" ref="K23:N23" si="17">J23+(($O23-$J23)/(COLUMN($O23)-COLUMN($J23)))</f>
        <v>4.4000000000000004</v>
      </c>
      <c r="L23" s="61">
        <f t="shared" si="17"/>
        <v>3.8000000000000003</v>
      </c>
      <c r="M23" s="61">
        <f t="shared" si="17"/>
        <v>3.2</v>
      </c>
      <c r="N23" s="61">
        <f t="shared" si="17"/>
        <v>2.6</v>
      </c>
      <c r="O23" s="63">
        <v>2</v>
      </c>
      <c r="P23" s="61">
        <f t="shared" ref="P23:S23" si="18">O23+(($T23-$O23)/(COLUMN($T23)-COLUMN($O23)))</f>
        <v>3</v>
      </c>
      <c r="Q23" s="61">
        <f t="shared" si="18"/>
        <v>4</v>
      </c>
      <c r="R23" s="61">
        <f t="shared" si="18"/>
        <v>5</v>
      </c>
      <c r="S23" s="61">
        <f t="shared" si="18"/>
        <v>6</v>
      </c>
      <c r="T23" s="63">
        <v>7</v>
      </c>
      <c r="U23" s="61">
        <f t="shared" ref="U23:X23" si="19">T23+(($Y23-$T23)/(COLUMN($Y23)-COLUMN($T23)))</f>
        <v>8.4</v>
      </c>
      <c r="V23" s="61">
        <f t="shared" si="19"/>
        <v>9.8000000000000007</v>
      </c>
      <c r="W23" s="61">
        <f t="shared" si="19"/>
        <v>11.200000000000001</v>
      </c>
      <c r="X23" s="61">
        <f t="shared" si="19"/>
        <v>12.600000000000001</v>
      </c>
      <c r="Y23" s="63">
        <v>14</v>
      </c>
      <c r="Z23" s="61">
        <f t="shared" ref="Z23:AC23" si="20">Y23+(($AD23-$Y23)/(COLUMN($AD23)-COLUMN($Y23)))</f>
        <v>16.8</v>
      </c>
      <c r="AA23" s="61">
        <f t="shared" si="20"/>
        <v>19.600000000000001</v>
      </c>
      <c r="AB23" s="61">
        <f t="shared" si="20"/>
        <v>22.400000000000002</v>
      </c>
      <c r="AC23" s="61">
        <f t="shared" si="20"/>
        <v>25.200000000000003</v>
      </c>
      <c r="AD23" s="63">
        <v>28</v>
      </c>
    </row>
    <row r="24" spans="1:30" x14ac:dyDescent="0.35">
      <c r="A24" s="88" t="s">
        <v>30</v>
      </c>
      <c r="B24" s="169"/>
      <c r="C24" s="88" t="s">
        <v>121</v>
      </c>
      <c r="D24" s="63">
        <v>834.5846059921696</v>
      </c>
      <c r="E24" s="63">
        <v>1109.7439560512812</v>
      </c>
      <c r="F24" s="63">
        <v>1384.9033061103919</v>
      </c>
      <c r="G24" s="63">
        <v>1660.0626561695026</v>
      </c>
      <c r="H24" s="63">
        <v>1935.2220062286124</v>
      </c>
      <c r="I24" s="63">
        <v>2210.381356287724</v>
      </c>
      <c r="J24" s="63">
        <v>2485.5407063468356</v>
      </c>
      <c r="K24" s="63">
        <v>2760.700056405949</v>
      </c>
      <c r="L24" s="63">
        <v>3035.8594064650606</v>
      </c>
      <c r="M24" s="63">
        <v>3311.0187565241722</v>
      </c>
      <c r="N24" s="63">
        <v>3586.1781065832838</v>
      </c>
      <c r="O24" s="63">
        <v>3861.3374566423954</v>
      </c>
      <c r="P24" s="63">
        <v>4136.496806701507</v>
      </c>
      <c r="Q24" s="63">
        <v>4411.6561567606186</v>
      </c>
      <c r="R24" s="63">
        <v>4686.8155068197302</v>
      </c>
      <c r="S24" s="63">
        <v>4961.9748568788418</v>
      </c>
      <c r="T24" s="63">
        <v>5237.1342069379534</v>
      </c>
      <c r="U24" s="63">
        <v>5512.2935569970687</v>
      </c>
      <c r="V24" s="63">
        <v>5787.4529070561839</v>
      </c>
      <c r="W24" s="63">
        <v>6062.6122571152955</v>
      </c>
      <c r="X24" s="63">
        <v>6337.7716071744071</v>
      </c>
      <c r="Y24" s="63">
        <v>6612.9309572335187</v>
      </c>
      <c r="Z24" s="63">
        <v>6888.0903072926303</v>
      </c>
      <c r="AA24" s="63">
        <v>7163.2496573517419</v>
      </c>
      <c r="AB24" s="63">
        <v>7438.4090074108535</v>
      </c>
      <c r="AC24" s="63">
        <v>7713.5683574699651</v>
      </c>
      <c r="AD24" s="63">
        <v>7988.7277075290694</v>
      </c>
    </row>
    <row r="25" spans="1:30" x14ac:dyDescent="0.35">
      <c r="A25" s="88" t="s">
        <v>30</v>
      </c>
      <c r="B25" s="169"/>
      <c r="C25" s="88" t="s">
        <v>122</v>
      </c>
      <c r="D25" s="63">
        <v>54764.914831849099</v>
      </c>
      <c r="E25" s="63">
        <v>56456.673794077833</v>
      </c>
      <c r="F25" s="63">
        <v>57264.148184745078</v>
      </c>
      <c r="G25" s="63">
        <v>58102.860337934122</v>
      </c>
      <c r="H25" s="63">
        <v>58993.782299499602</v>
      </c>
      <c r="I25" s="63">
        <v>60020.739584809919</v>
      </c>
      <c r="J25" s="63">
        <v>61060.235703073027</v>
      </c>
      <c r="K25" s="63">
        <v>62349.701390892791</v>
      </c>
      <c r="L25" s="63">
        <v>63674.419977087215</v>
      </c>
      <c r="M25" s="63">
        <v>65074.12219691035</v>
      </c>
      <c r="N25" s="63">
        <v>66500.358813771076</v>
      </c>
      <c r="O25" s="63">
        <v>67959.948756952086</v>
      </c>
      <c r="P25" s="63">
        <v>69460.963831145811</v>
      </c>
      <c r="Q25" s="63">
        <v>70942.34719306491</v>
      </c>
      <c r="R25" s="63">
        <v>72455.097532905434</v>
      </c>
      <c r="S25" s="63">
        <v>73989.958388998813</v>
      </c>
      <c r="T25" s="63">
        <v>75557.57638378194</v>
      </c>
      <c r="U25" s="63">
        <v>77001.552577838127</v>
      </c>
      <c r="V25" s="63">
        <v>78450.255130646212</v>
      </c>
      <c r="W25" s="63">
        <v>79897.734340151917</v>
      </c>
      <c r="X25" s="63">
        <v>81355.907709626728</v>
      </c>
      <c r="Y25" s="63">
        <v>82603.696952705737</v>
      </c>
      <c r="Z25" s="63">
        <v>83821.805924387649</v>
      </c>
      <c r="AA25" s="63">
        <v>85001.851670391348</v>
      </c>
      <c r="AB25" s="63">
        <v>86150.543067638297</v>
      </c>
      <c r="AC25" s="63">
        <v>87019.980553517264</v>
      </c>
      <c r="AD25" s="63">
        <v>87812.699699002158</v>
      </c>
    </row>
    <row r="26" spans="1:30" s="82" customFormat="1" x14ac:dyDescent="0.35">
      <c r="A26" s="88" t="s">
        <v>30</v>
      </c>
      <c r="B26" s="169"/>
      <c r="C26" s="88" t="s">
        <v>123</v>
      </c>
      <c r="D26" s="63">
        <v>9568.3409383557428</v>
      </c>
      <c r="E26" s="63">
        <v>10808.869514215325</v>
      </c>
      <c r="F26" s="63">
        <v>11423.609937397372</v>
      </c>
      <c r="G26" s="63">
        <v>12072.188830732255</v>
      </c>
      <c r="H26" s="63">
        <v>12781.427182354146</v>
      </c>
      <c r="I26" s="63">
        <v>13642.381536169987</v>
      </c>
      <c r="J26" s="63">
        <v>14526.609211801502</v>
      </c>
      <c r="K26" s="63">
        <v>15648.743337187598</v>
      </c>
      <c r="L26" s="63">
        <v>16868.625641362461</v>
      </c>
      <c r="M26" s="63">
        <v>18215.11843636855</v>
      </c>
      <c r="N26" s="63">
        <v>19643.601193701954</v>
      </c>
      <c r="O26" s="63">
        <v>21155.072937997604</v>
      </c>
      <c r="P26" s="63">
        <v>22755.306901047705</v>
      </c>
      <c r="Q26" s="63">
        <v>24391.44206438422</v>
      </c>
      <c r="R26" s="63">
        <v>26087.628146039413</v>
      </c>
      <c r="S26" s="63">
        <v>27877.667495025566</v>
      </c>
      <c r="T26" s="63">
        <v>29762.791626554135</v>
      </c>
      <c r="U26" s="63">
        <v>31535.261345230287</v>
      </c>
      <c r="V26" s="63">
        <v>33354.304187027075</v>
      </c>
      <c r="W26" s="63">
        <v>35206.868162702813</v>
      </c>
      <c r="X26" s="63">
        <v>37117.768816258358</v>
      </c>
      <c r="Y26" s="63">
        <v>38799.865368913008</v>
      </c>
      <c r="Z26" s="63">
        <v>40468.288458656447</v>
      </c>
      <c r="AA26" s="63">
        <v>42121.641479855251</v>
      </c>
      <c r="AB26" s="63">
        <v>43768.649480659536</v>
      </c>
      <c r="AC26" s="63">
        <v>45037.822052070755</v>
      </c>
      <c r="AD26" s="63">
        <v>46209.915957842051</v>
      </c>
    </row>
    <row r="27" spans="1:30" x14ac:dyDescent="0.35">
      <c r="A27" s="88" t="s">
        <v>39</v>
      </c>
      <c r="B27" s="169"/>
      <c r="C27" s="88" t="s">
        <v>31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1">
        <f>U27+(($Y27-$U27)/(COLUMN($Y27)-COLUMN($U27)))</f>
        <v>18.049999999999955</v>
      </c>
      <c r="W27" s="61">
        <f t="shared" ref="W27:X27" si="21">V27+(($Y27-$U27)/(COLUMN($Y27)-COLUMN($U27)))</f>
        <v>36.099999999999909</v>
      </c>
      <c r="X27" s="61">
        <f t="shared" si="21"/>
        <v>54.149999999999864</v>
      </c>
      <c r="Y27" s="63">
        <v>72.199999999999818</v>
      </c>
      <c r="Z27" s="63">
        <f>Y27+(($AD27-$Y27)/(COLUMN($AD27)-COLUMN($Y27)))</f>
        <v>104.11999999999985</v>
      </c>
      <c r="AA27" s="63">
        <f t="shared" ref="AA27:AC27" si="22">Z27+(($AD27-$Y27)/(COLUMN($AD27)-COLUMN($Y27)))</f>
        <v>136.03999999999988</v>
      </c>
      <c r="AB27" s="63">
        <f t="shared" si="22"/>
        <v>167.95999999999989</v>
      </c>
      <c r="AC27" s="63">
        <f t="shared" si="22"/>
        <v>199.87999999999991</v>
      </c>
      <c r="AD27" s="63">
        <v>231.79999999999995</v>
      </c>
    </row>
    <row r="28" spans="1:30" x14ac:dyDescent="0.35">
      <c r="A28" s="88" t="s">
        <v>39</v>
      </c>
      <c r="B28" s="169"/>
      <c r="C28" s="88" t="s">
        <v>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1">
        <f t="shared" ref="V28:X28" si="23">U28+(($Y28-$U28)/(COLUMN($Y28)-COLUMN($U28)))</f>
        <v>7.6499999999999773</v>
      </c>
      <c r="W28" s="61">
        <f t="shared" si="23"/>
        <v>15.299999999999955</v>
      </c>
      <c r="X28" s="61">
        <f t="shared" si="23"/>
        <v>22.949999999999932</v>
      </c>
      <c r="Y28" s="63">
        <v>30.599999999999909</v>
      </c>
      <c r="Z28" s="63">
        <f t="shared" ref="Z28:AC28" si="24">Y28+(($AD28-$Y28)/(COLUMN($AD28)-COLUMN($Y28)))</f>
        <v>37.43999999999992</v>
      </c>
      <c r="AA28" s="63">
        <f t="shared" si="24"/>
        <v>44.27999999999993</v>
      </c>
      <c r="AB28" s="63">
        <f t="shared" si="24"/>
        <v>51.119999999999941</v>
      </c>
      <c r="AC28" s="63">
        <f t="shared" si="24"/>
        <v>57.959999999999951</v>
      </c>
      <c r="AD28" s="63">
        <v>64.799999999999955</v>
      </c>
    </row>
    <row r="29" spans="1:30" x14ac:dyDescent="0.35">
      <c r="A29" s="88" t="s">
        <v>39</v>
      </c>
      <c r="B29" s="169"/>
      <c r="C29" s="88" t="s">
        <v>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1">
        <f t="shared" ref="V29:X29" si="25">U29+(($Y29-$U29)/(COLUMN($Y29)-COLUMN($U29)))</f>
        <v>0.15964343120012864</v>
      </c>
      <c r="W29" s="61">
        <f t="shared" si="25"/>
        <v>0.31928686240025728</v>
      </c>
      <c r="X29" s="61">
        <f t="shared" si="25"/>
        <v>0.47893029360038591</v>
      </c>
      <c r="Y29" s="63">
        <v>0.63857372480051455</v>
      </c>
      <c r="Z29" s="63">
        <f t="shared" ref="Z29:AC29" si="26">Y29+(($AD29-$Y29)/(COLUMN($AD29)-COLUMN($Y29)))</f>
        <v>1.2284141916557283</v>
      </c>
      <c r="AA29" s="63">
        <f t="shared" si="26"/>
        <v>1.818254658510942</v>
      </c>
      <c r="AB29" s="63">
        <f t="shared" si="26"/>
        <v>2.408095125366156</v>
      </c>
      <c r="AC29" s="63">
        <f t="shared" si="26"/>
        <v>2.9979355922213697</v>
      </c>
      <c r="AD29" s="63">
        <v>3.5877760590765835</v>
      </c>
    </row>
    <row r="30" spans="1:30" x14ac:dyDescent="0.35">
      <c r="A30" s="88" t="s">
        <v>39</v>
      </c>
      <c r="B30" s="169"/>
      <c r="C30" s="88" t="s">
        <v>34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1">
        <f t="shared" ref="V30:X30" si="27">U30+(($Y30-$U30)/(COLUMN($Y30)-COLUMN($U30)))</f>
        <v>1.995542890001608E-2</v>
      </c>
      <c r="W30" s="61">
        <f t="shared" si="27"/>
        <v>3.991085780003216E-2</v>
      </c>
      <c r="X30" s="61">
        <f t="shared" si="27"/>
        <v>5.9866286700048239E-2</v>
      </c>
      <c r="Y30" s="63">
        <v>7.9821715600064319E-2</v>
      </c>
      <c r="Z30" s="63">
        <f t="shared" ref="Z30:AC30" si="28">Y30+(($AD30-$Y30)/(COLUMN($AD30)-COLUMN($Y30)))</f>
        <v>0.11511131618114551</v>
      </c>
      <c r="AA30" s="63">
        <f t="shared" si="28"/>
        <v>0.15040091676222669</v>
      </c>
      <c r="AB30" s="63">
        <f t="shared" si="28"/>
        <v>0.18569051734330788</v>
      </c>
      <c r="AC30" s="63">
        <f t="shared" si="28"/>
        <v>0.22098011792438907</v>
      </c>
      <c r="AD30" s="63">
        <v>0.25626971850547026</v>
      </c>
    </row>
    <row r="31" spans="1:30" ht="15" customHeight="1" x14ac:dyDescent="0.35">
      <c r="A31" s="88" t="s">
        <v>39</v>
      </c>
      <c r="B31" s="169"/>
      <c r="C31" s="88" t="s">
        <v>35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1">
        <f t="shared" ref="V31:X31" si="29">U31+(($Y31-$U31)/(COLUMN($Y31)-COLUMN($U31)))</f>
        <v>1</v>
      </c>
      <c r="W31" s="61">
        <f t="shared" si="29"/>
        <v>2</v>
      </c>
      <c r="X31" s="61">
        <f t="shared" si="29"/>
        <v>3</v>
      </c>
      <c r="Y31" s="63">
        <v>4</v>
      </c>
      <c r="Z31" s="63">
        <f t="shared" ref="Z31:AC31" si="30">Y31+(($AD31-$Y31)/(COLUMN($AD31)-COLUMN($Y31)))</f>
        <v>4.5999999999999996</v>
      </c>
      <c r="AA31" s="63">
        <f t="shared" si="30"/>
        <v>5.1999999999999993</v>
      </c>
      <c r="AB31" s="63">
        <f t="shared" si="30"/>
        <v>5.7999999999999989</v>
      </c>
      <c r="AC31" s="63">
        <f t="shared" si="30"/>
        <v>6.3999999999999986</v>
      </c>
      <c r="AD31" s="63">
        <v>7</v>
      </c>
    </row>
    <row r="32" spans="1:30" ht="15" customHeight="1" x14ac:dyDescent="0.35">
      <c r="A32" s="88" t="s">
        <v>143</v>
      </c>
      <c r="B32" s="88" t="s">
        <v>124</v>
      </c>
      <c r="C32" s="88" t="s">
        <v>144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15271.981712336628</v>
      </c>
      <c r="W32" s="63">
        <v>212575.69021475851</v>
      </c>
      <c r="X32" s="63">
        <v>493032.43462116376</v>
      </c>
      <c r="Y32" s="63">
        <v>774303.49217636476</v>
      </c>
      <c r="Z32" s="63">
        <v>1185035.2018550988</v>
      </c>
      <c r="AA32" s="63">
        <v>1602830.4661849854</v>
      </c>
      <c r="AB32" s="63">
        <v>2025810.7925234318</v>
      </c>
      <c r="AC32" s="63">
        <v>1992266.9269576482</v>
      </c>
      <c r="AD32" s="63">
        <v>2403570.8299807371</v>
      </c>
    </row>
    <row r="33" spans="1:30" ht="15" customHeight="1" x14ac:dyDescent="0.35">
      <c r="A33" s="88" t="s">
        <v>143</v>
      </c>
      <c r="B33" s="88" t="s">
        <v>145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91363.111996787513</v>
      </c>
      <c r="W33" s="63">
        <v>1197854.362394959</v>
      </c>
      <c r="X33" s="63">
        <v>2786015.6005196767</v>
      </c>
      <c r="Y33" s="63">
        <v>4084057.7515800926</v>
      </c>
      <c r="Z33" s="63">
        <v>6298267.2358707329</v>
      </c>
      <c r="AA33" s="63">
        <v>8550537.1165973917</v>
      </c>
      <c r="AB33" s="63">
        <v>10630664.102902172</v>
      </c>
      <c r="AC33" s="63">
        <v>9378941.4197128359</v>
      </c>
      <c r="AD33" s="63">
        <v>11396355.108876377</v>
      </c>
    </row>
    <row r="34" spans="1:30" s="62" customFormat="1" ht="15" customHeight="1" x14ac:dyDescent="0.35">
      <c r="A34" s="88" t="s">
        <v>146</v>
      </c>
      <c r="B34" s="88" t="s">
        <v>124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1964.1807394674856</v>
      </c>
      <c r="K34" s="61">
        <f>J34+(($O34-$J34)/(COLUMN($O34)-COLUMN($J34)))</f>
        <v>2811.9979379107745</v>
      </c>
      <c r="L34" s="61">
        <f t="shared" ref="L34:N35" si="31">K34+(($O34-$J34)/(COLUMN($O34)-COLUMN($J34)))</f>
        <v>3659.8151363540637</v>
      </c>
      <c r="M34" s="61">
        <f t="shared" si="31"/>
        <v>4507.632334797353</v>
      </c>
      <c r="N34" s="61">
        <f t="shared" si="31"/>
        <v>5355.4495332406423</v>
      </c>
      <c r="O34" s="63">
        <v>6203.2667316839315</v>
      </c>
      <c r="P34" s="61">
        <f>O34+(($T34-$O34)/(COLUMN($T34)-COLUMN($O34)))</f>
        <v>10155.568511521053</v>
      </c>
      <c r="Q34" s="61">
        <f t="shared" ref="Q34" si="32">P34+(($T34-$O34)/(COLUMN($T34)-COLUMN($O34)))</f>
        <v>14107.870291358173</v>
      </c>
      <c r="R34" s="61">
        <f t="shared" ref="R34" si="33">Q34+(($T34-$O34)/(COLUMN($T34)-COLUMN($O34)))</f>
        <v>18060.172071195295</v>
      </c>
      <c r="S34" s="61">
        <f>R34+(($T34-$O34)/(COLUMN($T34)-COLUMN($O34)))</f>
        <v>22012.473851032417</v>
      </c>
      <c r="T34" s="63">
        <v>25964.775630869535</v>
      </c>
      <c r="U34" s="61">
        <f>T34+(($Y34-$T34)/(COLUMN($Y34)-COLUMN($T34)))</f>
        <v>35922.533245971397</v>
      </c>
      <c r="V34" s="61">
        <f t="shared" ref="V34" si="34">U34+(($Y34-$T34)/(COLUMN($Y34)-COLUMN($T34)))</f>
        <v>45880.290861073263</v>
      </c>
      <c r="W34" s="61">
        <f t="shared" ref="W34" si="35">V34+(($Y34-$T34)/(COLUMN($Y34)-COLUMN($T34)))</f>
        <v>55838.048476175129</v>
      </c>
      <c r="X34" s="61">
        <f t="shared" ref="X34" si="36">W34+(($Y34-$T34)/(COLUMN($Y34)-COLUMN($T34)))</f>
        <v>65795.806091276987</v>
      </c>
      <c r="Y34" s="63">
        <v>75753.56370637886</v>
      </c>
      <c r="Z34" s="61">
        <f>Y34+(($AD34-$Y34)/(COLUMN($AD34)-COLUMN($Y34)))</f>
        <v>92756.94537820277</v>
      </c>
      <c r="AA34" s="61">
        <f t="shared" ref="AA34:AA35" si="37">Z34+(($AD34-$Y34)/(COLUMN($AD34)-COLUMN($Y34)))</f>
        <v>109760.32705002668</v>
      </c>
      <c r="AB34" s="61">
        <f t="shared" ref="AB34:AB35" si="38">AA34+(($AD34-$Y34)/(COLUMN($AD34)-COLUMN($Y34)))</f>
        <v>126763.70872185059</v>
      </c>
      <c r="AC34" s="61">
        <f t="shared" ref="AC34:AC35" si="39">AB34+(($AD34-$Y34)/(COLUMN($AD34)-COLUMN($Y34)))</f>
        <v>143767.0903936745</v>
      </c>
      <c r="AD34" s="63">
        <v>160770.47206549844</v>
      </c>
    </row>
    <row r="35" spans="1:30" ht="15" customHeight="1" x14ac:dyDescent="0.35">
      <c r="A35" s="88" t="s">
        <v>146</v>
      </c>
      <c r="B35" s="88" t="s">
        <v>145</v>
      </c>
      <c r="C35" s="88" t="s">
        <v>144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8150.3401439052095</v>
      </c>
      <c r="K35" s="61">
        <f>J35+(($O35-$J35)/(COLUMN($O35)-COLUMN($J35)))</f>
        <v>11668.345594380698</v>
      </c>
      <c r="L35" s="61">
        <f t="shared" si="31"/>
        <v>15186.351044856186</v>
      </c>
      <c r="M35" s="61">
        <f t="shared" si="31"/>
        <v>18704.356495331675</v>
      </c>
      <c r="N35" s="61">
        <f t="shared" si="31"/>
        <v>22222.361945807163</v>
      </c>
      <c r="O35" s="63">
        <v>25740.367396282654</v>
      </c>
      <c r="P35" s="61">
        <f>O35+(($T35-$O35)/(COLUMN($T35)-COLUMN($O35)))</f>
        <v>42140.387623427203</v>
      </c>
      <c r="Q35" s="61">
        <f t="shared" ref="Q35" si="40">P35+(($T35-$O35)/(COLUMN($T35)-COLUMN($O35)))</f>
        <v>58540.407850571748</v>
      </c>
      <c r="R35" s="61">
        <f t="shared" ref="R35" si="41">Q35+(($T35-$O35)/(COLUMN($T35)-COLUMN($O35)))</f>
        <v>74940.428077716293</v>
      </c>
      <c r="S35" s="61">
        <f>R35+(($T35-$O35)/(COLUMN($T35)-COLUMN($O35)))</f>
        <v>91340.448304860838</v>
      </c>
      <c r="T35" s="63">
        <v>107740.4685320054</v>
      </c>
      <c r="U35" s="61">
        <f>T35+(($Y35-$T35)/(COLUMN($Y35)-COLUMN($T35)))</f>
        <v>149060.04264393044</v>
      </c>
      <c r="V35" s="61">
        <f t="shared" ref="V35" si="42">U35+(($Y35-$T35)/(COLUMN($Y35)-COLUMN($T35)))</f>
        <v>190379.6167558555</v>
      </c>
      <c r="W35" s="61">
        <f t="shared" ref="W35" si="43">V35+(($Y35-$T35)/(COLUMN($Y35)-COLUMN($T35)))</f>
        <v>231699.19086778053</v>
      </c>
      <c r="X35" s="61">
        <f t="shared" ref="X35" si="44">W35+(($Y35-$T35)/(COLUMN($Y35)-COLUMN($T35)))</f>
        <v>273018.76497970556</v>
      </c>
      <c r="Y35" s="63">
        <v>314338.33909163059</v>
      </c>
      <c r="Z35" s="61">
        <f t="shared" ref="Z35" si="45">Y35+(($AD35-$Y35)/(COLUMN($AD35)-COLUMN($Y35)))</f>
        <v>384893.63038299122</v>
      </c>
      <c r="AA35" s="61">
        <f t="shared" si="37"/>
        <v>455448.92167435185</v>
      </c>
      <c r="AB35" s="61">
        <f t="shared" si="38"/>
        <v>526004.21296571253</v>
      </c>
      <c r="AC35" s="61">
        <f t="shared" si="39"/>
        <v>596559.50425707316</v>
      </c>
      <c r="AD35" s="63">
        <v>667114.79554843379</v>
      </c>
    </row>
    <row r="36" spans="1:30" ht="29" x14ac:dyDescent="0.35">
      <c r="A36" s="3" t="s">
        <v>147</v>
      </c>
      <c r="B36" s="3" t="s">
        <v>148</v>
      </c>
      <c r="C36" s="88" t="s">
        <v>144</v>
      </c>
      <c r="D36" s="63">
        <v>2988715.1815104564</v>
      </c>
      <c r="E36" s="63">
        <v>3474425.7509086537</v>
      </c>
      <c r="F36" s="63">
        <v>3751657.7356272256</v>
      </c>
      <c r="G36" s="63">
        <v>4070279.9373053028</v>
      </c>
      <c r="H36" s="63">
        <v>4412491.766329363</v>
      </c>
      <c r="I36" s="63">
        <v>4791431.376303643</v>
      </c>
      <c r="J36" s="63">
        <v>5212119.0918534528</v>
      </c>
      <c r="K36" s="63">
        <v>5753900.6171726538</v>
      </c>
      <c r="L36" s="63">
        <v>6268486.4680961799</v>
      </c>
      <c r="M36" s="63">
        <v>6984695.6149044363</v>
      </c>
      <c r="N36" s="63">
        <v>7607866.6111519122</v>
      </c>
      <c r="O36" s="63">
        <v>8405634.9379896037</v>
      </c>
      <c r="P36" s="63">
        <v>9142341.0244577732</v>
      </c>
      <c r="Q36" s="63">
        <v>10081280.414642261</v>
      </c>
      <c r="R36" s="63">
        <v>11022862.430463616</v>
      </c>
      <c r="S36" s="63">
        <v>11901589.894038845</v>
      </c>
      <c r="T36" s="63">
        <v>12955074.417986846</v>
      </c>
      <c r="U36" s="63">
        <v>14020477.110634094</v>
      </c>
      <c r="V36" s="63">
        <v>15136362.972571291</v>
      </c>
      <c r="W36" s="63">
        <v>16330041.617049642</v>
      </c>
      <c r="X36" s="63">
        <v>17509490.166652478</v>
      </c>
      <c r="Y36" s="63">
        <v>18746602.542203199</v>
      </c>
      <c r="Z36" s="63">
        <v>20019345.344884735</v>
      </c>
      <c r="AA36" s="63">
        <v>21271767.608243566</v>
      </c>
      <c r="AB36" s="63">
        <v>22544105.036587082</v>
      </c>
      <c r="AC36" s="63">
        <v>23822318.626069844</v>
      </c>
      <c r="AD36" s="63">
        <v>24993999.316523608</v>
      </c>
    </row>
    <row r="38" spans="1:30" x14ac:dyDescent="0.35">
      <c r="A38" s="88"/>
      <c r="B38" s="88"/>
      <c r="C38" s="88" t="s">
        <v>149</v>
      </c>
      <c r="D38" s="63">
        <f>'Cost Assumptions'!$B$4</f>
        <v>40</v>
      </c>
      <c r="E38" s="63">
        <f>D38*'Cost Assumptions'!$B$5</f>
        <v>41</v>
      </c>
      <c r="F38" s="63">
        <f>E38*'Cost Assumptions'!$B$5</f>
        <v>42.024999999999999</v>
      </c>
      <c r="G38" s="63">
        <f>F38*'Cost Assumptions'!$B$5</f>
        <v>43.075624999999995</v>
      </c>
      <c r="H38" s="63">
        <f>G38*'Cost Assumptions'!$B$5</f>
        <v>44.152515624999992</v>
      </c>
      <c r="I38" s="63">
        <f>H38*'Cost Assumptions'!$B$5</f>
        <v>45.256328515624986</v>
      </c>
      <c r="J38" s="63">
        <f>I38*'Cost Assumptions'!$B$5</f>
        <v>46.387736728515605</v>
      </c>
      <c r="K38" s="63">
        <f>J38*'Cost Assumptions'!$B$5</f>
        <v>47.547430146728495</v>
      </c>
      <c r="L38" s="63">
        <f>K38*'Cost Assumptions'!$B$5</f>
        <v>48.736115900396705</v>
      </c>
      <c r="M38" s="63">
        <f>L38*'Cost Assumptions'!$B$5</f>
        <v>49.954518797906616</v>
      </c>
      <c r="N38" s="63">
        <f>M38*'Cost Assumptions'!$B$5</f>
        <v>51.203381767854275</v>
      </c>
      <c r="O38" s="63">
        <f>N38*'Cost Assumptions'!$B$5</f>
        <v>52.483466312050624</v>
      </c>
      <c r="P38" s="63">
        <f>O38*'Cost Assumptions'!$B$5</f>
        <v>53.795552969851883</v>
      </c>
      <c r="Q38" s="63">
        <f>P38*'Cost Assumptions'!$B$5</f>
        <v>55.140441794098173</v>
      </c>
      <c r="R38" s="63">
        <f>Q38*'Cost Assumptions'!$B$5</f>
        <v>56.518952838950625</v>
      </c>
      <c r="S38" s="63">
        <f>R38*'Cost Assumptions'!$B$5</f>
        <v>57.931926659924386</v>
      </c>
      <c r="T38" s="63">
        <f>S38*'Cost Assumptions'!$B$5</f>
        <v>59.380224826422491</v>
      </c>
      <c r="U38" s="63">
        <f>T38*'Cost Assumptions'!$B$5</f>
        <v>60.864730447083048</v>
      </c>
      <c r="V38" s="63">
        <f>U38*'Cost Assumptions'!$B$5</f>
        <v>62.386348708260115</v>
      </c>
      <c r="W38" s="63">
        <f>V38*'Cost Assumptions'!$B$5</f>
        <v>63.946007425966613</v>
      </c>
      <c r="X38" s="63">
        <f>W38*'Cost Assumptions'!$B$5</f>
        <v>65.544657611615776</v>
      </c>
      <c r="Y38" s="63">
        <f>X38*'Cost Assumptions'!$B$5</f>
        <v>67.183274051906167</v>
      </c>
      <c r="Z38" s="63">
        <f>Y38*'Cost Assumptions'!$B$5</f>
        <v>68.862855903203823</v>
      </c>
      <c r="AA38" s="63">
        <f>Z38*'Cost Assumptions'!$B$5</f>
        <v>70.584427300783915</v>
      </c>
      <c r="AB38" s="63">
        <f>AA38*'Cost Assumptions'!$B$5</f>
        <v>72.349037983303504</v>
      </c>
      <c r="AC38" s="63">
        <f>AB38*'Cost Assumptions'!$B$5</f>
        <v>74.157763932886084</v>
      </c>
      <c r="AD38" s="63">
        <f>AC38*'Cost Assumptions'!$B$5</f>
        <v>76.011708031208229</v>
      </c>
    </row>
    <row r="39" spans="1:30" x14ac:dyDescent="0.35">
      <c r="A39" s="88"/>
      <c r="B39" s="88"/>
      <c r="C39" s="8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3.5" x14ac:dyDescent="0.55000000000000004">
      <c r="A40" s="88"/>
      <c r="B40" s="167" t="s">
        <v>150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</row>
    <row r="41" spans="1:30" ht="20" thickBot="1" x14ac:dyDescent="0.5">
      <c r="A41" s="117"/>
      <c r="B41" s="128" t="s">
        <v>151</v>
      </c>
      <c r="C41" s="117" t="s">
        <v>118</v>
      </c>
      <c r="D41" s="117">
        <v>2022</v>
      </c>
      <c r="E41" s="117">
        <v>2023</v>
      </c>
      <c r="F41" s="117">
        <v>2024</v>
      </c>
      <c r="G41" s="117">
        <v>2025</v>
      </c>
      <c r="H41" s="117">
        <v>2026</v>
      </c>
      <c r="I41" s="117">
        <v>2027</v>
      </c>
      <c r="J41" s="117">
        <v>2028</v>
      </c>
      <c r="K41" s="117">
        <v>2029</v>
      </c>
      <c r="L41" s="117">
        <v>2030</v>
      </c>
      <c r="M41" s="117">
        <v>2031</v>
      </c>
      <c r="N41" s="117">
        <v>2032</v>
      </c>
      <c r="O41" s="117">
        <v>2033</v>
      </c>
      <c r="P41" s="117">
        <v>2034</v>
      </c>
      <c r="Q41" s="117">
        <v>2035</v>
      </c>
      <c r="R41" s="117">
        <v>2036</v>
      </c>
      <c r="S41" s="117">
        <v>2037</v>
      </c>
      <c r="T41" s="117">
        <v>2038</v>
      </c>
      <c r="U41" s="117">
        <v>2039</v>
      </c>
      <c r="V41" s="117">
        <v>2040</v>
      </c>
      <c r="W41" s="117">
        <v>2041</v>
      </c>
      <c r="X41" s="117">
        <v>2042</v>
      </c>
      <c r="Y41" s="117">
        <v>2043</v>
      </c>
      <c r="Z41" s="117">
        <v>2044</v>
      </c>
      <c r="AA41" s="117">
        <v>2045</v>
      </c>
      <c r="AB41" s="117">
        <v>2046</v>
      </c>
      <c r="AC41" s="117">
        <v>2047</v>
      </c>
      <c r="AD41" s="117">
        <v>2048</v>
      </c>
    </row>
    <row r="42" spans="1:30" ht="15" thickTop="1" x14ac:dyDescent="0.35">
      <c r="A42" s="5">
        <f t="shared" ref="A42:A56" si="46">SUM(D42:AD42)/1000</f>
        <v>187.60139999996755</v>
      </c>
      <c r="B42" s="11">
        <f>NPV('Cost Assumptions'!$B$3,'SCE Orange County'!D42:'SCE Orange County'!AD42)</f>
        <v>62433.744996581328</v>
      </c>
      <c r="C42" s="88" t="s">
        <v>120</v>
      </c>
      <c r="D42" s="63">
        <f t="shared" ref="D42:AD42" si="47">D2-D18</f>
        <v>6477.6999999980835</v>
      </c>
      <c r="E42" s="63">
        <f t="shared" si="47"/>
        <v>6513.8923076904393</v>
      </c>
      <c r="F42" s="63">
        <f t="shared" si="47"/>
        <v>6550.0846153828024</v>
      </c>
      <c r="G42" s="63">
        <f t="shared" si="47"/>
        <v>6586.2769230751655</v>
      </c>
      <c r="H42" s="63">
        <f t="shared" si="47"/>
        <v>6622.4692307675286</v>
      </c>
      <c r="I42" s="63">
        <f t="shared" si="47"/>
        <v>6658.6615384598917</v>
      </c>
      <c r="J42" s="63">
        <f t="shared" si="47"/>
        <v>6694.8538461522548</v>
      </c>
      <c r="K42" s="63">
        <f t="shared" si="47"/>
        <v>6731.0461538446179</v>
      </c>
      <c r="L42" s="63">
        <f t="shared" si="47"/>
        <v>6767.238461536981</v>
      </c>
      <c r="M42" s="63">
        <f t="shared" si="47"/>
        <v>6803.4307692293442</v>
      </c>
      <c r="N42" s="63">
        <f t="shared" si="47"/>
        <v>6839.6230769217073</v>
      </c>
      <c r="O42" s="63">
        <f t="shared" si="47"/>
        <v>6875.8153846140704</v>
      </c>
      <c r="P42" s="63">
        <f t="shared" si="47"/>
        <v>6912.0076923064335</v>
      </c>
      <c r="Q42" s="63">
        <f t="shared" si="47"/>
        <v>6948.1999999987966</v>
      </c>
      <c r="R42" s="63">
        <f t="shared" si="47"/>
        <v>6984.3923076911597</v>
      </c>
      <c r="S42" s="63">
        <f t="shared" si="47"/>
        <v>7020.5846153835228</v>
      </c>
      <c r="T42" s="63">
        <f t="shared" si="47"/>
        <v>7056.7769230758859</v>
      </c>
      <c r="U42" s="63">
        <f t="shared" si="47"/>
        <v>7092.969230768249</v>
      </c>
      <c r="V42" s="63">
        <f t="shared" si="47"/>
        <v>7129.1615384606121</v>
      </c>
      <c r="W42" s="63">
        <f t="shared" si="47"/>
        <v>7165.3538461529752</v>
      </c>
      <c r="X42" s="63">
        <f t="shared" si="47"/>
        <v>7201.5461538453383</v>
      </c>
      <c r="Y42" s="63">
        <f t="shared" si="47"/>
        <v>7237.7384615377014</v>
      </c>
      <c r="Z42" s="63">
        <f t="shared" si="47"/>
        <v>7273.9307692300645</v>
      </c>
      <c r="AA42" s="63">
        <f t="shared" si="47"/>
        <v>7310.1230769224276</v>
      </c>
      <c r="AB42" s="63">
        <f t="shared" si="47"/>
        <v>7346.3153846147907</v>
      </c>
      <c r="AC42" s="63">
        <f t="shared" si="47"/>
        <v>7382.5076923071538</v>
      </c>
      <c r="AD42" s="63">
        <f t="shared" si="47"/>
        <v>7418.6999999995023</v>
      </c>
    </row>
    <row r="43" spans="1:30" x14ac:dyDescent="0.35">
      <c r="A43" s="5">
        <f t="shared" si="46"/>
        <v>10618.421612365129</v>
      </c>
      <c r="B43" s="11">
        <f>NPV('Cost Assumptions'!$B$3,'SCE Orange County'!D43:'SCE Orange County'!AD43)</f>
        <v>3088660.6542999502</v>
      </c>
      <c r="C43" s="88" t="s">
        <v>152</v>
      </c>
      <c r="D43" s="63">
        <f>D42*D38</f>
        <v>259107.99999992334</v>
      </c>
      <c r="E43" s="63">
        <f>E42*E38</f>
        <v>267069.58461530803</v>
      </c>
      <c r="F43" s="63">
        <f>F42*F38</f>
        <v>275267.30596146226</v>
      </c>
      <c r="G43" s="63">
        <f>G42*G38</f>
        <v>283707.99488453963</v>
      </c>
      <c r="H43" s="63">
        <f t="shared" ref="H43:AD43" si="48">H42*H38</f>
        <v>292398.676187545</v>
      </c>
      <c r="I43" s="63">
        <f t="shared" si="48"/>
        <v>301346.57405889774</v>
      </c>
      <c r="J43" s="63">
        <f t="shared" si="48"/>
        <v>310559.11765120091</v>
      </c>
      <c r="K43" s="63">
        <f t="shared" si="48"/>
        <v>320043.94681433245</v>
      </c>
      <c r="L43" s="63">
        <f t="shared" si="48"/>
        <v>329808.91798708861</v>
      </c>
      <c r="M43" s="63">
        <f t="shared" si="48"/>
        <v>339862.11025172356</v>
      </c>
      <c r="N43" s="63">
        <f t="shared" si="48"/>
        <v>350211.8315558483</v>
      </c>
      <c r="O43" s="63">
        <f t="shared" si="48"/>
        <v>360866.62510627194</v>
      </c>
      <c r="P43" s="63">
        <f t="shared" si="48"/>
        <v>371835.27593949443</v>
      </c>
      <c r="Q43" s="63">
        <f t="shared" si="48"/>
        <v>383126.81767368654</v>
      </c>
      <c r="R43" s="63">
        <f t="shared" si="48"/>
        <v>394750.53944712615</v>
      </c>
      <c r="S43" s="63">
        <f t="shared" si="48"/>
        <v>406715.99304819171</v>
      </c>
      <c r="T43" s="63">
        <f t="shared" si="48"/>
        <v>419033.00024215603</v>
      </c>
      <c r="U43" s="63">
        <f t="shared" si="48"/>
        <v>431711.66030016349</v>
      </c>
      <c r="V43" s="63">
        <f t="shared" si="48"/>
        <v>444762.35773591988</v>
      </c>
      <c r="W43" s="63">
        <f t="shared" si="48"/>
        <v>458195.77025577659</v>
      </c>
      <c r="X43" s="63">
        <f t="shared" si="48"/>
        <v>472022.87692804117</v>
      </c>
      <c r="Y43" s="63">
        <f t="shared" si="48"/>
        <v>486254.96657750913</v>
      </c>
      <c r="Z43" s="63">
        <f t="shared" si="48"/>
        <v>500903.64641137049</v>
      </c>
      <c r="AA43" s="63">
        <f t="shared" si="48"/>
        <v>515980.85088281392</v>
      </c>
      <c r="AB43" s="63">
        <f t="shared" si="48"/>
        <v>531498.85079882236</v>
      </c>
      <c r="AC43" s="63">
        <f t="shared" si="48"/>
        <v>547470.26267882949</v>
      </c>
      <c r="AD43" s="63">
        <f t="shared" si="48"/>
        <v>563908.0583710866</v>
      </c>
    </row>
    <row r="44" spans="1:30" x14ac:dyDescent="0.35">
      <c r="A44" s="5">
        <f t="shared" si="46"/>
        <v>17.520199999999999</v>
      </c>
      <c r="B44" s="11">
        <f>NPV('Cost Assumptions'!$B$3,'SCE Orange County'!D44:'SCE Orange County'!AD44)</f>
        <v>2501.74093117336</v>
      </c>
      <c r="C44" s="88" t="s">
        <v>31</v>
      </c>
      <c r="D44" s="63">
        <f t="shared" ref="D44:AD44" si="49">D3-D19</f>
        <v>10</v>
      </c>
      <c r="E44" s="63">
        <f t="shared" si="49"/>
        <v>20.5</v>
      </c>
      <c r="F44" s="63">
        <f t="shared" si="49"/>
        <v>29.879999999999995</v>
      </c>
      <c r="G44" s="63">
        <f t="shared" si="49"/>
        <v>39.259999999999991</v>
      </c>
      <c r="H44" s="63">
        <f t="shared" si="49"/>
        <v>48.639999999999986</v>
      </c>
      <c r="I44" s="63">
        <f t="shared" si="49"/>
        <v>58.019999999999982</v>
      </c>
      <c r="J44" s="63">
        <f t="shared" si="49"/>
        <v>54.899999999999977</v>
      </c>
      <c r="K44" s="63">
        <f t="shared" si="49"/>
        <v>74.389999999999986</v>
      </c>
      <c r="L44" s="63">
        <f t="shared" si="49"/>
        <v>93.88</v>
      </c>
      <c r="M44" s="63">
        <f t="shared" si="49"/>
        <v>113.37</v>
      </c>
      <c r="N44" s="63">
        <f t="shared" si="49"/>
        <v>132.85999999999999</v>
      </c>
      <c r="O44" s="63">
        <f t="shared" si="49"/>
        <v>214.16666666666669</v>
      </c>
      <c r="P44" s="63">
        <f t="shared" si="49"/>
        <v>281.11333333333334</v>
      </c>
      <c r="Q44" s="63">
        <f t="shared" si="49"/>
        <v>348.06000000000006</v>
      </c>
      <c r="R44" s="63">
        <f t="shared" si="49"/>
        <v>415.00666666666672</v>
      </c>
      <c r="S44" s="63">
        <f t="shared" si="49"/>
        <v>481.95333333333338</v>
      </c>
      <c r="T44" s="63">
        <f t="shared" si="49"/>
        <v>548.9000000000002</v>
      </c>
      <c r="U44" s="63">
        <f t="shared" si="49"/>
        <v>726.68000000000018</v>
      </c>
      <c r="V44" s="63">
        <f t="shared" si="49"/>
        <v>904.46000000000015</v>
      </c>
      <c r="W44" s="63">
        <f t="shared" si="49"/>
        <v>1082.2400000000002</v>
      </c>
      <c r="X44" s="63">
        <f t="shared" si="49"/>
        <v>1260.0200000000004</v>
      </c>
      <c r="Y44" s="63">
        <f t="shared" si="49"/>
        <v>1282.5</v>
      </c>
      <c r="Z44" s="63">
        <f t="shared" si="49"/>
        <v>1474.96</v>
      </c>
      <c r="AA44" s="63">
        <f t="shared" si="49"/>
        <v>1667.4199999999998</v>
      </c>
      <c r="AB44" s="63">
        <f t="shared" si="49"/>
        <v>1859.8799999999999</v>
      </c>
      <c r="AC44" s="63">
        <f t="shared" si="49"/>
        <v>2052.34</v>
      </c>
      <c r="AD44" s="63">
        <f t="shared" si="49"/>
        <v>2244.8000000000002</v>
      </c>
    </row>
    <row r="45" spans="1:30" x14ac:dyDescent="0.35">
      <c r="A45" s="5">
        <f t="shared" si="46"/>
        <v>0.4471500000000001</v>
      </c>
      <c r="B45" s="11">
        <f>NPV('Cost Assumptions'!$B$3,'SCE Orange County'!D45:'SCE Orange County'!AD45)</f>
        <v>105.06042613946427</v>
      </c>
      <c r="C45" s="88" t="s">
        <v>32</v>
      </c>
      <c r="D45" s="63">
        <f t="shared" ref="D45:AD45" si="50">D4-D20</f>
        <v>2</v>
      </c>
      <c r="E45" s="63">
        <f t="shared" si="50"/>
        <v>3</v>
      </c>
      <c r="F45" s="63">
        <f t="shared" si="50"/>
        <v>4.6799999999999953</v>
      </c>
      <c r="G45" s="63">
        <f t="shared" si="50"/>
        <v>6.3599999999999905</v>
      </c>
      <c r="H45" s="63">
        <f t="shared" si="50"/>
        <v>8.0399999999999867</v>
      </c>
      <c r="I45" s="63">
        <f t="shared" si="50"/>
        <v>9.7199999999999829</v>
      </c>
      <c r="J45" s="63">
        <f t="shared" si="50"/>
        <v>8.8999999999999773</v>
      </c>
      <c r="K45" s="63">
        <f t="shared" si="50"/>
        <v>10.539999999999987</v>
      </c>
      <c r="L45" s="63">
        <f t="shared" si="50"/>
        <v>12.179999999999996</v>
      </c>
      <c r="M45" s="63">
        <f t="shared" si="50"/>
        <v>13.820000000000004</v>
      </c>
      <c r="N45" s="63">
        <f t="shared" si="50"/>
        <v>15.460000000000013</v>
      </c>
      <c r="O45" s="63">
        <f t="shared" si="50"/>
        <v>18.050000000000011</v>
      </c>
      <c r="P45" s="63">
        <f t="shared" si="50"/>
        <v>18.660000000000014</v>
      </c>
      <c r="Q45" s="63">
        <f t="shared" si="50"/>
        <v>19.270000000000017</v>
      </c>
      <c r="R45" s="63">
        <f t="shared" si="50"/>
        <v>19.880000000000017</v>
      </c>
      <c r="S45" s="63">
        <f t="shared" si="50"/>
        <v>20.49000000000002</v>
      </c>
      <c r="T45" s="63">
        <f t="shared" si="50"/>
        <v>21.100000000000023</v>
      </c>
      <c r="U45" s="63">
        <f t="shared" si="50"/>
        <v>20.740000000000016</v>
      </c>
      <c r="V45" s="63">
        <f t="shared" si="50"/>
        <v>20.38000000000001</v>
      </c>
      <c r="W45" s="63">
        <f t="shared" si="50"/>
        <v>20.020000000000003</v>
      </c>
      <c r="X45" s="63">
        <f t="shared" si="50"/>
        <v>19.659999999999997</v>
      </c>
      <c r="Y45" s="63">
        <f t="shared" si="50"/>
        <v>19.299999999999997</v>
      </c>
      <c r="Z45" s="63">
        <f t="shared" si="50"/>
        <v>21.86</v>
      </c>
      <c r="AA45" s="63">
        <f t="shared" si="50"/>
        <v>24.42</v>
      </c>
      <c r="AB45" s="63">
        <f t="shared" si="50"/>
        <v>26.980000000000004</v>
      </c>
      <c r="AC45" s="63">
        <f t="shared" si="50"/>
        <v>29.540000000000006</v>
      </c>
      <c r="AD45" s="63">
        <f t="shared" si="50"/>
        <v>32.099999999999994</v>
      </c>
    </row>
    <row r="46" spans="1:30" x14ac:dyDescent="0.35">
      <c r="A46" s="5">
        <f t="shared" si="46"/>
        <v>1.2910317392688777</v>
      </c>
      <c r="B46" s="11">
        <f>NPV('Cost Assumptions'!$B$3,'SCE Orange County'!D46:'SCE Orange County'!AD46)</f>
        <v>149.36131929429692</v>
      </c>
      <c r="C46" s="88" t="s">
        <v>33</v>
      </c>
      <c r="D46" s="63">
        <f t="shared" ref="D46:AD46" si="51">D5-D21</f>
        <v>8.4812112193331513E-2</v>
      </c>
      <c r="E46" s="63">
        <f t="shared" si="51"/>
        <v>0.24283371212350299</v>
      </c>
      <c r="F46" s="63">
        <f t="shared" si="51"/>
        <v>0.34046276046663143</v>
      </c>
      <c r="G46" s="63">
        <f t="shared" si="51"/>
        <v>0.43809180880975984</v>
      </c>
      <c r="H46" s="63">
        <f t="shared" si="51"/>
        <v>0.53572085715288831</v>
      </c>
      <c r="I46" s="63">
        <f t="shared" si="51"/>
        <v>0.63334990549601677</v>
      </c>
      <c r="J46" s="63">
        <f t="shared" si="51"/>
        <v>0.67369721174210073</v>
      </c>
      <c r="K46" s="63">
        <f t="shared" si="51"/>
        <v>1.0758299339039947</v>
      </c>
      <c r="L46" s="63">
        <f t="shared" si="51"/>
        <v>1.4779626560658889</v>
      </c>
      <c r="M46" s="63">
        <f t="shared" si="51"/>
        <v>1.8800953782277829</v>
      </c>
      <c r="N46" s="63">
        <f t="shared" si="51"/>
        <v>2.2822281003896769</v>
      </c>
      <c r="O46" s="63">
        <f t="shared" si="51"/>
        <v>5.8998359617845555</v>
      </c>
      <c r="P46" s="63">
        <f t="shared" si="51"/>
        <v>9.2572496876459454</v>
      </c>
      <c r="Q46" s="63">
        <f t="shared" si="51"/>
        <v>12.614663413507333</v>
      </c>
      <c r="R46" s="63">
        <f t="shared" si="51"/>
        <v>15.972077139368723</v>
      </c>
      <c r="S46" s="63">
        <f t="shared" si="51"/>
        <v>19.329490865230113</v>
      </c>
      <c r="T46" s="63">
        <f t="shared" si="51"/>
        <v>22.686904591091505</v>
      </c>
      <c r="U46" s="63">
        <f t="shared" si="51"/>
        <v>35.730408415079381</v>
      </c>
      <c r="V46" s="63">
        <f t="shared" si="51"/>
        <v>48.773912239067265</v>
      </c>
      <c r="W46" s="63">
        <f t="shared" si="51"/>
        <v>61.817416063055141</v>
      </c>
      <c r="X46" s="63">
        <f t="shared" si="51"/>
        <v>74.860919887043025</v>
      </c>
      <c r="Y46" s="63">
        <f t="shared" si="51"/>
        <v>87.904423711030901</v>
      </c>
      <c r="Z46" s="63">
        <f t="shared" si="51"/>
        <v>117.70423933124742</v>
      </c>
      <c r="AA46" s="63">
        <f t="shared" si="51"/>
        <v>147.50405495146393</v>
      </c>
      <c r="AB46" s="63">
        <f t="shared" si="51"/>
        <v>177.30387057168045</v>
      </c>
      <c r="AC46" s="63">
        <f t="shared" si="51"/>
        <v>207.10368619189697</v>
      </c>
      <c r="AD46" s="63">
        <f t="shared" si="51"/>
        <v>236.90350181211352</v>
      </c>
    </row>
    <row r="47" spans="1:30" x14ac:dyDescent="0.35">
      <c r="A47" s="5">
        <f t="shared" si="46"/>
        <v>1.4004603190949474E-2</v>
      </c>
      <c r="B47" s="11">
        <f>NPV('Cost Assumptions'!$B$3,'SCE Orange County'!D47:'SCE Orange County'!AD47)</f>
        <v>1.9809430105174144</v>
      </c>
      <c r="C47" s="88" t="s">
        <v>34</v>
      </c>
      <c r="D47" s="63">
        <f t="shared" ref="D47:AD47" si="52">D6-D22</f>
        <v>6.0580080138093939E-3</v>
      </c>
      <c r="E47" s="63">
        <f t="shared" si="52"/>
        <v>1.7771756236396739E-2</v>
      </c>
      <c r="F47" s="63">
        <f t="shared" si="52"/>
        <v>2.504677784712513E-2</v>
      </c>
      <c r="G47" s="63">
        <f t="shared" si="52"/>
        <v>3.2321799457853517E-2</v>
      </c>
      <c r="H47" s="63">
        <f t="shared" si="52"/>
        <v>3.9596821068581908E-2</v>
      </c>
      <c r="I47" s="63">
        <f t="shared" si="52"/>
        <v>4.6871842679310299E-2</v>
      </c>
      <c r="J47" s="63">
        <f t="shared" si="52"/>
        <v>4.2690515870629803E-2</v>
      </c>
      <c r="K47" s="63">
        <f t="shared" si="52"/>
        <v>5.618264367758713E-2</v>
      </c>
      <c r="L47" s="63">
        <f t="shared" si="52"/>
        <v>6.9674771484544457E-2</v>
      </c>
      <c r="M47" s="63">
        <f t="shared" si="52"/>
        <v>8.3166899291501784E-2</v>
      </c>
      <c r="N47" s="63">
        <f t="shared" si="52"/>
        <v>9.6659027098459124E-2</v>
      </c>
      <c r="O47" s="63">
        <f t="shared" si="52"/>
        <v>0.16712166626595645</v>
      </c>
      <c r="P47" s="63">
        <f t="shared" si="52"/>
        <v>0.22231285772443216</v>
      </c>
      <c r="Q47" s="63">
        <f t="shared" si="52"/>
        <v>0.27750404918290789</v>
      </c>
      <c r="R47" s="63">
        <f t="shared" si="52"/>
        <v>0.33269524064138356</v>
      </c>
      <c r="S47" s="63">
        <f t="shared" si="52"/>
        <v>0.38788643209985924</v>
      </c>
      <c r="T47" s="63">
        <f t="shared" si="52"/>
        <v>0.44307762355833497</v>
      </c>
      <c r="U47" s="63">
        <f t="shared" si="52"/>
        <v>0.56313459239948105</v>
      </c>
      <c r="V47" s="63">
        <f t="shared" si="52"/>
        <v>0.68319156124062708</v>
      </c>
      <c r="W47" s="63">
        <f t="shared" si="52"/>
        <v>0.8032485300817731</v>
      </c>
      <c r="X47" s="63">
        <f t="shared" si="52"/>
        <v>0.92330549892291924</v>
      </c>
      <c r="Y47" s="63">
        <f t="shared" si="52"/>
        <v>1.0433624677640654</v>
      </c>
      <c r="Z47" s="63">
        <f t="shared" si="52"/>
        <v>1.2050230990655058</v>
      </c>
      <c r="AA47" s="63">
        <f t="shared" si="52"/>
        <v>1.3666837303669461</v>
      </c>
      <c r="AB47" s="63">
        <f t="shared" si="52"/>
        <v>1.5283443616683865</v>
      </c>
      <c r="AC47" s="63">
        <f t="shared" si="52"/>
        <v>1.6900049929698269</v>
      </c>
      <c r="AD47" s="63">
        <f t="shared" si="52"/>
        <v>1.8516656242712677</v>
      </c>
    </row>
    <row r="48" spans="1:30" x14ac:dyDescent="0.35">
      <c r="A48" s="5">
        <f t="shared" si="46"/>
        <v>1.7849999999999997</v>
      </c>
      <c r="B48" s="11">
        <f>NPV('Cost Assumptions'!$B$3,'SCE Orange County'!D48:'SCE Orange County'!AD48)</f>
        <v>397.9887782723992</v>
      </c>
      <c r="C48" s="88" t="s">
        <v>35</v>
      </c>
      <c r="D48" s="63">
        <f t="shared" ref="D48:AD48" si="53">D7-D23</f>
        <v>14</v>
      </c>
      <c r="E48" s="63">
        <f t="shared" si="53"/>
        <v>21</v>
      </c>
      <c r="F48" s="63">
        <f t="shared" si="53"/>
        <v>23.2</v>
      </c>
      <c r="G48" s="63">
        <f t="shared" si="53"/>
        <v>25.4</v>
      </c>
      <c r="H48" s="63">
        <f t="shared" si="53"/>
        <v>27.599999999999998</v>
      </c>
      <c r="I48" s="63">
        <f t="shared" si="53"/>
        <v>29.799999999999997</v>
      </c>
      <c r="J48" s="63">
        <f t="shared" si="53"/>
        <v>27</v>
      </c>
      <c r="K48" s="63">
        <f t="shared" si="53"/>
        <v>31.35</v>
      </c>
      <c r="L48" s="63">
        <f t="shared" si="53"/>
        <v>35.700000000000003</v>
      </c>
      <c r="M48" s="63">
        <f t="shared" si="53"/>
        <v>40.049999999999997</v>
      </c>
      <c r="N48" s="63">
        <f t="shared" si="53"/>
        <v>44.4</v>
      </c>
      <c r="O48" s="63">
        <f t="shared" si="53"/>
        <v>51.833333333333336</v>
      </c>
      <c r="P48" s="63">
        <f t="shared" si="53"/>
        <v>57.666666666666671</v>
      </c>
      <c r="Q48" s="63">
        <f t="shared" si="53"/>
        <v>63.5</v>
      </c>
      <c r="R48" s="63">
        <f t="shared" si="53"/>
        <v>69.333333333333329</v>
      </c>
      <c r="S48" s="63">
        <f t="shared" si="53"/>
        <v>75.166666666666657</v>
      </c>
      <c r="T48" s="63">
        <f t="shared" si="53"/>
        <v>81</v>
      </c>
      <c r="U48" s="63">
        <f t="shared" si="53"/>
        <v>86</v>
      </c>
      <c r="V48" s="63">
        <f t="shared" si="53"/>
        <v>91.000000000000014</v>
      </c>
      <c r="W48" s="63">
        <f t="shared" si="53"/>
        <v>96.000000000000014</v>
      </c>
      <c r="X48" s="63">
        <f t="shared" si="53"/>
        <v>101.00000000000003</v>
      </c>
      <c r="Y48" s="63">
        <f t="shared" si="53"/>
        <v>106</v>
      </c>
      <c r="Z48" s="63">
        <f t="shared" si="53"/>
        <v>109.8</v>
      </c>
      <c r="AA48" s="63">
        <f t="shared" si="53"/>
        <v>113.6</v>
      </c>
      <c r="AB48" s="63">
        <f t="shared" si="53"/>
        <v>117.39999999999998</v>
      </c>
      <c r="AC48" s="63">
        <f t="shared" si="53"/>
        <v>121.19999999999997</v>
      </c>
      <c r="AD48" s="63">
        <f t="shared" si="53"/>
        <v>125</v>
      </c>
    </row>
    <row r="49" spans="1:30" s="62" customFormat="1" x14ac:dyDescent="0.35">
      <c r="A49" s="5">
        <f t="shared" si="46"/>
        <v>658.23180289963329</v>
      </c>
      <c r="B49" s="11">
        <f>NPV('Cost Assumptions'!$B$3,'SCE Orange County'!D49:'SCE Orange County'!AD49)</f>
        <v>151761.04824744398</v>
      </c>
      <c r="C49" s="86" t="s">
        <v>153</v>
      </c>
      <c r="D49" s="63">
        <f>D13-D24</f>
        <v>4611.2410690012794</v>
      </c>
      <c r="E49" s="63">
        <f t="shared" ref="E49:AD49" si="54">E13-E24</f>
        <v>6131.5495990200798</v>
      </c>
      <c r="F49" s="63">
        <f t="shared" si="54"/>
        <v>7651.8581290388802</v>
      </c>
      <c r="G49" s="63">
        <f t="shared" si="54"/>
        <v>9172.1666590576806</v>
      </c>
      <c r="H49" s="63">
        <f t="shared" si="54"/>
        <v>10692.475189076482</v>
      </c>
      <c r="I49" s="63">
        <f t="shared" si="54"/>
        <v>12212.783719095281</v>
      </c>
      <c r="J49" s="63">
        <f t="shared" si="54"/>
        <v>13733.092249114081</v>
      </c>
      <c r="K49" s="63">
        <f t="shared" si="54"/>
        <v>15253.40077913288</v>
      </c>
      <c r="L49" s="63">
        <f t="shared" si="54"/>
        <v>16873.70930915164</v>
      </c>
      <c r="M49" s="63">
        <f t="shared" si="54"/>
        <v>18294.017839170479</v>
      </c>
      <c r="N49" s="63">
        <f t="shared" si="54"/>
        <v>19814.326369189279</v>
      </c>
      <c r="O49" s="63">
        <f t="shared" si="54"/>
        <v>21334.634899208078</v>
      </c>
      <c r="P49" s="63">
        <f t="shared" si="54"/>
        <v>22854.943429226878</v>
      </c>
      <c r="Q49" s="63">
        <f t="shared" si="54"/>
        <v>24375.251959245677</v>
      </c>
      <c r="R49" s="63">
        <f t="shared" si="54"/>
        <v>25895.560489264477</v>
      </c>
      <c r="S49" s="63">
        <f t="shared" si="54"/>
        <v>27415.869019283276</v>
      </c>
      <c r="T49" s="63">
        <f t="shared" si="54"/>
        <v>28936.177549302076</v>
      </c>
      <c r="U49" s="63">
        <f t="shared" si="54"/>
        <v>30456.486079320875</v>
      </c>
      <c r="V49" s="63">
        <f t="shared" si="54"/>
        <v>31976.794609339675</v>
      </c>
      <c r="W49" s="63">
        <f t="shared" si="54"/>
        <v>33497.103139358478</v>
      </c>
      <c r="X49" s="63">
        <f t="shared" si="54"/>
        <v>35017.411669377281</v>
      </c>
      <c r="Y49" s="63">
        <f t="shared" si="54"/>
        <v>36537.720199396084</v>
      </c>
      <c r="Z49" s="63">
        <f t="shared" si="54"/>
        <v>38058.028729414887</v>
      </c>
      <c r="AA49" s="63">
        <f t="shared" si="54"/>
        <v>39578.337259433691</v>
      </c>
      <c r="AB49" s="63">
        <f t="shared" si="54"/>
        <v>41098.645789452494</v>
      </c>
      <c r="AC49" s="63">
        <f t="shared" si="54"/>
        <v>42618.954319471297</v>
      </c>
      <c r="AD49" s="63">
        <f t="shared" si="54"/>
        <v>44139.262849490086</v>
      </c>
    </row>
    <row r="50" spans="1:30" s="62" customFormat="1" x14ac:dyDescent="0.35">
      <c r="A50" s="5">
        <f t="shared" si="46"/>
        <v>3863.8177009286792</v>
      </c>
      <c r="B50" s="11">
        <f>NPV('Cost Assumptions'!$B$3,'SCE Orange County'!D50:'SCE Orange County'!AD50)</f>
        <v>1304466.2241804211</v>
      </c>
      <c r="C50" s="86" t="s">
        <v>154</v>
      </c>
      <c r="D50" s="63">
        <f>D14-D25</f>
        <v>138099.75137209246</v>
      </c>
      <c r="E50" s="63">
        <f t="shared" ref="E50:AD50" si="55">E14-E25</f>
        <v>138782.56817094577</v>
      </c>
      <c r="F50" s="63">
        <f t="shared" si="55"/>
        <v>139102.61725728813</v>
      </c>
      <c r="G50" s="63">
        <f t="shared" si="55"/>
        <v>139422.51522274595</v>
      </c>
      <c r="H50" s="63">
        <f t="shared" si="55"/>
        <v>139750.14157880296</v>
      </c>
      <c r="I50" s="63">
        <f t="shared" si="55"/>
        <v>140120.19882721532</v>
      </c>
      <c r="J50" s="63">
        <f t="shared" si="55"/>
        <v>140477.47455865657</v>
      </c>
      <c r="K50" s="63">
        <f t="shared" si="55"/>
        <v>140914.65836855955</v>
      </c>
      <c r="L50" s="63">
        <f t="shared" si="55"/>
        <v>141346.43841801377</v>
      </c>
      <c r="M50" s="63">
        <f t="shared" si="55"/>
        <v>141783.17941207203</v>
      </c>
      <c r="N50" s="63">
        <f t="shared" si="55"/>
        <v>142217.4948959894</v>
      </c>
      <c r="O50" s="63">
        <f t="shared" si="55"/>
        <v>142643.23273952544</v>
      </c>
      <c r="P50" s="63">
        <f t="shared" si="55"/>
        <v>143055.44305601128</v>
      </c>
      <c r="Q50" s="63">
        <f t="shared" si="55"/>
        <v>143442.3324866675</v>
      </c>
      <c r="R50" s="63">
        <f t="shared" si="55"/>
        <v>143814.19466770694</v>
      </c>
      <c r="S50" s="63">
        <f t="shared" si="55"/>
        <v>144176.24488583556</v>
      </c>
      <c r="T50" s="63">
        <f t="shared" si="55"/>
        <v>144527.08551509655</v>
      </c>
      <c r="U50" s="63">
        <f t="shared" si="55"/>
        <v>144840.29874581654</v>
      </c>
      <c r="V50" s="63">
        <f t="shared" si="55"/>
        <v>145144.01465279155</v>
      </c>
      <c r="W50" s="63">
        <f t="shared" si="55"/>
        <v>145438.78657250328</v>
      </c>
      <c r="X50" s="63">
        <f t="shared" si="55"/>
        <v>145724.24364828761</v>
      </c>
      <c r="Y50" s="63">
        <f t="shared" si="55"/>
        <v>145964.64909088888</v>
      </c>
      <c r="Z50" s="63">
        <f t="shared" si="55"/>
        <v>146198.6189395198</v>
      </c>
      <c r="AA50" s="63">
        <f t="shared" si="55"/>
        <v>146423.63522293599</v>
      </c>
      <c r="AB50" s="63">
        <f t="shared" si="55"/>
        <v>146642.12102347004</v>
      </c>
      <c r="AC50" s="63">
        <f t="shared" si="55"/>
        <v>146807.49158824654</v>
      </c>
      <c r="AD50" s="63">
        <f t="shared" si="55"/>
        <v>146958.27001099341</v>
      </c>
    </row>
    <row r="51" spans="1:30" s="82" customFormat="1" x14ac:dyDescent="0.35">
      <c r="A51" s="5">
        <f t="shared" si="46"/>
        <v>2172.5097440933537</v>
      </c>
      <c r="B51" s="11">
        <f>NPV('Cost Assumptions'!$B$3,'SCE Orange County'!D51:'SCE Orange County'!AD51)</f>
        <v>616637.40455033118</v>
      </c>
      <c r="C51" s="86" t="s">
        <v>155</v>
      </c>
      <c r="D51" s="63">
        <f>D15-D26</f>
        <v>48245.822857449755</v>
      </c>
      <c r="E51" s="63">
        <f t="shared" ref="E51:AD51" si="56">E15-E26</f>
        <v>51382.877379808036</v>
      </c>
      <c r="F51" s="63">
        <f t="shared" si="56"/>
        <v>52937.495302170493</v>
      </c>
      <c r="G51" s="63">
        <f t="shared" si="56"/>
        <v>54556.312170373232</v>
      </c>
      <c r="H51" s="63">
        <f t="shared" si="56"/>
        <v>56286.799539180211</v>
      </c>
      <c r="I51" s="63">
        <f t="shared" si="56"/>
        <v>58276.579480471562</v>
      </c>
      <c r="J51" s="63">
        <f t="shared" si="56"/>
        <v>60294.069993454796</v>
      </c>
      <c r="K51" s="63">
        <f t="shared" si="56"/>
        <v>62848.095970103677</v>
      </c>
      <c r="L51" s="63">
        <f t="shared" si="56"/>
        <v>65440.590381752074</v>
      </c>
      <c r="M51" s="63">
        <f t="shared" si="56"/>
        <v>68133.228867184051</v>
      </c>
      <c r="N51" s="63">
        <f t="shared" si="56"/>
        <v>70901.147285921397</v>
      </c>
      <c r="O51" s="63">
        <f t="shared" si="56"/>
        <v>73758.134076782502</v>
      </c>
      <c r="P51" s="63">
        <f t="shared" si="56"/>
        <v>76710.427616630361</v>
      </c>
      <c r="Q51" s="63">
        <f t="shared" si="56"/>
        <v>79645.965711812387</v>
      </c>
      <c r="R51" s="63">
        <f t="shared" si="56"/>
        <v>82672.954398625821</v>
      </c>
      <c r="S51" s="63">
        <f t="shared" si="56"/>
        <v>85726.329855112941</v>
      </c>
      <c r="T51" s="63">
        <f t="shared" si="56"/>
        <v>88813.091394278366</v>
      </c>
      <c r="U51" s="63">
        <f t="shared" si="56"/>
        <v>91687.453701470775</v>
      </c>
      <c r="V51" s="63">
        <f t="shared" si="56"/>
        <v>94584.834202667931</v>
      </c>
      <c r="W51" s="63">
        <f t="shared" si="56"/>
        <v>97483.826741164943</v>
      </c>
      <c r="X51" s="63">
        <f t="shared" si="56"/>
        <v>100391.45329162077</v>
      </c>
      <c r="Y51" s="63">
        <f t="shared" si="56"/>
        <v>102896.68136267166</v>
      </c>
      <c r="Z51" s="63">
        <f t="shared" si="56"/>
        <v>105371.13618734611</v>
      </c>
      <c r="AA51" s="63">
        <f t="shared" si="56"/>
        <v>107776.13268620722</v>
      </c>
      <c r="AB51" s="63">
        <f t="shared" si="56"/>
        <v>110126.51489276439</v>
      </c>
      <c r="AC51" s="63">
        <f t="shared" si="56"/>
        <v>111949.19838874755</v>
      </c>
      <c r="AD51" s="63">
        <f t="shared" si="56"/>
        <v>113612.59035758075</v>
      </c>
    </row>
    <row r="52" spans="1:30" x14ac:dyDescent="0.35">
      <c r="A52" s="5">
        <f t="shared" si="46"/>
        <v>55.560400000000001</v>
      </c>
      <c r="B52" s="11">
        <f>NPV('Cost Assumptions'!$B$3,'SCE Orange County'!D52:'SCE Orange County'!AD52)</f>
        <v>8557.6474018575409</v>
      </c>
      <c r="C52" s="88" t="s">
        <v>31</v>
      </c>
      <c r="D52" s="63">
        <f t="shared" ref="D52:AD52" si="57">D8-D27</f>
        <v>22.2</v>
      </c>
      <c r="E52" s="63">
        <f t="shared" si="57"/>
        <v>65.8</v>
      </c>
      <c r="F52" s="63">
        <f t="shared" si="57"/>
        <v>102.72</v>
      </c>
      <c r="G52" s="63">
        <f t="shared" si="57"/>
        <v>139.63999999999999</v>
      </c>
      <c r="H52" s="63">
        <f t="shared" si="57"/>
        <v>176.56</v>
      </c>
      <c r="I52" s="63">
        <f t="shared" si="57"/>
        <v>213.48000000000002</v>
      </c>
      <c r="J52" s="63">
        <f t="shared" si="57"/>
        <v>250.4</v>
      </c>
      <c r="K52" s="63">
        <f t="shared" si="57"/>
        <v>348.67500000000001</v>
      </c>
      <c r="L52" s="63">
        <f t="shared" si="57"/>
        <v>446.95000000000005</v>
      </c>
      <c r="M52" s="63">
        <f t="shared" si="57"/>
        <v>545.22500000000002</v>
      </c>
      <c r="N52" s="63">
        <f t="shared" si="57"/>
        <v>643.5</v>
      </c>
      <c r="O52" s="63">
        <f t="shared" si="57"/>
        <v>904.91666666666674</v>
      </c>
      <c r="P52" s="63">
        <f t="shared" si="57"/>
        <v>1166.3333333333335</v>
      </c>
      <c r="Q52" s="63">
        <f t="shared" si="57"/>
        <v>1427.7500000000002</v>
      </c>
      <c r="R52" s="63">
        <f t="shared" si="57"/>
        <v>1689.166666666667</v>
      </c>
      <c r="S52" s="63">
        <f t="shared" si="57"/>
        <v>1950.5833333333337</v>
      </c>
      <c r="T52" s="63">
        <f t="shared" si="57"/>
        <v>2212</v>
      </c>
      <c r="U52" s="63">
        <f t="shared" si="57"/>
        <v>2606.48</v>
      </c>
      <c r="V52" s="63">
        <f t="shared" si="57"/>
        <v>2982.91</v>
      </c>
      <c r="W52" s="63">
        <f t="shared" si="57"/>
        <v>3359.34</v>
      </c>
      <c r="X52" s="63">
        <f t="shared" si="57"/>
        <v>3735.7700000000004</v>
      </c>
      <c r="Y52" s="63">
        <f t="shared" si="57"/>
        <v>4112.2000000000007</v>
      </c>
      <c r="Z52" s="63">
        <f t="shared" si="57"/>
        <v>4505.3200000000006</v>
      </c>
      <c r="AA52" s="63">
        <f t="shared" si="57"/>
        <v>4898.4400000000005</v>
      </c>
      <c r="AB52" s="63">
        <f t="shared" si="57"/>
        <v>5291.56</v>
      </c>
      <c r="AC52" s="63">
        <f t="shared" si="57"/>
        <v>5684.68</v>
      </c>
      <c r="AD52" s="63">
        <f t="shared" si="57"/>
        <v>6077.7999999999984</v>
      </c>
    </row>
    <row r="53" spans="1:30" x14ac:dyDescent="0.35">
      <c r="A53" s="5">
        <f t="shared" si="46"/>
        <v>3.7243000000000004</v>
      </c>
      <c r="B53" s="11">
        <f>NPV('Cost Assumptions'!$B$3,'SCE Orange County'!D53:'SCE Orange County'!AD53)</f>
        <v>819.46625732476843</v>
      </c>
      <c r="C53" s="88" t="s">
        <v>32</v>
      </c>
      <c r="D53" s="63">
        <f t="shared" ref="D53:AD53" si="58">D9-D28</f>
        <v>13</v>
      </c>
      <c r="E53" s="63">
        <f t="shared" si="58"/>
        <v>27</v>
      </c>
      <c r="F53" s="63">
        <f t="shared" si="58"/>
        <v>34.519999999999982</v>
      </c>
      <c r="G53" s="63">
        <f t="shared" si="58"/>
        <v>42.039999999999964</v>
      </c>
      <c r="H53" s="63">
        <f t="shared" si="58"/>
        <v>49.559999999999945</v>
      </c>
      <c r="I53" s="63">
        <f t="shared" si="58"/>
        <v>57.079999999999927</v>
      </c>
      <c r="J53" s="63">
        <f t="shared" si="58"/>
        <v>64.599999999999909</v>
      </c>
      <c r="K53" s="63">
        <f t="shared" si="58"/>
        <v>75.024999999999935</v>
      </c>
      <c r="L53" s="63">
        <f t="shared" si="58"/>
        <v>85.44999999999996</v>
      </c>
      <c r="M53" s="63">
        <f t="shared" si="58"/>
        <v>95.874999999999986</v>
      </c>
      <c r="N53" s="63">
        <f t="shared" si="58"/>
        <v>106.3</v>
      </c>
      <c r="O53" s="63">
        <f t="shared" si="58"/>
        <v>120.25</v>
      </c>
      <c r="P53" s="63">
        <f t="shared" si="58"/>
        <v>134.19999999999999</v>
      </c>
      <c r="Q53" s="63">
        <f t="shared" si="58"/>
        <v>148.14999999999998</v>
      </c>
      <c r="R53" s="63">
        <f t="shared" si="58"/>
        <v>162.09999999999997</v>
      </c>
      <c r="S53" s="63">
        <f t="shared" si="58"/>
        <v>176.04999999999995</v>
      </c>
      <c r="T53" s="63">
        <f t="shared" si="58"/>
        <v>190</v>
      </c>
      <c r="U53" s="63">
        <f t="shared" si="58"/>
        <v>201.2</v>
      </c>
      <c r="V53" s="63">
        <f t="shared" si="58"/>
        <v>204.75</v>
      </c>
      <c r="W53" s="63">
        <f t="shared" si="58"/>
        <v>208.3</v>
      </c>
      <c r="X53" s="63">
        <f t="shared" si="58"/>
        <v>211.85000000000002</v>
      </c>
      <c r="Y53" s="63">
        <f t="shared" si="58"/>
        <v>215.40000000000009</v>
      </c>
      <c r="Z53" s="63">
        <f t="shared" si="58"/>
        <v>217.04000000000011</v>
      </c>
      <c r="AA53" s="63">
        <f t="shared" si="58"/>
        <v>218.68000000000012</v>
      </c>
      <c r="AB53" s="63">
        <f t="shared" si="58"/>
        <v>220.32000000000011</v>
      </c>
      <c r="AC53" s="63">
        <f t="shared" si="58"/>
        <v>221.96000000000012</v>
      </c>
      <c r="AD53" s="63">
        <f t="shared" si="58"/>
        <v>223.60000000000014</v>
      </c>
    </row>
    <row r="54" spans="1:30" x14ac:dyDescent="0.35">
      <c r="A54" s="5">
        <f t="shared" si="46"/>
        <v>3.2539789509847759</v>
      </c>
      <c r="B54" s="11">
        <f>NPV('Cost Assumptions'!$B$3,'SCE Orange County'!D54:'SCE Orange County'!AD54)</f>
        <v>402.94576019915144</v>
      </c>
      <c r="C54" s="88" t="s">
        <v>33</v>
      </c>
      <c r="D54" s="63">
        <f t="shared" ref="D54:AD54" si="59">D10-D29</f>
        <v>4.7253529883901121E-2</v>
      </c>
      <c r="E54" s="63">
        <f t="shared" si="59"/>
        <v>0.28011551949195379</v>
      </c>
      <c r="F54" s="63">
        <f t="shared" si="59"/>
        <v>0.59718244793816533</v>
      </c>
      <c r="G54" s="63">
        <f t="shared" si="59"/>
        <v>0.91424937638437687</v>
      </c>
      <c r="H54" s="63">
        <f t="shared" si="59"/>
        <v>1.2313163048305884</v>
      </c>
      <c r="I54" s="63">
        <f t="shared" si="59"/>
        <v>1.5483832332767999</v>
      </c>
      <c r="J54" s="63">
        <f t="shared" si="59"/>
        <v>1.8654501617230115</v>
      </c>
      <c r="K54" s="63">
        <f t="shared" si="59"/>
        <v>3.796086780774603</v>
      </c>
      <c r="L54" s="63">
        <f t="shared" si="59"/>
        <v>5.726723399826195</v>
      </c>
      <c r="M54" s="63">
        <f t="shared" si="59"/>
        <v>7.6573600188777871</v>
      </c>
      <c r="N54" s="63">
        <f t="shared" si="59"/>
        <v>9.5879966379293773</v>
      </c>
      <c r="O54" s="63">
        <f t="shared" si="59"/>
        <v>22.507331657050738</v>
      </c>
      <c r="P54" s="63">
        <f t="shared" si="59"/>
        <v>35.426666676172097</v>
      </c>
      <c r="Q54" s="63">
        <f t="shared" si="59"/>
        <v>48.346001695293459</v>
      </c>
      <c r="R54" s="63">
        <f t="shared" si="59"/>
        <v>61.265336714414822</v>
      </c>
      <c r="S54" s="63">
        <f t="shared" si="59"/>
        <v>74.184671733536177</v>
      </c>
      <c r="T54" s="63">
        <f t="shared" si="59"/>
        <v>87.10400675265754</v>
      </c>
      <c r="U54" s="63">
        <f t="shared" si="59"/>
        <v>116.88846005819971</v>
      </c>
      <c r="V54" s="63">
        <f t="shared" si="59"/>
        <v>146.51326993254176</v>
      </c>
      <c r="W54" s="63">
        <f t="shared" si="59"/>
        <v>176.13807980688381</v>
      </c>
      <c r="X54" s="63">
        <f t="shared" si="59"/>
        <v>205.76288968122583</v>
      </c>
      <c r="Y54" s="63">
        <f t="shared" si="59"/>
        <v>235.38769955556791</v>
      </c>
      <c r="Z54" s="63">
        <f t="shared" si="59"/>
        <v>291.00529432439833</v>
      </c>
      <c r="AA54" s="63">
        <f t="shared" si="59"/>
        <v>346.62288909322865</v>
      </c>
      <c r="AB54" s="63">
        <f t="shared" si="59"/>
        <v>402.24048386205902</v>
      </c>
      <c r="AC54" s="63">
        <f t="shared" si="59"/>
        <v>457.85807863088939</v>
      </c>
      <c r="AD54" s="63">
        <f t="shared" si="59"/>
        <v>513.47567339971988</v>
      </c>
    </row>
    <row r="55" spans="1:30" x14ac:dyDescent="0.35">
      <c r="A55" s="5">
        <f t="shared" si="46"/>
        <v>5.9089060653608486E-2</v>
      </c>
      <c r="B55" s="11">
        <f>NPV('Cost Assumptions'!$B$3,'SCE Orange County'!D55:'SCE Orange County'!AD55)</f>
        <v>9.103510893662877</v>
      </c>
      <c r="C55" s="88" t="s">
        <v>34</v>
      </c>
      <c r="D55" s="63">
        <f t="shared" ref="D55:AD55" si="60">D11-D30</f>
        <v>2.3626764941950561E-2</v>
      </c>
      <c r="E55" s="63">
        <f t="shared" si="60"/>
        <v>7.0028879872988448E-2</v>
      </c>
      <c r="F55" s="63">
        <f t="shared" si="60"/>
        <v>0.10932167994761965</v>
      </c>
      <c r="G55" s="63">
        <f t="shared" si="60"/>
        <v>0.14861448002225086</v>
      </c>
      <c r="H55" s="63">
        <f t="shared" si="60"/>
        <v>0.18790728009688207</v>
      </c>
      <c r="I55" s="63">
        <f t="shared" si="60"/>
        <v>0.22720008017151327</v>
      </c>
      <c r="J55" s="63">
        <f t="shared" si="60"/>
        <v>0.26649288024614448</v>
      </c>
      <c r="K55" s="63">
        <f t="shared" si="60"/>
        <v>0.37108388586191865</v>
      </c>
      <c r="L55" s="63">
        <f t="shared" si="60"/>
        <v>0.47567489147769282</v>
      </c>
      <c r="M55" s="63">
        <f t="shared" si="60"/>
        <v>0.58026589709346699</v>
      </c>
      <c r="N55" s="63">
        <f t="shared" si="60"/>
        <v>0.68485690270924116</v>
      </c>
      <c r="O55" s="63">
        <f t="shared" si="60"/>
        <v>0.96307447636877097</v>
      </c>
      <c r="P55" s="63">
        <f t="shared" si="60"/>
        <v>1.2412920500283007</v>
      </c>
      <c r="Q55" s="63">
        <f t="shared" si="60"/>
        <v>1.5195096236878305</v>
      </c>
      <c r="R55" s="63">
        <f t="shared" si="60"/>
        <v>1.7977271973473603</v>
      </c>
      <c r="S55" s="63">
        <f t="shared" si="60"/>
        <v>2.0759447710068901</v>
      </c>
      <c r="T55" s="63">
        <f t="shared" si="60"/>
        <v>2.3541623446664199</v>
      </c>
      <c r="U55" s="63">
        <f t="shared" si="60"/>
        <v>2.7739950579232056</v>
      </c>
      <c r="V55" s="63">
        <f t="shared" si="60"/>
        <v>3.1738723422799753</v>
      </c>
      <c r="W55" s="63">
        <f t="shared" si="60"/>
        <v>3.5737496266367446</v>
      </c>
      <c r="X55" s="63">
        <f t="shared" si="60"/>
        <v>3.9736269109935147</v>
      </c>
      <c r="Y55" s="63">
        <f t="shared" si="60"/>
        <v>4.373504195350284</v>
      </c>
      <c r="Z55" s="63">
        <f t="shared" si="60"/>
        <v>4.7905713592253569</v>
      </c>
      <c r="AA55" s="63">
        <f t="shared" si="60"/>
        <v>5.2076385231004307</v>
      </c>
      <c r="AB55" s="63">
        <f t="shared" si="60"/>
        <v>5.6247056869755037</v>
      </c>
      <c r="AC55" s="63">
        <f t="shared" si="60"/>
        <v>6.0417728508505766</v>
      </c>
      <c r="AD55" s="63">
        <f t="shared" si="60"/>
        <v>6.4588400147256522</v>
      </c>
    </row>
    <row r="56" spans="1:30" x14ac:dyDescent="0.35">
      <c r="A56" s="5">
        <f t="shared" si="46"/>
        <v>0.77600000000000002</v>
      </c>
      <c r="B56" s="11">
        <f>NPV('Cost Assumptions'!$B$3,'SCE Orange County'!D56:'SCE Orange County'!AD56)</f>
        <v>142.78709268700183</v>
      </c>
      <c r="C56" s="88" t="s">
        <v>35</v>
      </c>
      <c r="D56" s="63">
        <f t="shared" ref="D56:AD56" si="61">D12-D31</f>
        <v>2</v>
      </c>
      <c r="E56" s="63">
        <f t="shared" si="61"/>
        <v>4</v>
      </c>
      <c r="F56" s="63">
        <f t="shared" si="61"/>
        <v>4.5999999999999996</v>
      </c>
      <c r="G56" s="63">
        <f t="shared" si="61"/>
        <v>5.1999999999999993</v>
      </c>
      <c r="H56" s="63">
        <f t="shared" si="61"/>
        <v>5.7999999999999989</v>
      </c>
      <c r="I56" s="63">
        <f t="shared" si="61"/>
        <v>6.3999999999999986</v>
      </c>
      <c r="J56" s="63">
        <f t="shared" si="61"/>
        <v>7</v>
      </c>
      <c r="K56" s="63">
        <f t="shared" si="61"/>
        <v>8.75</v>
      </c>
      <c r="L56" s="63">
        <f t="shared" si="61"/>
        <v>10.5</v>
      </c>
      <c r="M56" s="63">
        <f t="shared" si="61"/>
        <v>12.25</v>
      </c>
      <c r="N56" s="63">
        <f t="shared" si="61"/>
        <v>14</v>
      </c>
      <c r="O56" s="63">
        <f t="shared" si="61"/>
        <v>17.833333333333332</v>
      </c>
      <c r="P56" s="63">
        <f t="shared" si="61"/>
        <v>21.666666666666664</v>
      </c>
      <c r="Q56" s="63">
        <f t="shared" si="61"/>
        <v>25.499999999999996</v>
      </c>
      <c r="R56" s="63">
        <f t="shared" si="61"/>
        <v>29.333333333333329</v>
      </c>
      <c r="S56" s="63">
        <f t="shared" si="61"/>
        <v>33.166666666666664</v>
      </c>
      <c r="T56" s="63">
        <f t="shared" si="61"/>
        <v>37</v>
      </c>
      <c r="U56" s="63">
        <f t="shared" si="61"/>
        <v>40.200000000000003</v>
      </c>
      <c r="V56" s="63">
        <f t="shared" si="61"/>
        <v>42.400000000000006</v>
      </c>
      <c r="W56" s="63">
        <f t="shared" si="61"/>
        <v>44.600000000000009</v>
      </c>
      <c r="X56" s="63">
        <f t="shared" si="61"/>
        <v>46.800000000000011</v>
      </c>
      <c r="Y56" s="63">
        <f t="shared" si="61"/>
        <v>49</v>
      </c>
      <c r="Z56" s="63">
        <f t="shared" si="61"/>
        <v>53.199999999999996</v>
      </c>
      <c r="AA56" s="63">
        <f t="shared" si="61"/>
        <v>57.399999999999991</v>
      </c>
      <c r="AB56" s="63">
        <f t="shared" si="61"/>
        <v>61.599999999999994</v>
      </c>
      <c r="AC56" s="63">
        <f t="shared" si="61"/>
        <v>65.799999999999983</v>
      </c>
      <c r="AD56" s="63">
        <f t="shared" si="61"/>
        <v>70</v>
      </c>
    </row>
    <row r="58" spans="1:30" ht="15" thickBot="1" x14ac:dyDescent="0.4">
      <c r="A58" s="166" t="s">
        <v>156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</row>
    <row r="59" spans="1:30" ht="15.5" thickTop="1" thickBot="1" x14ac:dyDescent="0.4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" thickTop="1" x14ac:dyDescent="0.35">
      <c r="A60" s="88" t="str">
        <f>'Baseline System Analysis'!A17</f>
        <v>Residential</v>
      </c>
      <c r="B60" s="88" t="str">
        <f>'Baseline System Analysis'!B17</f>
        <v>Cost of Reliability (N-1)</v>
      </c>
      <c r="C60" s="88" t="str">
        <f>'Baseline System Analysis'!C17</f>
        <v>$/kWh</v>
      </c>
      <c r="D60" s="5">
        <f>'Baseline System Analysis'!D17</f>
        <v>4.4933261328125003</v>
      </c>
      <c r="E60" s="5">
        <f>'Baseline System Analysis'!E17</f>
        <v>4.6056592861328127</v>
      </c>
      <c r="F60" s="5">
        <f>'Baseline System Analysis'!F17</f>
        <v>4.720800768286133</v>
      </c>
      <c r="G60" s="5">
        <f>'Baseline System Analysis'!G17</f>
        <v>4.8388207874932858</v>
      </c>
      <c r="H60" s="5">
        <f>'Baseline System Analysis'!H17</f>
        <v>4.9597913071806179</v>
      </c>
      <c r="I60" s="5">
        <f>'Baseline System Analysis'!I17</f>
        <v>5.0837860898601326</v>
      </c>
      <c r="J60" s="5">
        <f>'Baseline System Analysis'!J17</f>
        <v>5.2108807421066352</v>
      </c>
      <c r="K60" s="5">
        <f>'Baseline System Analysis'!K17</f>
        <v>5.341152760659301</v>
      </c>
      <c r="L60" s="5">
        <f>'Baseline System Analysis'!L17</f>
        <v>5.4746815796757833</v>
      </c>
      <c r="M60" s="5">
        <f>'Baseline System Analysis'!M17</f>
        <v>5.6115486191676771</v>
      </c>
      <c r="N60" s="5">
        <f>'Baseline System Analysis'!N17</f>
        <v>5.7518373346468685</v>
      </c>
      <c r="O60" s="5">
        <f>'Baseline System Analysis'!O17</f>
        <v>5.8956332680130394</v>
      </c>
      <c r="P60" s="5">
        <f>'Baseline System Analysis'!P17</f>
        <v>6.0430240997133646</v>
      </c>
      <c r="Q60" s="5">
        <f>'Baseline System Analysis'!Q17</f>
        <v>6.1940997022061985</v>
      </c>
      <c r="R60" s="5">
        <f>'Baseline System Analysis'!R17</f>
        <v>6.3489521947613525</v>
      </c>
      <c r="S60" s="5">
        <f>'Baseline System Analysis'!S17</f>
        <v>6.5076759996303855</v>
      </c>
      <c r="T60" s="5">
        <f>'Baseline System Analysis'!T17</f>
        <v>6.6703678996211444</v>
      </c>
      <c r="U60" s="5">
        <f>'Baseline System Analysis'!U17</f>
        <v>6.8371270971116722</v>
      </c>
      <c r="V60" s="5">
        <f>'Baseline System Analysis'!V17</f>
        <v>7.0080552745394638</v>
      </c>
      <c r="W60" s="5">
        <f>'Baseline System Analysis'!W17</f>
        <v>7.1832566564029499</v>
      </c>
      <c r="X60" s="5">
        <f>'Baseline System Analysis'!X17</f>
        <v>7.3628380728130232</v>
      </c>
      <c r="Y60" s="5">
        <f>'Baseline System Analysis'!Y17</f>
        <v>7.5469090246333481</v>
      </c>
      <c r="Z60" s="5">
        <f>'Baseline System Analysis'!Z17</f>
        <v>7.7355817502491808</v>
      </c>
      <c r="AA60" s="5">
        <f>'Baseline System Analysis'!AA17</f>
        <v>7.92897129400541</v>
      </c>
      <c r="AB60" s="5">
        <f>'Baseline System Analysis'!AB17</f>
        <v>8.127195576355545</v>
      </c>
      <c r="AC60" s="5">
        <f>'Baseline System Analysis'!AC17</f>
        <v>8.3303754657644333</v>
      </c>
      <c r="AD60" s="5">
        <f>'Baseline System Analysis'!AD17</f>
        <v>8.5386348524085438</v>
      </c>
    </row>
    <row r="61" spans="1:30" x14ac:dyDescent="0.35">
      <c r="A61" s="88" t="str">
        <f>'Baseline System Analysis'!A18</f>
        <v>Residential</v>
      </c>
      <c r="B61" s="88" t="str">
        <f>'Baseline System Analysis'!B18</f>
        <v>Cost of Reliability (N-0)</v>
      </c>
      <c r="C61" s="88" t="str">
        <f>'Baseline System Analysis'!C18</f>
        <v>$/kWh</v>
      </c>
      <c r="D61" s="5">
        <f>'Baseline System Analysis'!D18</f>
        <v>3.7920011132812492</v>
      </c>
      <c r="E61" s="5">
        <f>'Baseline System Analysis'!E18</f>
        <v>3.8868011411132799</v>
      </c>
      <c r="F61" s="5">
        <f>'Baseline System Analysis'!F18</f>
        <v>3.9839711696411118</v>
      </c>
      <c r="G61" s="5">
        <f>'Baseline System Analysis'!G18</f>
        <v>4.0835704488821394</v>
      </c>
      <c r="H61" s="5">
        <f>'Baseline System Analysis'!H18</f>
        <v>4.1856597101041926</v>
      </c>
      <c r="I61" s="5">
        <f>'Baseline System Analysis'!I18</f>
        <v>4.2903012028567966</v>
      </c>
      <c r="J61" s="5">
        <f>'Baseline System Analysis'!J18</f>
        <v>4.397558732928216</v>
      </c>
      <c r="K61" s="5">
        <f>'Baseline System Analysis'!K18</f>
        <v>4.5074977012514212</v>
      </c>
      <c r="L61" s="5">
        <f>'Baseline System Analysis'!L18</f>
        <v>4.6201851437827059</v>
      </c>
      <c r="M61" s="5">
        <f>'Baseline System Analysis'!M18</f>
        <v>4.7356897723772731</v>
      </c>
      <c r="N61" s="5">
        <f>'Baseline System Analysis'!N18</f>
        <v>4.8540820166867045</v>
      </c>
      <c r="O61" s="5">
        <f>'Baseline System Analysis'!O18</f>
        <v>4.9754340671038717</v>
      </c>
      <c r="P61" s="5">
        <f>'Baseline System Analysis'!P18</f>
        <v>5.0998199187814679</v>
      </c>
      <c r="Q61" s="5">
        <f>'Baseline System Analysis'!Q18</f>
        <v>5.2273154167510043</v>
      </c>
      <c r="R61" s="5">
        <f>'Baseline System Analysis'!R18</f>
        <v>5.3579983021697792</v>
      </c>
      <c r="S61" s="5">
        <f>'Baseline System Analysis'!S18</f>
        <v>5.4919482597240235</v>
      </c>
      <c r="T61" s="5">
        <f>'Baseline System Analysis'!T18</f>
        <v>5.6292469662171234</v>
      </c>
      <c r="U61" s="5">
        <f>'Baseline System Analysis'!U18</f>
        <v>5.769978140372551</v>
      </c>
      <c r="V61" s="5">
        <f>'Baseline System Analysis'!V18</f>
        <v>5.914227593881864</v>
      </c>
      <c r="W61" s="5">
        <f>'Baseline System Analysis'!W18</f>
        <v>6.06208328372891</v>
      </c>
      <c r="X61" s="5">
        <f>'Baseline System Analysis'!X18</f>
        <v>6.2136353658221326</v>
      </c>
      <c r="Y61" s="5">
        <f>'Baseline System Analysis'!Y18</f>
        <v>6.3689762499676856</v>
      </c>
      <c r="Z61" s="5">
        <f>'Baseline System Analysis'!Z18</f>
        <v>6.5282006562168773</v>
      </c>
      <c r="AA61" s="5">
        <f>'Baseline System Analysis'!AA18</f>
        <v>6.6914056726222988</v>
      </c>
      <c r="AB61" s="5">
        <f>'Baseline System Analysis'!AB18</f>
        <v>6.858690814437856</v>
      </c>
      <c r="AC61" s="5">
        <f>'Baseline System Analysis'!AC18</f>
        <v>7.0301580847988019</v>
      </c>
      <c r="AD61" s="5">
        <f>'Baseline System Analysis'!AD18</f>
        <v>7.2059120369187717</v>
      </c>
    </row>
    <row r="62" spans="1:30" x14ac:dyDescent="0.35">
      <c r="A62" s="88" t="str">
        <f>'Baseline System Analysis'!A19</f>
        <v>Commerical</v>
      </c>
      <c r="B62" s="88" t="str">
        <f>'Baseline System Analysis'!B19</f>
        <v>Cost of Reliability (N-1)</v>
      </c>
      <c r="C62" s="88" t="str">
        <f>'Baseline System Analysis'!C19</f>
        <v>$/kWh</v>
      </c>
      <c r="D62" s="5">
        <f>'Baseline System Analysis'!D19</f>
        <v>166.59767191406246</v>
      </c>
      <c r="E62" s="5">
        <f>'Baseline System Analysis'!E19</f>
        <v>170.76261371191401</v>
      </c>
      <c r="F62" s="5">
        <f>'Baseline System Analysis'!F19</f>
        <v>175.03167905471184</v>
      </c>
      <c r="G62" s="5">
        <f>'Baseline System Analysis'!G19</f>
        <v>179.40747103107964</v>
      </c>
      <c r="H62" s="5">
        <f>'Baseline System Analysis'!H19</f>
        <v>183.89265780685662</v>
      </c>
      <c r="I62" s="5">
        <f>'Baseline System Analysis'!I19</f>
        <v>188.48997425202802</v>
      </c>
      <c r="J62" s="5">
        <f>'Baseline System Analysis'!J19</f>
        <v>193.20222360832869</v>
      </c>
      <c r="K62" s="5">
        <f>'Baseline System Analysis'!K19</f>
        <v>198.03227919853688</v>
      </c>
      <c r="L62" s="5">
        <f>'Baseline System Analysis'!L19</f>
        <v>202.98308617850029</v>
      </c>
      <c r="M62" s="5">
        <f>'Baseline System Analysis'!M19</f>
        <v>208.05766333296279</v>
      </c>
      <c r="N62" s="5">
        <f>'Baseline System Analysis'!N19</f>
        <v>213.25910491628684</v>
      </c>
      <c r="O62" s="5">
        <f>'Baseline System Analysis'!O19</f>
        <v>218.590582539194</v>
      </c>
      <c r="P62" s="5">
        <f>'Baseline System Analysis'!P19</f>
        <v>224.05534710267384</v>
      </c>
      <c r="Q62" s="5">
        <f>'Baseline System Analysis'!Q19</f>
        <v>229.65673078024065</v>
      </c>
      <c r="R62" s="5">
        <f>'Baseline System Analysis'!R19</f>
        <v>235.39814904974665</v>
      </c>
      <c r="S62" s="5">
        <f>'Baseline System Analysis'!S19</f>
        <v>241.2831027759903</v>
      </c>
      <c r="T62" s="5">
        <f>'Baseline System Analysis'!T19</f>
        <v>247.31518034539005</v>
      </c>
      <c r="U62" s="5">
        <f>'Baseline System Analysis'!U19</f>
        <v>253.49805985402477</v>
      </c>
      <c r="V62" s="5">
        <f>'Baseline System Analysis'!V19</f>
        <v>259.83551135037538</v>
      </c>
      <c r="W62" s="5">
        <f>'Baseline System Analysis'!W19</f>
        <v>266.33139913413476</v>
      </c>
      <c r="X62" s="5">
        <f>'Baseline System Analysis'!X19</f>
        <v>272.98968411248808</v>
      </c>
      <c r="Y62" s="5">
        <f>'Baseline System Analysis'!Y19</f>
        <v>279.81442621530027</v>
      </c>
      <c r="Z62" s="5">
        <f>'Baseline System Analysis'!Z19</f>
        <v>286.80978687068273</v>
      </c>
      <c r="AA62" s="5">
        <f>'Baseline System Analysis'!AA19</f>
        <v>293.98003154244975</v>
      </c>
      <c r="AB62" s="5">
        <f>'Baseline System Analysis'!AB19</f>
        <v>301.32953233101097</v>
      </c>
      <c r="AC62" s="5">
        <f>'Baseline System Analysis'!AC19</f>
        <v>308.86277063928623</v>
      </c>
      <c r="AD62" s="5">
        <f>'Baseline System Analysis'!AD19</f>
        <v>316.58433990526834</v>
      </c>
    </row>
    <row r="63" spans="1:30" x14ac:dyDescent="0.35">
      <c r="A63" s="88" t="str">
        <f>'Baseline System Analysis'!A20</f>
        <v>Commerical</v>
      </c>
      <c r="B63" s="88" t="str">
        <f>'Baseline System Analysis'!B20</f>
        <v>Cost of Reliability (N-0)</v>
      </c>
      <c r="C63" s="88" t="str">
        <f>'Baseline System Analysis'!C20</f>
        <v>$/kWh</v>
      </c>
      <c r="D63" s="5">
        <f>'Baseline System Analysis'!D20</f>
        <v>153.83719106445315</v>
      </c>
      <c r="E63" s="5">
        <f>'Baseline System Analysis'!E20</f>
        <v>157.68312084106446</v>
      </c>
      <c r="F63" s="5">
        <f>'Baseline System Analysis'!F20</f>
        <v>161.62519886209105</v>
      </c>
      <c r="G63" s="5">
        <f>'Baseline System Analysis'!G20</f>
        <v>165.6658288336433</v>
      </c>
      <c r="H63" s="5">
        <f>'Baseline System Analysis'!H20</f>
        <v>169.80747455448437</v>
      </c>
      <c r="I63" s="5">
        <f>'Baseline System Analysis'!I20</f>
        <v>174.05266141834647</v>
      </c>
      <c r="J63" s="5">
        <f>'Baseline System Analysis'!J20</f>
        <v>178.40397795380511</v>
      </c>
      <c r="K63" s="5">
        <f>'Baseline System Analysis'!K20</f>
        <v>182.86407740265022</v>
      </c>
      <c r="L63" s="5">
        <f>'Baseline System Analysis'!L20</f>
        <v>187.43567933771646</v>
      </c>
      <c r="M63" s="5">
        <f>'Baseline System Analysis'!M20</f>
        <v>192.12157132115937</v>
      </c>
      <c r="N63" s="5">
        <f>'Baseline System Analysis'!N20</f>
        <v>196.92461060418833</v>
      </c>
      <c r="O63" s="5">
        <f>'Baseline System Analysis'!O20</f>
        <v>201.84772586929301</v>
      </c>
      <c r="P63" s="5">
        <f>'Baseline System Analysis'!P20</f>
        <v>206.89391901602534</v>
      </c>
      <c r="Q63" s="5">
        <f>'Baseline System Analysis'!Q20</f>
        <v>212.06626699142595</v>
      </c>
      <c r="R63" s="5">
        <f>'Baseline System Analysis'!R20</f>
        <v>217.36792366621157</v>
      </c>
      <c r="S63" s="5">
        <f>'Baseline System Analysis'!S20</f>
        <v>222.80212175786684</v>
      </c>
      <c r="T63" s="5">
        <f>'Baseline System Analysis'!T20</f>
        <v>228.37217480181349</v>
      </c>
      <c r="U63" s="5">
        <f>'Baseline System Analysis'!U20</f>
        <v>234.0814791718588</v>
      </c>
      <c r="V63" s="5">
        <f>'Baseline System Analysis'!V20</f>
        <v>239.93351615115526</v>
      </c>
      <c r="W63" s="5">
        <f>'Baseline System Analysis'!W20</f>
        <v>245.93185405493412</v>
      </c>
      <c r="X63" s="5">
        <f>'Baseline System Analysis'!X20</f>
        <v>252.08015040630744</v>
      </c>
      <c r="Y63" s="5">
        <f>'Baseline System Analysis'!Y20</f>
        <v>258.38215416646511</v>
      </c>
      <c r="Z63" s="5">
        <f>'Baseline System Analysis'!Z20</f>
        <v>264.8417080206267</v>
      </c>
      <c r="AA63" s="5">
        <f>'Baseline System Analysis'!AA20</f>
        <v>271.46275072114236</v>
      </c>
      <c r="AB63" s="5">
        <f>'Baseline System Analysis'!AB20</f>
        <v>278.24931948917089</v>
      </c>
      <c r="AC63" s="5">
        <f>'Baseline System Analysis'!AC20</f>
        <v>285.20555247640016</v>
      </c>
      <c r="AD63" s="5">
        <f>'Baseline System Analysis'!AD20</f>
        <v>292.33569128831016</v>
      </c>
    </row>
    <row r="65" spans="1:30" x14ac:dyDescent="0.35">
      <c r="A65" s="88" t="s">
        <v>130</v>
      </c>
      <c r="B65" s="88" t="s">
        <v>31</v>
      </c>
      <c r="C65" s="20">
        <f>NPV('Cost Assumptions'!$B$3,D65:AD65)</f>
        <v>1235230.9859561687</v>
      </c>
      <c r="D65" s="5">
        <f>'Baseline System Analysis'!D24-D34</f>
        <v>1354.9655166582397</v>
      </c>
      <c r="E65" s="5">
        <f>'Baseline System Analysis'!E24-E34</f>
        <v>3468.8297365152371</v>
      </c>
      <c r="F65" s="5">
        <f>'Baseline System Analysis'!F24-F34</f>
        <v>5582.6939563722344</v>
      </c>
      <c r="G65" s="5">
        <f>'Baseline System Analysis'!G24-G34</f>
        <v>7696.5581762292313</v>
      </c>
      <c r="H65" s="5">
        <f>'Baseline System Analysis'!H24-H34</f>
        <v>9810.4223960862291</v>
      </c>
      <c r="I65" s="5">
        <f>'Baseline System Analysis'!I24-I34</f>
        <v>11924.286615943227</v>
      </c>
      <c r="J65" s="5">
        <f>'Baseline System Analysis'!J24-J34</f>
        <v>12073.97009633274</v>
      </c>
      <c r="K65" s="5">
        <f>'Baseline System Analysis'!K24-K34</f>
        <v>17490.022429931287</v>
      </c>
      <c r="L65" s="5">
        <f>'Baseline System Analysis'!L24-L34</f>
        <v>22906.074763529836</v>
      </c>
      <c r="M65" s="5">
        <f>'Baseline System Analysis'!M24-M34</f>
        <v>28322.127097128381</v>
      </c>
      <c r="N65" s="5">
        <f>'Baseline System Analysis'!N24-N34</f>
        <v>33738.17943072693</v>
      </c>
      <c r="O65" s="5">
        <f>'Baseline System Analysis'!O24-O34</f>
        <v>72535.271846927048</v>
      </c>
      <c r="P65" s="5">
        <f>'Baseline System Analysis'!P24-P34</f>
        <v>108227.87968173334</v>
      </c>
      <c r="Q65" s="5">
        <f>'Baseline System Analysis'!Q24-Q34</f>
        <v>143920.48751653961</v>
      </c>
      <c r="R65" s="5">
        <f>'Baseline System Analysis'!R24-R34</f>
        <v>179613.0953513459</v>
      </c>
      <c r="S65" s="5">
        <f>'Baseline System Analysis'!S24-S34</f>
        <v>215305.70318615218</v>
      </c>
      <c r="T65" s="5">
        <f>'Baseline System Analysis'!T24-T34</f>
        <v>250998.3110209585</v>
      </c>
      <c r="U65" s="5">
        <f>'Baseline System Analysis'!U24-U34</f>
        <v>345013.94055198855</v>
      </c>
      <c r="V65" s="5">
        <f>'Baseline System Analysis'!V24-V34</f>
        <v>439029.57008301857</v>
      </c>
      <c r="W65" s="5">
        <f>'Baseline System Analysis'!W24-W34</f>
        <v>533045.19961404859</v>
      </c>
      <c r="X65" s="5">
        <f>'Baseline System Analysis'!X24-X34</f>
        <v>627060.82914507878</v>
      </c>
      <c r="Y65" s="5">
        <f>'Baseline System Analysis'!Y24-Y34</f>
        <v>721076.45867610862</v>
      </c>
      <c r="Z65" s="5">
        <f>'Baseline System Analysis'!Z24-Z34</f>
        <v>880013.26767499791</v>
      </c>
      <c r="AA65" s="5">
        <f>'Baseline System Analysis'!AA24-AA34</f>
        <v>1038950.0766738872</v>
      </c>
      <c r="AB65" s="5">
        <f>'Baseline System Analysis'!AB24-AB34</f>
        <v>1197886.8856727767</v>
      </c>
      <c r="AC65" s="5">
        <f>'Baseline System Analysis'!AC24-AC34</f>
        <v>1356823.694671666</v>
      </c>
      <c r="AD65" s="5">
        <f>'Baseline System Analysis'!AD24-AD34</f>
        <v>1515760.5036705553</v>
      </c>
    </row>
    <row r="66" spans="1:30" x14ac:dyDescent="0.35">
      <c r="A66" s="88" t="s">
        <v>132</v>
      </c>
      <c r="B66" s="88" t="s">
        <v>31</v>
      </c>
      <c r="C66" s="20">
        <f>NPV('Cost Assumptions'!$B$3,D66:AD66)</f>
        <v>5125573.4716977291</v>
      </c>
      <c r="D66" s="5">
        <f>'Baseline System Analysis'!D25-D35</f>
        <v>5622.4102100812415</v>
      </c>
      <c r="E66" s="5">
        <f>'Baseline System Analysis'!E25-E35</f>
        <v>14393.85983468976</v>
      </c>
      <c r="F66" s="5">
        <f>'Baseline System Analysis'!F25-F35</f>
        <v>23165.309459298278</v>
      </c>
      <c r="G66" s="5">
        <f>'Baseline System Analysis'!G25-G35</f>
        <v>31936.759083906796</v>
      </c>
      <c r="H66" s="5">
        <f>'Baseline System Analysis'!H25-H35</f>
        <v>40708.208708515318</v>
      </c>
      <c r="I66" s="5">
        <f>'Baseline System Analysis'!I25-I35</f>
        <v>49479.658333123836</v>
      </c>
      <c r="J66" s="5">
        <f>'Baseline System Analysis'!J25-J35</f>
        <v>50100.767813827137</v>
      </c>
      <c r="K66" s="5">
        <f>'Baseline System Analysis'!K25-K35</f>
        <v>72574.600220913766</v>
      </c>
      <c r="L66" s="5">
        <f>'Baseline System Analysis'!L25-L35</f>
        <v>95048.432628000373</v>
      </c>
      <c r="M66" s="5">
        <f>'Baseline System Analysis'!M25-M35</f>
        <v>117522.26503508698</v>
      </c>
      <c r="N66" s="5">
        <f>'Baseline System Analysis'!N25-N35</f>
        <v>139996.09744217357</v>
      </c>
      <c r="O66" s="5">
        <f>'Baseline System Analysis'!O25-O35</f>
        <v>300984.08262742934</v>
      </c>
      <c r="P66" s="5">
        <f>'Baseline System Analysis'!P25-P35</f>
        <v>449090.05303601606</v>
      </c>
      <c r="Q66" s="5">
        <f>'Baseline System Analysis'!Q25-Q35</f>
        <v>597196.02344460273</v>
      </c>
      <c r="R66" s="5">
        <f>'Baseline System Analysis'!R25-R35</f>
        <v>745301.99385318952</v>
      </c>
      <c r="S66" s="5">
        <f>'Baseline System Analysis'!S25-S35</f>
        <v>893407.96426177619</v>
      </c>
      <c r="T66" s="5">
        <f>'Baseline System Analysis'!T25-T35</f>
        <v>1041513.9346703627</v>
      </c>
      <c r="U66" s="5">
        <f>'Baseline System Analysis'!U25-U35</f>
        <v>1431630.4571086273</v>
      </c>
      <c r="V66" s="5">
        <f>'Baseline System Analysis'!V25-V35</f>
        <v>1821746.9795468918</v>
      </c>
      <c r="W66" s="5">
        <f>'Baseline System Analysis'!W25-W35</f>
        <v>2211863.501985156</v>
      </c>
      <c r="X66" s="5">
        <f>'Baseline System Analysis'!X25-X35</f>
        <v>2601980.0244234204</v>
      </c>
      <c r="Y66" s="5">
        <f>'Baseline System Analysis'!Y25-Y35</f>
        <v>2992096.5468616853</v>
      </c>
      <c r="Z66" s="5">
        <f>'Baseline System Analysis'!Z25-Z35</f>
        <v>3651602.5835001664</v>
      </c>
      <c r="AA66" s="5">
        <f>'Baseline System Analysis'!AA25-AA35</f>
        <v>4311108.620138647</v>
      </c>
      <c r="AB66" s="5">
        <f>'Baseline System Analysis'!AB25-AB35</f>
        <v>4970614.6567771276</v>
      </c>
      <c r="AC66" s="5">
        <f>'Baseline System Analysis'!AC25-AC35</f>
        <v>5630120.6934156083</v>
      </c>
      <c r="AD66" s="5">
        <f>'Baseline System Analysis'!AD25-AD35</f>
        <v>6289626.7300540917</v>
      </c>
    </row>
    <row r="67" spans="1:30" x14ac:dyDescent="0.35">
      <c r="A67" s="88" t="s">
        <v>24</v>
      </c>
      <c r="B67" s="88" t="s">
        <v>31</v>
      </c>
      <c r="C67" s="20">
        <f>NPV('Cost Assumptions'!$B$3,D67:AD67)</f>
        <v>6360804.4576538978</v>
      </c>
      <c r="D67" s="5">
        <f>SUM(D65:D66)</f>
        <v>6977.3757267394813</v>
      </c>
      <c r="E67" s="5">
        <f t="shared" ref="E67:AD67" si="62">SUM(E65:E66)</f>
        <v>17862.689571204995</v>
      </c>
      <c r="F67" s="5">
        <f t="shared" si="62"/>
        <v>28748.003415670511</v>
      </c>
      <c r="G67" s="5">
        <f t="shared" si="62"/>
        <v>39633.317260136027</v>
      </c>
      <c r="H67" s="5">
        <f t="shared" si="62"/>
        <v>50518.631104601547</v>
      </c>
      <c r="I67" s="5">
        <f t="shared" si="62"/>
        <v>61403.944949067067</v>
      </c>
      <c r="J67" s="5">
        <f t="shared" si="62"/>
        <v>62174.737910159878</v>
      </c>
      <c r="K67" s="5">
        <f t="shared" si="62"/>
        <v>90064.622650845049</v>
      </c>
      <c r="L67" s="5">
        <f t="shared" si="62"/>
        <v>117954.50739153021</v>
      </c>
      <c r="M67" s="5">
        <f t="shared" si="62"/>
        <v>145844.39213221538</v>
      </c>
      <c r="N67" s="5">
        <f t="shared" si="62"/>
        <v>173734.27687290049</v>
      </c>
      <c r="O67" s="5">
        <f t="shared" si="62"/>
        <v>373519.3544743564</v>
      </c>
      <c r="P67" s="5">
        <f t="shared" si="62"/>
        <v>557317.93271774938</v>
      </c>
      <c r="Q67" s="5">
        <f t="shared" si="62"/>
        <v>741116.51096114237</v>
      </c>
      <c r="R67" s="5">
        <f t="shared" si="62"/>
        <v>924915.08920453535</v>
      </c>
      <c r="S67" s="5">
        <f t="shared" si="62"/>
        <v>1108713.6674479283</v>
      </c>
      <c r="T67" s="5">
        <f t="shared" si="62"/>
        <v>1292512.2456913213</v>
      </c>
      <c r="U67" s="5">
        <f t="shared" si="62"/>
        <v>1776644.3976606159</v>
      </c>
      <c r="V67" s="5">
        <f t="shared" si="62"/>
        <v>2260776.5496299104</v>
      </c>
      <c r="W67" s="5">
        <f t="shared" si="62"/>
        <v>2744908.7015992044</v>
      </c>
      <c r="X67" s="5">
        <f t="shared" si="62"/>
        <v>3229040.853568499</v>
      </c>
      <c r="Y67" s="5">
        <f t="shared" si="62"/>
        <v>3713173.005537794</v>
      </c>
      <c r="Z67" s="5">
        <f t="shared" si="62"/>
        <v>4531615.8511751648</v>
      </c>
      <c r="AA67" s="5">
        <f t="shared" si="62"/>
        <v>5350058.6968125347</v>
      </c>
      <c r="AB67" s="5">
        <f t="shared" si="62"/>
        <v>6168501.5424499046</v>
      </c>
      <c r="AC67" s="5">
        <f t="shared" si="62"/>
        <v>6986944.3880872745</v>
      </c>
      <c r="AD67" s="5">
        <f t="shared" si="62"/>
        <v>7805387.2337246472</v>
      </c>
    </row>
    <row r="68" spans="1:30" x14ac:dyDescent="0.35">
      <c r="A68" s="88"/>
      <c r="B68" s="88"/>
      <c r="C68" s="8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x14ac:dyDescent="0.35">
      <c r="A69" s="88" t="s">
        <v>133</v>
      </c>
      <c r="B69" s="88" t="s">
        <v>31</v>
      </c>
      <c r="C69" s="20">
        <f>NPV('Cost Assumptions'!$B$3,D69:AD69)</f>
        <v>53997145.644179776</v>
      </c>
      <c r="D69" s="5">
        <f>'Baseline System Analysis'!D28-D32</f>
        <v>160316.96625268596</v>
      </c>
      <c r="E69" s="5">
        <f>'Baseline System Analysis'!E28-E32</f>
        <v>426669.25690772623</v>
      </c>
      <c r="F69" s="5">
        <f>'Baseline System Analysis'!F28-F32</f>
        <v>622795.96524369309</v>
      </c>
      <c r="G69" s="5">
        <f>'Baseline System Analysis'!G28-G32</f>
        <v>833703.43870740035</v>
      </c>
      <c r="H69" s="5">
        <f>'Baseline System Analysis'!H28-H32</f>
        <v>1064554.7712044911</v>
      </c>
      <c r="I69" s="5">
        <f>'Baseline System Analysis'!I28-I32</f>
        <v>1155250.6032801536</v>
      </c>
      <c r="J69" s="5">
        <f>'Baseline System Analysis'!J28-J32</f>
        <v>1567814.7930424134</v>
      </c>
      <c r="K69" s="5">
        <f>'Baseline System Analysis'!K28-K32</f>
        <v>2064587.6916558424</v>
      </c>
      <c r="L69" s="5">
        <f>'Baseline System Analysis'!L28-L32</f>
        <v>2485972.1963254735</v>
      </c>
      <c r="M69" s="5">
        <f>'Baseline System Analysis'!M28-M32</f>
        <v>2907214.7827229644</v>
      </c>
      <c r="N69" s="5">
        <f>'Baseline System Analysis'!N28-N32</f>
        <v>3653487.05439856</v>
      </c>
      <c r="O69" s="5">
        <f>'Baseline System Analysis'!O28-O32</f>
        <v>4512360.7012723647</v>
      </c>
      <c r="P69" s="5">
        <f>'Baseline System Analysis'!P28-P32</f>
        <v>5845712.9395959051</v>
      </c>
      <c r="Q69" s="5">
        <f>'Baseline System Analysis'!Q28-Q32</f>
        <v>7145234.3901076168</v>
      </c>
      <c r="R69" s="5">
        <f>'Baseline System Analysis'!R28-R32</f>
        <v>9104342.6872677077</v>
      </c>
      <c r="S69" s="5">
        <f>'Baseline System Analysis'!S28-S32</f>
        <v>11402628.544698209</v>
      </c>
      <c r="T69" s="5">
        <f>'Baseline System Analysis'!T28-T32</f>
        <v>14095767.66157037</v>
      </c>
      <c r="U69" s="5">
        <f>'Baseline System Analysis'!U28-U32</f>
        <v>17191903.011561129</v>
      </c>
      <c r="V69" s="5">
        <f>'Baseline System Analysis'!V28-V32</f>
        <v>19377977.58667798</v>
      </c>
      <c r="W69" s="5">
        <f>'Baseline System Analysis'!W28-W32</f>
        <v>21991601.23328612</v>
      </c>
      <c r="X69" s="5">
        <f>'Baseline System Analysis'!X28-X32</f>
        <v>24807454.282836087</v>
      </c>
      <c r="Y69" s="5">
        <f>'Baseline System Analysis'!Y28-Y32</f>
        <v>27642763.922696158</v>
      </c>
      <c r="Z69" s="5">
        <f>'Baseline System Analysis'!Z28-Z32</f>
        <v>30567017.347698033</v>
      </c>
      <c r="AA69" s="5">
        <f>'Baseline System Analysis'!AA28-AA32</f>
        <v>33944114.016030498</v>
      </c>
      <c r="AB69" s="5">
        <f>'Baseline System Analysis'!AB28-AB32</f>
        <v>37877741.805101968</v>
      </c>
      <c r="AC69" s="5">
        <f>'Baseline System Analysis'!AC28-AC32</f>
        <v>41260899.750617564</v>
      </c>
      <c r="AD69" s="5">
        <f>'Baseline System Analysis'!AD28-AD32</f>
        <v>44143102.409943007</v>
      </c>
    </row>
    <row r="70" spans="1:30" x14ac:dyDescent="0.35">
      <c r="A70" s="88" t="s">
        <v>134</v>
      </c>
      <c r="B70" s="88" t="s">
        <v>31</v>
      </c>
      <c r="C70" s="20">
        <f>NPV('Cost Assumptions'!$B$3,D70:AD70)</f>
        <v>237456917.41531345</v>
      </c>
      <c r="D70" s="5">
        <f>'Baseline System Analysis'!D29-D33</f>
        <v>903378.82566768141</v>
      </c>
      <c r="E70" s="5">
        <f>'Baseline System Analysis'!E29-E33</f>
        <v>2253314.5961599764</v>
      </c>
      <c r="F70" s="5">
        <f>'Baseline System Analysis'!F29-F33</f>
        <v>3310509.516156707</v>
      </c>
      <c r="G70" s="5">
        <f>'Baseline System Analysis'!G29-G33</f>
        <v>4447440.2170750583</v>
      </c>
      <c r="H70" s="5">
        <f>'Baseline System Analysis'!H29-H33</f>
        <v>5587242.1815372296</v>
      </c>
      <c r="I70" s="5">
        <f>'Baseline System Analysis'!I29-I33</f>
        <v>5454561.6522228802</v>
      </c>
      <c r="J70" s="5">
        <f>'Baseline System Analysis'!J29-J33</f>
        <v>7543245.1947770724</v>
      </c>
      <c r="K70" s="5">
        <f>'Baseline System Analysis'!K29-K33</f>
        <v>10054559.779896669</v>
      </c>
      <c r="L70" s="5">
        <f>'Baseline System Analysis'!L29-L33</f>
        <v>11610814.214658689</v>
      </c>
      <c r="M70" s="5">
        <f>'Baseline System Analysis'!M29-M33</f>
        <v>12826351.057208685</v>
      </c>
      <c r="N70" s="5">
        <f>'Baseline System Analysis'!N29-N33</f>
        <v>16062284.122916382</v>
      </c>
      <c r="O70" s="5">
        <f>'Baseline System Analysis'!O29-O33</f>
        <v>19403643.120637149</v>
      </c>
      <c r="P70" s="5">
        <f>'Baseline System Analysis'!P29-P33</f>
        <v>25219740.504592769</v>
      </c>
      <c r="Q70" s="5">
        <f>'Baseline System Analysis'!Q29-Q33</f>
        <v>31071411.196852271</v>
      </c>
      <c r="R70" s="5">
        <f>'Baseline System Analysis'!R29-R33</f>
        <v>39644741.256940469</v>
      </c>
      <c r="S70" s="5">
        <f>'Baseline System Analysis'!S29-S33</f>
        <v>50251518.164887004</v>
      </c>
      <c r="T70" s="5">
        <f>'Baseline System Analysis'!T29-T33</f>
        <v>62975375.307628401</v>
      </c>
      <c r="U70" s="5">
        <f>'Baseline System Analysis'!U29-U33</f>
        <v>77967536.623126328</v>
      </c>
      <c r="V70" s="5">
        <f>'Baseline System Analysis'!V29-V33</f>
        <v>85402266.513681784</v>
      </c>
      <c r="W70" s="5">
        <f>'Baseline System Analysis'!W29-W33</f>
        <v>95692088.901875272</v>
      </c>
      <c r="X70" s="5">
        <f>'Baseline System Analysis'!X29-X33</f>
        <v>106258916.87145586</v>
      </c>
      <c r="Y70" s="5">
        <f>'Baseline System Analysis'!Y29-Y33</f>
        <v>118450094.78694242</v>
      </c>
      <c r="Z70" s="5">
        <f>'Baseline System Analysis'!Z29-Z33</f>
        <v>130218281.98525508</v>
      </c>
      <c r="AA70" s="5">
        <f>'Baseline System Analysis'!AA29-AA33</f>
        <v>143761981.46475253</v>
      </c>
      <c r="AB70" s="5">
        <f>'Baseline System Analysis'!AB29-AB33</f>
        <v>160035763.41493201</v>
      </c>
      <c r="AC70" s="5">
        <f>'Baseline System Analysis'!AC29-AC33</f>
        <v>176382254.53860241</v>
      </c>
      <c r="AD70" s="5">
        <f>'Baseline System Analysis'!AD29-AD33</f>
        <v>186878215.17646709</v>
      </c>
    </row>
    <row r="71" spans="1:30" x14ac:dyDescent="0.35">
      <c r="A71" s="88" t="s">
        <v>24</v>
      </c>
      <c r="B71" s="88" t="s">
        <v>31</v>
      </c>
      <c r="C71" s="20">
        <f>NPV('Cost Assumptions'!$B$3,D71:AD71)</f>
        <v>291454063.05949324</v>
      </c>
      <c r="D71" s="5">
        <f>SUM(D69:D70)</f>
        <v>1063695.7919203674</v>
      </c>
      <c r="E71" s="5">
        <f t="shared" ref="E71:AD71" si="63">SUM(E69:E70)</f>
        <v>2679983.8530677026</v>
      </c>
      <c r="F71" s="5">
        <f t="shared" si="63"/>
        <v>3933305.4814003999</v>
      </c>
      <c r="G71" s="5">
        <f t="shared" si="63"/>
        <v>5281143.6557824584</v>
      </c>
      <c r="H71" s="5">
        <f t="shared" si="63"/>
        <v>6651796.9527417207</v>
      </c>
      <c r="I71" s="5">
        <f t="shared" si="63"/>
        <v>6609812.2555030342</v>
      </c>
      <c r="J71" s="5">
        <f t="shared" si="63"/>
        <v>9111059.9878194854</v>
      </c>
      <c r="K71" s="5">
        <f t="shared" si="63"/>
        <v>12119147.471552512</v>
      </c>
      <c r="L71" s="5">
        <f t="shared" si="63"/>
        <v>14096786.410984162</v>
      </c>
      <c r="M71" s="5">
        <f t="shared" si="63"/>
        <v>15733565.83993165</v>
      </c>
      <c r="N71" s="5">
        <f t="shared" si="63"/>
        <v>19715771.177314941</v>
      </c>
      <c r="O71" s="5">
        <f t="shared" si="63"/>
        <v>23916003.821909513</v>
      </c>
      <c r="P71" s="5">
        <f t="shared" si="63"/>
        <v>31065453.444188673</v>
      </c>
      <c r="Q71" s="5">
        <f t="shared" si="63"/>
        <v>38216645.586959884</v>
      </c>
      <c r="R71" s="5">
        <f t="shared" si="63"/>
        <v>48749083.944208175</v>
      </c>
      <c r="S71" s="5">
        <f t="shared" si="63"/>
        <v>61654146.709585212</v>
      </c>
      <c r="T71" s="5">
        <f t="shared" si="63"/>
        <v>77071142.969198763</v>
      </c>
      <c r="U71" s="5">
        <f t="shared" si="63"/>
        <v>95159439.634687454</v>
      </c>
      <c r="V71" s="5">
        <f t="shared" si="63"/>
        <v>104780244.10035977</v>
      </c>
      <c r="W71" s="5">
        <f t="shared" si="63"/>
        <v>117683690.1351614</v>
      </c>
      <c r="X71" s="5">
        <f t="shared" si="63"/>
        <v>131066371.15429196</v>
      </c>
      <c r="Y71" s="5">
        <f t="shared" si="63"/>
        <v>146092858.7096386</v>
      </c>
      <c r="Z71" s="5">
        <f t="shared" si="63"/>
        <v>160785299.3329531</v>
      </c>
      <c r="AA71" s="5">
        <f t="shared" si="63"/>
        <v>177706095.48078302</v>
      </c>
      <c r="AB71" s="5">
        <f t="shared" si="63"/>
        <v>197913505.22003397</v>
      </c>
      <c r="AC71" s="5">
        <f t="shared" si="63"/>
        <v>217643154.28921998</v>
      </c>
      <c r="AD71" s="5">
        <f t="shared" si="63"/>
        <v>231021317.58641011</v>
      </c>
    </row>
    <row r="73" spans="1:30" x14ac:dyDescent="0.35">
      <c r="A73" s="88" t="s">
        <v>130</v>
      </c>
      <c r="B73" s="88" t="s">
        <v>157</v>
      </c>
      <c r="C73" s="20">
        <f>NPV('Cost Assumptions'!$B$3,D73:AD73)</f>
        <v>836937302.33464098</v>
      </c>
      <c r="D73" s="63">
        <f>ABS((D49*D60*1000*'Cost Assumptions'!$B$6)/'Cost Assumptions'!$B$14)</f>
        <v>18647829.000037532</v>
      </c>
      <c r="E73" s="63">
        <f>ABS((E49*E60*1000*'Cost Assumptions'!$B$6)/'Cost Assumptions'!$B$14)</f>
        <v>25415845.514199678</v>
      </c>
      <c r="F73" s="63">
        <f>ABS((F49*F60*1000*'Cost Assumptions'!$B$6)/'Cost Assumptions'!$B$14)</f>
        <v>32510607.960944917</v>
      </c>
      <c r="G73" s="63">
        <f>ABS((G49*G60*1000*'Cost Assumptions'!$B$6)/'Cost Assumptions'!$B$14)</f>
        <v>39944223.626581036</v>
      </c>
      <c r="H73" s="63">
        <f>ABS((H49*H60*1000*'Cost Assumptions'!$B$6)/'Cost Assumptions'!$B$14)</f>
        <v>47729200.945523374</v>
      </c>
      <c r="I73" s="63">
        <f>ABS((I49*I60*1000*'Cost Assumptions'!$B$6)/'Cost Assumptions'!$B$14)</f>
        <v>55878461.990646206</v>
      </c>
      <c r="J73" s="63">
        <f>ABS((J49*J60*1000*'Cost Assumptions'!$B$6)/'Cost Assumptions'!$B$14)</f>
        <v>64405355.337434217</v>
      </c>
      <c r="K73" s="63">
        <f>ABS((K49*K60*1000*'Cost Assumptions'!$B$6)/'Cost Assumptions'!$B$14)</f>
        <v>73323669.312817499</v>
      </c>
      <c r="L73" s="63">
        <f>ABS((L49*L60*1000*'Cost Assumptions'!$B$6)/'Cost Assumptions'!$B$14)</f>
        <v>83140366.982054636</v>
      </c>
      <c r="M73" s="63">
        <f>ABS((M49*M60*1000*'Cost Assumptions'!$B$6)/'Cost Assumptions'!$B$14)</f>
        <v>92391993.489983365</v>
      </c>
      <c r="N73" s="63">
        <f>ABS((N49*N60*1000*'Cost Assumptions'!$B$6)/'Cost Assumptions'!$B$14)</f>
        <v>102571903.95406273</v>
      </c>
      <c r="O73" s="63">
        <f>ABS((O49*O60*1000*'Cost Assumptions'!$B$6)/'Cost Assumptions'!$B$14)</f>
        <v>113203064.94541484</v>
      </c>
      <c r="P73" s="63">
        <f>ABS((P49*P60*1000*'Cost Assumptions'!$B$6)/'Cost Assumptions'!$B$14)</f>
        <v>124301676.54636328</v>
      </c>
      <c r="Q73" s="63">
        <f>ABS((Q49*Q60*1000*'Cost Assumptions'!$B$6)/'Cost Assumptions'!$B$14)</f>
        <v>135884466.81176826</v>
      </c>
      <c r="R73" s="63">
        <f>ABS((R49*R60*1000*'Cost Assumptions'!$B$6)/'Cost Assumptions'!$B$14)</f>
        <v>147968708.04260197</v>
      </c>
      <c r="S73" s="63">
        <f>ABS((S49*S60*1000*'Cost Assumptions'!$B$6)/'Cost Assumptions'!$B$14)</f>
        <v>160572233.54322001</v>
      </c>
      <c r="T73" s="63">
        <f>ABS((T49*T60*1000*'Cost Assumptions'!$B$6)/'Cost Assumptions'!$B$14)</f>
        <v>173713454.87634233</v>
      </c>
      <c r="U73" s="63">
        <f>ABS((U49*U60*1000*'Cost Assumptions'!$B$6)/'Cost Assumptions'!$B$14)</f>
        <v>187411379.63015628</v>
      </c>
      <c r="V73" s="63">
        <f>ABS((V49*V60*1000*'Cost Assumptions'!$B$6)/'Cost Assumptions'!$B$14)</f>
        <v>201685629.71236321</v>
      </c>
      <c r="W73" s="63">
        <f>ABS((W49*W60*1000*'Cost Assumptions'!$B$6)/'Cost Assumptions'!$B$14)</f>
        <v>216556460.18641165</v>
      </c>
      <c r="X73" s="63">
        <f>ABS((X49*X60*1000*'Cost Assumptions'!$B$6)/'Cost Assumptions'!$B$14)</f>
        <v>232044778.66559228</v>
      </c>
      <c r="Y73" s="63">
        <f>ABS((Y49*Y60*1000*'Cost Assumptions'!$B$6)/'Cost Assumptions'!$B$14)</f>
        <v>248172165.28111547</v>
      </c>
      <c r="Z73" s="63">
        <f>ABS((Z49*Z60*1000*'Cost Assumptions'!$B$6)/'Cost Assumptions'!$B$14)</f>
        <v>264960893.24074873</v>
      </c>
      <c r="AA73" s="63">
        <f>ABS((AA49*AA60*1000*'Cost Assumptions'!$B$6)/'Cost Assumptions'!$B$14)</f>
        <v>282433949.99506307</v>
      </c>
      <c r="AB73" s="63">
        <f>ABS((AB49*AB60*1000*'Cost Assumptions'!$B$6)/'Cost Assumptions'!$B$14)</f>
        <v>300615059.02881759</v>
      </c>
      <c r="AC73" s="63">
        <f>ABS((AC49*AC60*1000*'Cost Assumptions'!$B$6)/'Cost Assumptions'!$B$14)</f>
        <v>319528702.29551297</v>
      </c>
      <c r="AD73" s="63">
        <f>ABS((AD49*AD60*1000*'Cost Assumptions'!$B$6)/'Cost Assumptions'!$B$14)</f>
        <v>339200143.31364995</v>
      </c>
    </row>
    <row r="74" spans="1:30" x14ac:dyDescent="0.35">
      <c r="A74" s="88" t="s">
        <v>132</v>
      </c>
      <c r="B74" s="88" t="s">
        <v>157</v>
      </c>
      <c r="C74" s="20">
        <f>NPV('Cost Assumptions'!$B$3,D74:AD74)</f>
        <v>3447874123.2787361</v>
      </c>
      <c r="D74" s="63">
        <f>ABS((D49*D62*1000*'Cost Assumptions'!$B$7)/'Cost Assumptions'!$B$14)</f>
        <v>76822202.673012555</v>
      </c>
      <c r="E74" s="63">
        <f>ABS((E49*E62*1000*'Cost Assumptions'!$B$7)/'Cost Assumptions'!$B$14)</f>
        <v>104703943.56329069</v>
      </c>
      <c r="F74" s="63">
        <f>ABS((F49*F62*1000*'Cost Assumptions'!$B$7)/'Cost Assumptions'!$B$14)</f>
        <v>133931757.62141208</v>
      </c>
      <c r="G74" s="63">
        <f>ABS((G49*G62*1000*'Cost Assumptions'!$B$7)/'Cost Assumptions'!$B$14)</f>
        <v>164555522.41771251</v>
      </c>
      <c r="H74" s="63">
        <f>ABS((H49*H62*1000*'Cost Assumptions'!$B$7)/'Cost Assumptions'!$B$14)</f>
        <v>196626768.10531458</v>
      </c>
      <c r="I74" s="63">
        <f>ABS((I49*I62*1000*'Cost Assumptions'!$B$7)/'Cost Assumptions'!$B$14)</f>
        <v>230198728.87578559</v>
      </c>
      <c r="J74" s="63">
        <f>ABS((J49*J62*1000*'Cost Assumptions'!$B$7)/'Cost Assumptions'!$B$14)</f>
        <v>265326395.95471439</v>
      </c>
      <c r="K74" s="63">
        <f>ABS((K49*K62*1000*'Cost Assumptions'!$B$7)/'Cost Assumptions'!$B$14)</f>
        <v>302066572.18204218</v>
      </c>
      <c r="L74" s="63">
        <f>ABS((L49*L62*1000*'Cost Assumptions'!$B$7)/'Cost Assumptions'!$B$14)</f>
        <v>342507759.08504891</v>
      </c>
      <c r="M74" s="63">
        <f>ABS((M49*M62*1000*'Cost Assumptions'!$B$7)/'Cost Assumptions'!$B$14)</f>
        <v>380621060.45893461</v>
      </c>
      <c r="N74" s="63">
        <f>ABS((N49*N62*1000*'Cost Assumptions'!$B$7)/'Cost Assumptions'!$B$14)</f>
        <v>422558550.60124844</v>
      </c>
      <c r="O74" s="63">
        <f>ABS((O49*O62*1000*'Cost Assumptions'!$B$7)/'Cost Assumptions'!$B$14)</f>
        <v>466355027.0878911</v>
      </c>
      <c r="P74" s="63">
        <f>ABS((P49*P62*1000*'Cost Assumptions'!$B$7)/'Cost Assumptions'!$B$14)</f>
        <v>512077228.30474019</v>
      </c>
      <c r="Q74" s="63">
        <f>ABS((Q49*Q62*1000*'Cost Assumptions'!$B$7)/'Cost Assumptions'!$B$14)</f>
        <v>559794067.69050169</v>
      </c>
      <c r="R74" s="63">
        <f>ABS((R49*R62*1000*'Cost Assumptions'!$B$7)/'Cost Assumptions'!$B$14)</f>
        <v>609576700.77786076</v>
      </c>
      <c r="S74" s="63">
        <f>ABS((S49*S62*1000*'Cost Assumptions'!$B$7)/'Cost Assumptions'!$B$14)</f>
        <v>661498594.22728133</v>
      </c>
      <c r="T74" s="63">
        <f>ABS((T49*T62*1000*'Cost Assumptions'!$B$7)/'Cost Assumptions'!$B$14)</f>
        <v>715635596.9111867</v>
      </c>
      <c r="U74" s="63">
        <f>ABS((U49*U62*1000*'Cost Assumptions'!$B$7)/'Cost Assumptions'!$B$14)</f>
        <v>772066013.10789537</v>
      </c>
      <c r="V74" s="63">
        <f>ABS((V49*V62*1000*'Cost Assumptions'!$B$7)/'Cost Assumptions'!$B$14)</f>
        <v>830870677.86636996</v>
      </c>
      <c r="W74" s="63">
        <f>ABS((W49*W62*1000*'Cost Assumptions'!$B$7)/'Cost Assumptions'!$B$14)</f>
        <v>892133034.60457587</v>
      </c>
      <c r="X74" s="63">
        <f>ABS((X49*X62*1000*'Cost Assumptions'!$B$7)/'Cost Assumptions'!$B$14)</f>
        <v>955939215.00602543</v>
      </c>
      <c r="Y74" s="63">
        <f>ABS((Y49*Y62*1000*'Cost Assumptions'!$B$7)/'Cost Assumptions'!$B$14)</f>
        <v>1022378121.28092</v>
      </c>
      <c r="Z74" s="63">
        <f>ABS((Z49*Z62*1000*'Cost Assumptions'!$B$7)/'Cost Assumptions'!$B$14)</f>
        <v>1091541510.8601801</v>
      </c>
      <c r="AA74" s="63">
        <f>ABS((AA49*AA62*1000*'Cost Assumptions'!$B$7)/'Cost Assumptions'!$B$14)</f>
        <v>1163524083.5926027</v>
      </c>
      <c r="AB74" s="63">
        <f>ABS((AB49*AB62*1000*'Cost Assumptions'!$B$7)/'Cost Assumptions'!$B$14)</f>
        <v>1238423571.517359</v>
      </c>
      <c r="AC74" s="63">
        <f>ABS((AC49*AC62*1000*'Cost Assumptions'!$B$7)/'Cost Assumptions'!$B$14)</f>
        <v>1316340831.2861078</v>
      </c>
      <c r="AD74" s="63">
        <f>ABS((AD49*AD62*1000*'Cost Assumptions'!$B$7)/'Cost Assumptions'!$B$14)</f>
        <v>1397379939.3110948</v>
      </c>
    </row>
    <row r="75" spans="1:30" x14ac:dyDescent="0.35">
      <c r="A75" s="88" t="s">
        <v>24</v>
      </c>
      <c r="B75" s="88" t="s">
        <v>157</v>
      </c>
      <c r="C75" s="20">
        <f>NPV('Cost Assumptions'!$B$3,D75:AD75)</f>
        <v>4284811425.6133771</v>
      </c>
      <c r="D75" s="63">
        <f>SUM(D73:D74)</f>
        <v>95470031.673050091</v>
      </c>
      <c r="E75" s="63">
        <f t="shared" ref="E75:AD75" si="64">SUM(E73:E74)</f>
        <v>130119789.07749036</v>
      </c>
      <c r="F75" s="63">
        <f t="shared" si="64"/>
        <v>166442365.58235699</v>
      </c>
      <c r="G75" s="63">
        <f t="shared" si="64"/>
        <v>204499746.04429355</v>
      </c>
      <c r="H75" s="63">
        <f t="shared" si="64"/>
        <v>244355969.05083796</v>
      </c>
      <c r="I75" s="63">
        <f t="shared" si="64"/>
        <v>286077190.86643177</v>
      </c>
      <c r="J75" s="63">
        <f t="shared" si="64"/>
        <v>329731751.29214859</v>
      </c>
      <c r="K75" s="63">
        <f t="shared" si="64"/>
        <v>375390241.4948597</v>
      </c>
      <c r="L75" s="63">
        <f t="shared" si="64"/>
        <v>425648126.06710356</v>
      </c>
      <c r="M75" s="63">
        <f t="shared" si="64"/>
        <v>473013053.94891798</v>
      </c>
      <c r="N75" s="63">
        <f t="shared" si="64"/>
        <v>525130454.5553112</v>
      </c>
      <c r="O75" s="63">
        <f t="shared" si="64"/>
        <v>579558092.03330588</v>
      </c>
      <c r="P75" s="63">
        <f t="shared" si="64"/>
        <v>636378904.85110343</v>
      </c>
      <c r="Q75" s="63">
        <f t="shared" si="64"/>
        <v>695678534.50226998</v>
      </c>
      <c r="R75" s="63">
        <f t="shared" si="64"/>
        <v>757545408.8204627</v>
      </c>
      <c r="S75" s="63">
        <f t="shared" si="64"/>
        <v>822070827.77050138</v>
      </c>
      <c r="T75" s="63">
        <f t="shared" si="64"/>
        <v>889349051.78752899</v>
      </c>
      <c r="U75" s="63">
        <f t="shared" si="64"/>
        <v>959477392.73805165</v>
      </c>
      <c r="V75" s="63">
        <f t="shared" si="64"/>
        <v>1032556307.5787332</v>
      </c>
      <c r="W75" s="63">
        <f t="shared" si="64"/>
        <v>1108689494.7909875</v>
      </c>
      <c r="X75" s="63">
        <f t="shared" si="64"/>
        <v>1187983993.6716177</v>
      </c>
      <c r="Y75" s="63">
        <f t="shared" si="64"/>
        <v>1270550286.5620356</v>
      </c>
      <c r="Z75" s="63">
        <f t="shared" si="64"/>
        <v>1356502404.1009288</v>
      </c>
      <c r="AA75" s="63">
        <f t="shared" si="64"/>
        <v>1445958033.5876658</v>
      </c>
      <c r="AB75" s="63">
        <f t="shared" si="64"/>
        <v>1539038630.5461767</v>
      </c>
      <c r="AC75" s="63">
        <f t="shared" si="64"/>
        <v>1635869533.5816207</v>
      </c>
      <c r="AD75" s="63">
        <f t="shared" si="64"/>
        <v>1736580082.6247447</v>
      </c>
    </row>
    <row r="76" spans="1:30" x14ac:dyDescent="0.35">
      <c r="A76" s="88"/>
      <c r="B76" s="88"/>
      <c r="C76" s="20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x14ac:dyDescent="0.35">
      <c r="A77" s="88" t="s">
        <v>130</v>
      </c>
      <c r="B77" s="88" t="s">
        <v>164</v>
      </c>
      <c r="C77" s="20">
        <f>NPV('Cost Assumptions'!$B$3,D77:AD77)</f>
        <v>54881608.030630238</v>
      </c>
      <c r="D77" s="63">
        <f>ABS(D50)*D61*1000*'Cost Assumptions'!$B$6*'Cost Assumptions'!$B$13</f>
        <v>4713069.6985215452</v>
      </c>
      <c r="E77" s="63">
        <f>ABS(E50)*E61*1000*'Cost Assumptions'!$B$6*'Cost Assumptions'!$B$13</f>
        <v>4854782.1990011726</v>
      </c>
      <c r="F77" s="63">
        <f>ABS(F50)*F61*1000*'Cost Assumptions'!$B$6*'Cost Assumptions'!$B$13</f>
        <v>4987627.3509719232</v>
      </c>
      <c r="G77" s="63">
        <f>ABS(G50)*G61*1000*'Cost Assumptions'!$B$6*'Cost Assumptions'!$B$13</f>
        <v>5124074.9676518301</v>
      </c>
      <c r="H77" s="63">
        <f>ABS(H50)*H61*1000*'Cost Assumptions'!$B$6*'Cost Assumptions'!$B$13</f>
        <v>5264518.8337897705</v>
      </c>
      <c r="I77" s="63">
        <f>ABS(I50)*I61*1000*'Cost Assumptions'!$B$6*'Cost Assumptions'!$B$13</f>
        <v>5410420.7181564188</v>
      </c>
      <c r="J77" s="63">
        <f>ABS(J50)*J61*1000*'Cost Assumptions'!$B$6*'Cost Assumptions'!$B$13</f>
        <v>5559821.5052260933</v>
      </c>
      <c r="K77" s="63">
        <f>ABS(K50)*K61*1000*'Cost Assumptions'!$B$6*'Cost Assumptions'!$B$13</f>
        <v>5716552.488020204</v>
      </c>
      <c r="L77" s="63">
        <f>ABS(L50)*L61*1000*'Cost Assumptions'!$B$6*'Cost Assumptions'!$B$13</f>
        <v>5877420.43414954</v>
      </c>
      <c r="M77" s="63">
        <f>ABS(M50)*M61*1000*'Cost Assumptions'!$B$6*'Cost Assumptions'!$B$13</f>
        <v>6042970.3737319335</v>
      </c>
      <c r="N77" s="63">
        <f>ABS(N50)*N61*1000*'Cost Assumptions'!$B$6*'Cost Assumptions'!$B$13</f>
        <v>6213018.4598956984</v>
      </c>
      <c r="O77" s="63">
        <f>ABS(O50)*O61*1000*'Cost Assumptions'!$B$6*'Cost Assumptions'!$B$13</f>
        <v>6387407.9965265514</v>
      </c>
      <c r="P77" s="63">
        <f>ABS(P50)*P61*1000*'Cost Assumptions'!$B$6*'Cost Assumptions'!$B$13</f>
        <v>6566012.9818843892</v>
      </c>
      <c r="Q77" s="63">
        <f>ABS(Q50)*Q61*1000*'Cost Assumptions'!$B$6*'Cost Assumptions'!$B$13</f>
        <v>6748364.8442005226</v>
      </c>
      <c r="R77" s="63">
        <f>ABS(R50)*R61*1000*'Cost Assumptions'!$B$6*'Cost Assumptions'!$B$13</f>
        <v>6935005.8977173911</v>
      </c>
      <c r="S77" s="63">
        <f>ABS(S50)*S61*1000*'Cost Assumptions'!$B$6*'Cost Assumptions'!$B$13</f>
        <v>7126276.2947487831</v>
      </c>
      <c r="T77" s="63">
        <f>ABS(T50)*T61*1000*'Cost Assumptions'!$B$6*'Cost Assumptions'!$B$13</f>
        <v>7322207.9190485403</v>
      </c>
      <c r="U77" s="63">
        <f>ABS(U50)*U61*1000*'Cost Assumptions'!$B$6*'Cost Assumptions'!$B$13</f>
        <v>7521528.2184755215</v>
      </c>
      <c r="V77" s="63">
        <f>ABS(V50)*V61*1000*'Cost Assumptions'!$B$6*'Cost Assumptions'!$B$13</f>
        <v>7725732.6289170012</v>
      </c>
      <c r="W77" s="63">
        <f>ABS(W50)*W61*1000*'Cost Assumptions'!$B$6*'Cost Assumptions'!$B$13</f>
        <v>7934958.3319828985</v>
      </c>
      <c r="X77" s="63">
        <f>ABS(X50)*X61*1000*'Cost Assumptions'!$B$6*'Cost Assumptions'!$B$13</f>
        <v>8149295.825916131</v>
      </c>
      <c r="Y77" s="63">
        <f>ABS(Y50)*Y61*1000*'Cost Assumptions'!$B$6*'Cost Assumptions'!$B$13</f>
        <v>8366808.4505526489</v>
      </c>
      <c r="Z77" s="63">
        <f>ABS(Z50)*Z61*1000*'Cost Assumptions'!$B$6*'Cost Assumptions'!$B$13</f>
        <v>8589725.2808907684</v>
      </c>
      <c r="AA77" s="63">
        <f>ABS(AA50)*AA61*1000*'Cost Assumptions'!$B$6*'Cost Assumptions'!$B$13</f>
        <v>8818019.4900305886</v>
      </c>
      <c r="AB77" s="63">
        <f>ABS(AB50)*AB61*1000*'Cost Assumptions'!$B$6*'Cost Assumptions'!$B$13</f>
        <v>9051956.7162602264</v>
      </c>
      <c r="AC77" s="63">
        <f>ABS(AC50)*AC61*1000*'Cost Assumptions'!$B$6*'Cost Assumptions'!$B$13</f>
        <v>9288718.8650832921</v>
      </c>
      <c r="AD77" s="63">
        <f>ABS(AD50)*AD61*1000*'Cost Assumptions'!$B$6*'Cost Assumptions'!$B$13</f>
        <v>9530715.3011727892</v>
      </c>
    </row>
    <row r="78" spans="1:30" x14ac:dyDescent="0.35">
      <c r="A78" s="88" t="s">
        <v>132</v>
      </c>
      <c r="B78" s="88" t="s">
        <v>164</v>
      </c>
      <c r="C78" s="20">
        <f>NPV('Cost Assumptions'!$B$3,D78:AD78)</f>
        <v>247387187.70009479</v>
      </c>
      <c r="D78" s="63">
        <f>ABS(D50)*D63*1000*'Cost Assumptions'!$B$7*'Cost Assumptions'!$B$13</f>
        <v>21244877.837782059</v>
      </c>
      <c r="E78" s="63">
        <f>ABS(E50)*E63*1000*'Cost Assumptions'!$B$7*'Cost Assumptions'!$B$13</f>
        <v>21883668.467532508</v>
      </c>
      <c r="F78" s="63">
        <f>ABS(F50)*F63*1000*'Cost Assumptions'!$B$7*'Cost Assumptions'!$B$13</f>
        <v>22482488.176446527</v>
      </c>
      <c r="G78" s="63">
        <f>ABS(G50)*G63*1000*'Cost Assumptions'!$B$7*'Cost Assumptions'!$B$13</f>
        <v>23097546.542447459</v>
      </c>
      <c r="H78" s="63">
        <f>ABS(H50)*H63*1000*'Cost Assumptions'!$B$7*'Cost Assumptions'!$B$13</f>
        <v>23730618.610128164</v>
      </c>
      <c r="I78" s="63">
        <f>ABS(I50)*I63*1000*'Cost Assumptions'!$B$7*'Cost Assumptions'!$B$13</f>
        <v>24388293.524344694</v>
      </c>
      <c r="J78" s="63">
        <f>ABS(J50)*J63*1000*'Cost Assumptions'!$B$7*'Cost Assumptions'!$B$13</f>
        <v>25061740.274168778</v>
      </c>
      <c r="K78" s="63">
        <f>ABS(K50)*K63*1000*'Cost Assumptions'!$B$7*'Cost Assumptions'!$B$13</f>
        <v>25768228.99507628</v>
      </c>
      <c r="L78" s="63">
        <f>ABS(L50)*L63*1000*'Cost Assumptions'!$B$7*'Cost Assumptions'!$B$13</f>
        <v>26493365.706847109</v>
      </c>
      <c r="M78" s="63">
        <f>ABS(M50)*M63*1000*'Cost Assumptions'!$B$7*'Cost Assumptions'!$B$13</f>
        <v>27239607.215557128</v>
      </c>
      <c r="N78" s="63">
        <f>ABS(N50)*N63*1000*'Cost Assumptions'!$B$7*'Cost Assumptions'!$B$13</f>
        <v>28006124.803495847</v>
      </c>
      <c r="O78" s="63">
        <f>ABS(O50)*O63*1000*'Cost Assumptions'!$B$7*'Cost Assumptions'!$B$13</f>
        <v>28792212.139117483</v>
      </c>
      <c r="P78" s="63">
        <f>ABS(P50)*P63*1000*'Cost Assumptions'!$B$7*'Cost Assumptions'!$B$13</f>
        <v>29597301.250432014</v>
      </c>
      <c r="Q78" s="63">
        <f>ABS(Q50)*Q63*1000*'Cost Assumptions'!$B$7*'Cost Assumptions'!$B$13</f>
        <v>30419279.978990514</v>
      </c>
      <c r="R78" s="63">
        <f>ABS(R50)*R63*1000*'Cost Assumptions'!$B$7*'Cost Assumptions'!$B$13</f>
        <v>31260592.888647806</v>
      </c>
      <c r="S78" s="63">
        <f>ABS(S50)*S63*1000*'Cost Assumptions'!$B$7*'Cost Assumptions'!$B$13</f>
        <v>32122773.267645955</v>
      </c>
      <c r="T78" s="63">
        <f>ABS(T50)*T63*1000*'Cost Assumptions'!$B$7*'Cost Assumptions'!$B$13</f>
        <v>33005964.836850267</v>
      </c>
      <c r="U78" s="63">
        <f>ABS(U50)*U63*1000*'Cost Assumptions'!$B$7*'Cost Assumptions'!$B$13</f>
        <v>33904431.374114655</v>
      </c>
      <c r="V78" s="63">
        <f>ABS(V50)*V63*1000*'Cost Assumptions'!$B$7*'Cost Assumptions'!$B$13</f>
        <v>34824913.783939071</v>
      </c>
      <c r="W78" s="63">
        <f>ABS(W50)*W63*1000*'Cost Assumptions'!$B$7*'Cost Assumptions'!$B$13</f>
        <v>35768030.43327558</v>
      </c>
      <c r="X78" s="63">
        <f>ABS(X50)*X63*1000*'Cost Assumptions'!$B$7*'Cost Assumptions'!$B$13</f>
        <v>36734189.256705731</v>
      </c>
      <c r="Y78" s="63">
        <f>ABS(Y50)*Y63*1000*'Cost Assumptions'!$B$7*'Cost Assumptions'!$B$13</f>
        <v>37714660.464256026</v>
      </c>
      <c r="Z78" s="63">
        <f>ABS(Z50)*Z63*1000*'Cost Assumptions'!$B$7*'Cost Assumptions'!$B$13</f>
        <v>38719491.950199157</v>
      </c>
      <c r="AA78" s="63">
        <f>ABS(AA50)*AA63*1000*'Cost Assumptions'!$B$7*'Cost Assumptions'!$B$13</f>
        <v>39748562.788207345</v>
      </c>
      <c r="AB78" s="63">
        <f>ABS(AB50)*AB63*1000*'Cost Assumptions'!$B$7*'Cost Assumptions'!$B$13</f>
        <v>40803070.383229174</v>
      </c>
      <c r="AC78" s="63">
        <f>ABS(AC50)*AC63*1000*'Cost Assumptions'!$B$7*'Cost Assumptions'!$B$13</f>
        <v>41870311.746100314</v>
      </c>
      <c r="AD78" s="63">
        <f>ABS(AD50)*AD63*1000*'Cost Assumptions'!$B$7*'Cost Assumptions'!$B$13</f>
        <v>42961147.454197891</v>
      </c>
    </row>
    <row r="79" spans="1:30" s="62" customFormat="1" ht="29" x14ac:dyDescent="0.35">
      <c r="A79" s="3" t="s">
        <v>159</v>
      </c>
      <c r="B79" s="88" t="s">
        <v>164</v>
      </c>
      <c r="C79" s="20">
        <f>NPV('Cost Assumptions'!$B$3,D79:AD79)</f>
        <v>302268795.73072493</v>
      </c>
      <c r="D79" s="63">
        <f>SUM(D77:D78)</f>
        <v>25957947.536303602</v>
      </c>
      <c r="E79" s="63">
        <f t="shared" ref="E79:AD79" si="65">SUM(E77:E78)</f>
        <v>26738450.666533679</v>
      </c>
      <c r="F79" s="63">
        <f t="shared" si="65"/>
        <v>27470115.52741845</v>
      </c>
      <c r="G79" s="63">
        <f t="shared" si="65"/>
        <v>28221621.510099288</v>
      </c>
      <c r="H79" s="63">
        <f t="shared" si="65"/>
        <v>28995137.443917934</v>
      </c>
      <c r="I79" s="63">
        <f t="shared" si="65"/>
        <v>29798714.242501114</v>
      </c>
      <c r="J79" s="63">
        <f t="shared" si="65"/>
        <v>30621561.779394872</v>
      </c>
      <c r="K79" s="63">
        <f t="shared" si="65"/>
        <v>31484781.483096484</v>
      </c>
      <c r="L79" s="63">
        <f t="shared" si="65"/>
        <v>32370786.14099665</v>
      </c>
      <c r="M79" s="63">
        <f t="shared" si="65"/>
        <v>33282577.589289062</v>
      </c>
      <c r="N79" s="63">
        <f t="shared" si="65"/>
        <v>34219143.263391547</v>
      </c>
      <c r="O79" s="63">
        <f t="shared" si="65"/>
        <v>35179620.135644034</v>
      </c>
      <c r="P79" s="63">
        <f t="shared" si="65"/>
        <v>36163314.232316405</v>
      </c>
      <c r="Q79" s="63">
        <f t="shared" si="65"/>
        <v>37167644.823191039</v>
      </c>
      <c r="R79" s="63">
        <f t="shared" si="65"/>
        <v>38195598.786365196</v>
      </c>
      <c r="S79" s="63">
        <f t="shared" si="65"/>
        <v>39249049.562394738</v>
      </c>
      <c r="T79" s="63">
        <f t="shared" si="65"/>
        <v>40328172.755898803</v>
      </c>
      <c r="U79" s="63">
        <f t="shared" si="65"/>
        <v>41425959.592590176</v>
      </c>
      <c r="V79" s="63">
        <f t="shared" si="65"/>
        <v>42550646.412856072</v>
      </c>
      <c r="W79" s="63">
        <f t="shared" si="65"/>
        <v>43702988.765258476</v>
      </c>
      <c r="X79" s="63">
        <f t="shared" si="65"/>
        <v>44883485.082621865</v>
      </c>
      <c r="Y79" s="63">
        <f t="shared" si="65"/>
        <v>46081468.914808676</v>
      </c>
      <c r="Z79" s="63">
        <f t="shared" si="65"/>
        <v>47309217.231089927</v>
      </c>
      <c r="AA79" s="63">
        <f t="shared" si="65"/>
        <v>48566582.278237931</v>
      </c>
      <c r="AB79" s="63">
        <f t="shared" si="65"/>
        <v>49855027.099489398</v>
      </c>
      <c r="AC79" s="63">
        <f t="shared" si="65"/>
        <v>51159030.611183606</v>
      </c>
      <c r="AD79" s="63">
        <f t="shared" si="65"/>
        <v>52491862.755370677</v>
      </c>
    </row>
    <row r="80" spans="1:30" s="62" customFormat="1" x14ac:dyDescent="0.35">
      <c r="A80" s="3"/>
      <c r="B80" s="88"/>
      <c r="C80" s="2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2" customFormat="1" ht="29" x14ac:dyDescent="0.35">
      <c r="A81" s="3" t="s">
        <v>160</v>
      </c>
      <c r="B81" s="88" t="s">
        <v>161</v>
      </c>
      <c r="C81" s="20">
        <f>NPV('Cost Assumptions'!$B$3,D81:AD81)</f>
        <v>207256621.9780252</v>
      </c>
      <c r="D81" s="63">
        <f>('Baseline System Analysis'!D42-D36)</f>
        <v>13083838.659905642</v>
      </c>
      <c r="E81" s="63">
        <f>('Baseline System Analysis'!E42-E36)</f>
        <v>14219312.82207356</v>
      </c>
      <c r="F81" s="63">
        <f>('Baseline System Analysis'!F42-F36)</f>
        <v>14989865.872437164</v>
      </c>
      <c r="G81" s="63">
        <f>('Baseline System Analysis'!G42-G36)</f>
        <v>15842488.15181935</v>
      </c>
      <c r="H81" s="63">
        <f>('Baseline System Analysis'!H42-H36)</f>
        <v>16648803.485650852</v>
      </c>
      <c r="I81" s="63">
        <f>('Baseline System Analysis'!I42-I36)</f>
        <v>17640267.299267747</v>
      </c>
      <c r="J81" s="63">
        <f>('Baseline System Analysis'!J42-J36)</f>
        <v>18655011.537024625</v>
      </c>
      <c r="K81" s="63">
        <f>('Baseline System Analysis'!K42-K36)</f>
        <v>19821963.948616814</v>
      </c>
      <c r="L81" s="63">
        <f>('Baseline System Analysis'!L42-L36)</f>
        <v>21194899.173070244</v>
      </c>
      <c r="M81" s="63">
        <f>('Baseline System Analysis'!M42-M36)</f>
        <v>22507845.910542831</v>
      </c>
      <c r="N81" s="63">
        <f>('Baseline System Analysis'!N42-N36)</f>
        <v>23755503.055835262</v>
      </c>
      <c r="O81" s="63">
        <f>('Baseline System Analysis'!O42-O36)</f>
        <v>25175448.748506773</v>
      </c>
      <c r="P81" s="63">
        <f>('Baseline System Analysis'!P42-P36)</f>
        <v>26810961.777097136</v>
      </c>
      <c r="Q81" s="63">
        <f>('Baseline System Analysis'!Q42-Q36)</f>
        <v>28372143.898456573</v>
      </c>
      <c r="R81" s="63">
        <f>('Baseline System Analysis'!R42-R36)</f>
        <v>29909929.004973445</v>
      </c>
      <c r="S81" s="63">
        <f>('Baseline System Analysis'!S42-S36)</f>
        <v>32008304.357356858</v>
      </c>
      <c r="T81" s="63">
        <f>('Baseline System Analysis'!T42-T36)</f>
        <v>33756492.014632076</v>
      </c>
      <c r="U81" s="63">
        <f>('Baseline System Analysis'!U42-U36)</f>
        <v>35489104.278293483</v>
      </c>
      <c r="V81" s="63">
        <f>('Baseline System Analysis'!V42-V36)</f>
        <v>37492932.696176007</v>
      </c>
      <c r="W81" s="63">
        <f>('Baseline System Analysis'!W42-W36)</f>
        <v>39525174.916431412</v>
      </c>
      <c r="X81" s="63">
        <f>('Baseline System Analysis'!X42-X36)</f>
        <v>41522592.312632307</v>
      </c>
      <c r="Y81" s="63">
        <f>('Baseline System Analysis'!Y42-Y36)</f>
        <v>43575480.044951752</v>
      </c>
      <c r="Z81" s="63">
        <f>('Baseline System Analysis'!Z42-Z36)</f>
        <v>45537899.514133692</v>
      </c>
      <c r="AA81" s="63">
        <f>('Baseline System Analysis'!AA42-AA36)</f>
        <v>47733263.625641257</v>
      </c>
      <c r="AB81" s="63">
        <f>('Baseline System Analysis'!AB42-AB36)</f>
        <v>49988293.479209401</v>
      </c>
      <c r="AC81" s="63">
        <f>('Baseline System Analysis'!AC42-AC36)</f>
        <v>51841672.077924386</v>
      </c>
      <c r="AD81" s="63">
        <f>('Baseline System Analysis'!AD42-AD36)</f>
        <v>53863008.376374885</v>
      </c>
    </row>
    <row r="82" spans="1:30" s="62" customFormat="1" x14ac:dyDescent="0.3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</row>
    <row r="83" spans="1:30" s="62" customFormat="1" ht="20" thickBot="1" x14ac:dyDescent="0.5">
      <c r="A83" s="142" t="s">
        <v>74</v>
      </c>
      <c r="B83" s="171"/>
      <c r="C83" s="20">
        <f>NPV('Cost Assumptions'!$B$3,D83:AD83)/1000000</f>
        <v>5092.1517108392745</v>
      </c>
      <c r="D83" s="63">
        <f>SUM(D67,D71,D75,D79,D81)</f>
        <v>135582491.03690645</v>
      </c>
      <c r="E83" s="63">
        <f t="shared" ref="E83:AD83" si="66">SUM(E67,E71,E75,E79,E81)</f>
        <v>173775399.10873649</v>
      </c>
      <c r="F83" s="63">
        <f t="shared" si="66"/>
        <v>212864400.46702868</v>
      </c>
      <c r="G83" s="63">
        <f t="shared" si="66"/>
        <v>253884632.6792548</v>
      </c>
      <c r="H83" s="63">
        <f t="shared" si="66"/>
        <v>296702225.56425309</v>
      </c>
      <c r="I83" s="63">
        <f t="shared" si="66"/>
        <v>340187388.60865277</v>
      </c>
      <c r="J83" s="63">
        <f t="shared" si="66"/>
        <v>388181559.33429772</v>
      </c>
      <c r="K83" s="63">
        <f t="shared" si="66"/>
        <v>438906199.02077633</v>
      </c>
      <c r="L83" s="63">
        <f t="shared" si="66"/>
        <v>493428552.29954612</v>
      </c>
      <c r="M83" s="63">
        <f t="shared" si="66"/>
        <v>544682887.68081379</v>
      </c>
      <c r="N83" s="63">
        <f t="shared" si="66"/>
        <v>602994606.32872581</v>
      </c>
      <c r="O83" s="63">
        <f t="shared" si="66"/>
        <v>664202684.0938406</v>
      </c>
      <c r="P83" s="63">
        <f t="shared" si="66"/>
        <v>730975952.2374233</v>
      </c>
      <c r="Q83" s="63">
        <f t="shared" si="66"/>
        <v>800176085.32183862</v>
      </c>
      <c r="R83" s="63">
        <f t="shared" si="66"/>
        <v>875324935.64521396</v>
      </c>
      <c r="S83" s="63">
        <f t="shared" si="66"/>
        <v>956091042.06728613</v>
      </c>
      <c r="T83" s="63">
        <f t="shared" si="66"/>
        <v>1041797371.7729501</v>
      </c>
      <c r="U83" s="63">
        <f t="shared" si="66"/>
        <v>1133328540.6412833</v>
      </c>
      <c r="V83" s="63">
        <f t="shared" si="66"/>
        <v>1219640907.337755</v>
      </c>
      <c r="W83" s="63">
        <f t="shared" si="66"/>
        <v>1312346257.309438</v>
      </c>
      <c r="X83" s="63">
        <f t="shared" si="66"/>
        <v>1408685483.0747323</v>
      </c>
      <c r="Y83" s="63">
        <f t="shared" si="66"/>
        <v>1510013267.2369723</v>
      </c>
      <c r="Z83" s="63">
        <f t="shared" si="66"/>
        <v>1614666436.0302806</v>
      </c>
      <c r="AA83" s="63">
        <f t="shared" si="66"/>
        <v>1725314033.6691406</v>
      </c>
      <c r="AB83" s="63">
        <f t="shared" si="66"/>
        <v>1842963957.8873594</v>
      </c>
      <c r="AC83" s="63">
        <f t="shared" si="66"/>
        <v>1963500334.948036</v>
      </c>
      <c r="AD83" s="63">
        <f t="shared" si="66"/>
        <v>2081761658.5766251</v>
      </c>
    </row>
    <row r="84" spans="1:30" s="62" customFormat="1" ht="20.5" thickTop="1" thickBot="1" x14ac:dyDescent="0.5">
      <c r="A84" s="142" t="s">
        <v>169</v>
      </c>
      <c r="B84" s="142"/>
      <c r="C84" s="20">
        <f>NPV('Cost Assumptions'!$B$3,D84:AD84)/1000000</f>
        <v>5095.2403714935735</v>
      </c>
      <c r="D84" s="63">
        <f>D83+D43</f>
        <v>135841599.03690636</v>
      </c>
      <c r="E84" s="63">
        <f>E83+E43</f>
        <v>174042468.69335181</v>
      </c>
      <c r="F84" s="63">
        <f t="shared" ref="F84:AD84" si="67">F83+F43</f>
        <v>213139667.77299014</v>
      </c>
      <c r="G84" s="63">
        <f t="shared" si="67"/>
        <v>254168340.67413935</v>
      </c>
      <c r="H84" s="63">
        <f t="shared" si="67"/>
        <v>296994624.24044061</v>
      </c>
      <c r="I84" s="63">
        <f t="shared" si="67"/>
        <v>340488735.18271166</v>
      </c>
      <c r="J84" s="63">
        <f>J83+J43</f>
        <v>388492118.45194894</v>
      </c>
      <c r="K84" s="63">
        <f t="shared" si="67"/>
        <v>439226242.96759069</v>
      </c>
      <c r="L84" s="63">
        <f t="shared" si="67"/>
        <v>493758361.21753323</v>
      </c>
      <c r="M84" s="63">
        <f t="shared" si="67"/>
        <v>545022749.79106545</v>
      </c>
      <c r="N84" s="63">
        <f t="shared" si="67"/>
        <v>603344818.16028166</v>
      </c>
      <c r="O84" s="63">
        <f t="shared" si="67"/>
        <v>664563550.71894681</v>
      </c>
      <c r="P84" s="63">
        <f t="shared" si="67"/>
        <v>731347787.51336277</v>
      </c>
      <c r="Q84" s="63">
        <f t="shared" si="67"/>
        <v>800559212.1395123</v>
      </c>
      <c r="R84" s="63">
        <f t="shared" si="67"/>
        <v>875719686.18466103</v>
      </c>
      <c r="S84" s="63">
        <f t="shared" si="67"/>
        <v>956497758.06033432</v>
      </c>
      <c r="T84" s="63">
        <f t="shared" si="67"/>
        <v>1042216404.7731922</v>
      </c>
      <c r="U84" s="63">
        <f t="shared" si="67"/>
        <v>1133760252.3015835</v>
      </c>
      <c r="V84" s="63">
        <f t="shared" si="67"/>
        <v>1220085669.6954908</v>
      </c>
      <c r="W84" s="63">
        <f t="shared" si="67"/>
        <v>1312804453.0796938</v>
      </c>
      <c r="X84" s="63">
        <f t="shared" si="67"/>
        <v>1409157505.9516604</v>
      </c>
      <c r="Y84" s="63">
        <f t="shared" si="67"/>
        <v>1510499522.2035499</v>
      </c>
      <c r="Z84" s="63">
        <f t="shared" si="67"/>
        <v>1615167339.676692</v>
      </c>
      <c r="AA84" s="63">
        <f t="shared" si="67"/>
        <v>1725830014.5200233</v>
      </c>
      <c r="AB84" s="63">
        <f t="shared" si="67"/>
        <v>1843495456.7381582</v>
      </c>
      <c r="AC84" s="63">
        <f t="shared" si="67"/>
        <v>1964047805.2107148</v>
      </c>
      <c r="AD84" s="63">
        <f t="shared" si="67"/>
        <v>2082325566.6349962</v>
      </c>
    </row>
    <row r="85" spans="1:30" ht="15" thickTop="1" x14ac:dyDescent="0.3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</row>
    <row r="86" spans="1:30" ht="20" thickBot="1" x14ac:dyDescent="0.5">
      <c r="A86" s="142" t="s">
        <v>163</v>
      </c>
      <c r="B86" s="142"/>
      <c r="C86" s="20">
        <f>Summary!$D$15</f>
        <v>806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15" thickTop="1" x14ac:dyDescent="0.3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20" thickBot="1" x14ac:dyDescent="0.5">
      <c r="A88" s="142" t="s">
        <v>7</v>
      </c>
      <c r="B88" s="142"/>
      <c r="C88" s="53">
        <f>C84/C86</f>
        <v>6.321638178031729</v>
      </c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15" thickTop="1" x14ac:dyDescent="0.3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x14ac:dyDescent="0.35">
      <c r="A90" s="88"/>
      <c r="B90" s="88"/>
      <c r="C90" s="7">
        <v>17.520199999999999</v>
      </c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</row>
    <row r="91" spans="1:30" x14ac:dyDescent="0.35">
      <c r="A91" s="88"/>
      <c r="B91" s="88"/>
      <c r="C91" s="7">
        <v>658.23180289963329</v>
      </c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</row>
    <row r="92" spans="1:30" x14ac:dyDescent="0.35">
      <c r="A92" s="88"/>
      <c r="B92" s="88"/>
      <c r="C92" s="7">
        <v>3863.8177009286792</v>
      </c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</row>
    <row r="93" spans="1:30" x14ac:dyDescent="0.35">
      <c r="A93" s="88"/>
      <c r="B93" s="88"/>
      <c r="C93" s="7">
        <v>2172.5097440933537</v>
      </c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</row>
    <row r="94" spans="1:30" x14ac:dyDescent="0.35">
      <c r="A94" s="88"/>
      <c r="B94" s="88"/>
      <c r="C94" s="7">
        <v>55.560400000000001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</sheetData>
  <mergeCells count="8">
    <mergeCell ref="A86:B86"/>
    <mergeCell ref="A88:B88"/>
    <mergeCell ref="A84:B84"/>
    <mergeCell ref="B2:B15"/>
    <mergeCell ref="B18:B31"/>
    <mergeCell ref="B40:AD40"/>
    <mergeCell ref="A58:AD59"/>
    <mergeCell ref="A83:B83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97"/>
  <sheetViews>
    <sheetView zoomScale="84" zoomScaleNormal="84" workbookViewId="0"/>
  </sheetViews>
  <sheetFormatPr defaultRowHeight="14.5" x14ac:dyDescent="0.35"/>
  <cols>
    <col min="1" max="1" width="15.26953125" customWidth="1"/>
    <col min="2" max="2" width="26.7265625" bestFit="1" customWidth="1"/>
    <col min="3" max="3" width="22.81640625" customWidth="1"/>
    <col min="4" max="5" width="14" bestFit="1" customWidth="1"/>
    <col min="6" max="6" width="12.81640625" bestFit="1" customWidth="1"/>
    <col min="7" max="7" width="15.453125" customWidth="1"/>
    <col min="8" max="30" width="12.81640625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8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9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9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9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9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9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9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9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9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9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9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9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9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9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49.75" customHeight="1" thickTop="1" x14ac:dyDescent="0.35">
      <c r="A18" s="88"/>
      <c r="B18" s="168" t="s">
        <v>170</v>
      </c>
      <c r="C18" s="88" t="s">
        <v>120</v>
      </c>
      <c r="D18" s="63">
        <v>49328.200000000405</v>
      </c>
      <c r="E18" s="63">
        <v>49736.291346154219</v>
      </c>
      <c r="F18" s="63">
        <v>50144.382692308034</v>
      </c>
      <c r="G18" s="63">
        <v>50552.474038461849</v>
      </c>
      <c r="H18" s="63">
        <v>50960.565384615664</v>
      </c>
      <c r="I18" s="63">
        <v>51368.656730769479</v>
      </c>
      <c r="J18" s="63">
        <v>51776.748076923293</v>
      </c>
      <c r="K18" s="63">
        <v>52184.839423077108</v>
      </c>
      <c r="L18" s="63">
        <v>52592.930769230923</v>
      </c>
      <c r="M18" s="63">
        <v>53001.022115384738</v>
      </c>
      <c r="N18" s="63">
        <v>53409.113461538553</v>
      </c>
      <c r="O18" s="63">
        <v>53817.204807692367</v>
      </c>
      <c r="P18" s="63">
        <v>54225.296153846182</v>
      </c>
      <c r="Q18" s="63">
        <v>54633.387499999997</v>
      </c>
      <c r="R18" s="63">
        <v>55041.478846153812</v>
      </c>
      <c r="S18" s="63">
        <v>55449.570192307627</v>
      </c>
      <c r="T18" s="63">
        <v>55857.661538461442</v>
      </c>
      <c r="U18" s="63">
        <v>56265.752884615256</v>
      </c>
      <c r="V18" s="63">
        <v>56673.844230769071</v>
      </c>
      <c r="W18" s="63">
        <v>57081.935576922886</v>
      </c>
      <c r="X18" s="63">
        <v>57490.026923076701</v>
      </c>
      <c r="Y18" s="63">
        <f>X18+(($AD18-$X$18)/(COLUMN($AD18)-COLUMN($X$18)))</f>
        <v>57893.326602563844</v>
      </c>
      <c r="Z18" s="63">
        <f t="shared" ref="Z18:AC18" si="0">Y18+(($AD18-$X$18)/(COLUMN($AD18)-COLUMN($X$18)))</f>
        <v>58296.626282050987</v>
      </c>
      <c r="AA18" s="63">
        <f t="shared" si="0"/>
        <v>58699.925961538131</v>
      </c>
      <c r="AB18" s="63">
        <f t="shared" si="0"/>
        <v>59103.225641025274</v>
      </c>
      <c r="AC18" s="63">
        <f t="shared" si="0"/>
        <v>59506.525320512417</v>
      </c>
      <c r="AD18" s="63">
        <v>59909.824999999582</v>
      </c>
    </row>
    <row r="19" spans="1:30" x14ac:dyDescent="0.35">
      <c r="A19" s="88" t="s">
        <v>30</v>
      </c>
      <c r="B19" s="169"/>
      <c r="C19" s="88" t="s">
        <v>31</v>
      </c>
      <c r="D19" s="63">
        <v>5.0999999999999943</v>
      </c>
      <c r="E19" s="61">
        <f>D19+(($J19-$D19)/(COLUMN($J19)-COLUMN($D19)))</f>
        <v>14.066666666666663</v>
      </c>
      <c r="F19" s="61">
        <f t="shared" ref="F19:I19" si="1">E19+(($J19-$D19)/(COLUMN($J19)-COLUMN($D19)))</f>
        <v>23.033333333333331</v>
      </c>
      <c r="G19" s="61">
        <f t="shared" si="1"/>
        <v>32</v>
      </c>
      <c r="H19" s="61">
        <f t="shared" si="1"/>
        <v>40.966666666666669</v>
      </c>
      <c r="I19" s="61">
        <f t="shared" si="1"/>
        <v>49.933333333333337</v>
      </c>
      <c r="J19" s="63">
        <v>58.900000000000006</v>
      </c>
      <c r="K19" s="61">
        <f>J19+(($N19-$J19)/(COLUMN($N19)-COLUMN($J19)))</f>
        <v>80.775000000000006</v>
      </c>
      <c r="L19" s="61">
        <f t="shared" ref="L19:M19" si="2">K19+(($N19-$J19)/(COLUMN($N19)-COLUMN($J19)))</f>
        <v>102.65</v>
      </c>
      <c r="M19" s="61">
        <f t="shared" si="2"/>
        <v>124.52500000000001</v>
      </c>
      <c r="N19" s="63">
        <v>146.40000000000003</v>
      </c>
      <c r="O19" s="61">
        <v>191.09999999999997</v>
      </c>
      <c r="P19" s="61">
        <f t="shared" ref="P19:S19" si="3">O19+(($T19-$N19)/(COLUMN($T19)-COLUMN($N19)))</f>
        <v>267.45</v>
      </c>
      <c r="Q19" s="61">
        <f t="shared" si="3"/>
        <v>343.8</v>
      </c>
      <c r="R19" s="61">
        <f t="shared" si="3"/>
        <v>420.15000000000003</v>
      </c>
      <c r="S19" s="61">
        <f t="shared" si="3"/>
        <v>496.50000000000006</v>
      </c>
      <c r="T19" s="61">
        <v>604.50000000000023</v>
      </c>
      <c r="U19" s="61">
        <f>T19+(($Y19-$T19)/(COLUMN($Y19)-COLUMN($T19)))</f>
        <v>742.60000000000025</v>
      </c>
      <c r="V19" s="61">
        <f t="shared" ref="V19:X19" si="4">U19+(($Y19-$T19)/(COLUMN($Y19)-COLUMN($T19)))</f>
        <v>880.70000000000027</v>
      </c>
      <c r="W19" s="61">
        <f t="shared" si="4"/>
        <v>1018.8000000000003</v>
      </c>
      <c r="X19" s="61">
        <f t="shared" si="4"/>
        <v>1156.9000000000003</v>
      </c>
      <c r="Y19" s="63">
        <v>1295.0000000000002</v>
      </c>
      <c r="Z19" s="61">
        <f>Y19+(($AD19-$Y19)/(COLUMN($AD19)-COLUMN($Y19)))</f>
        <v>1414.6000000000001</v>
      </c>
      <c r="AA19" s="61">
        <f t="shared" ref="AA19:AC19" si="5">Z19+(($AD19-$Y19)/(COLUMN($AD19)-COLUMN($Y19)))</f>
        <v>1534.2</v>
      </c>
      <c r="AB19" s="61">
        <f t="shared" si="5"/>
        <v>1653.8</v>
      </c>
      <c r="AC19" s="61">
        <f t="shared" si="5"/>
        <v>1773.3999999999999</v>
      </c>
      <c r="AD19" s="63">
        <v>1892.9999999999995</v>
      </c>
    </row>
    <row r="20" spans="1:30" x14ac:dyDescent="0.35">
      <c r="A20" s="88" t="s">
        <v>30</v>
      </c>
      <c r="B20" s="169"/>
      <c r="C20" s="88" t="s">
        <v>32</v>
      </c>
      <c r="D20" s="63">
        <v>3</v>
      </c>
      <c r="E20" s="61">
        <f t="shared" ref="E20:I20" si="6">D20+(($J20-$D20)/(COLUMN($J20)-COLUMN($D20)))</f>
        <v>4.8833333333333355</v>
      </c>
      <c r="F20" s="61">
        <f t="shared" si="6"/>
        <v>6.766666666666671</v>
      </c>
      <c r="G20" s="61">
        <f t="shared" si="6"/>
        <v>8.6500000000000057</v>
      </c>
      <c r="H20" s="61">
        <f t="shared" si="6"/>
        <v>10.53333333333334</v>
      </c>
      <c r="I20" s="61">
        <f t="shared" si="6"/>
        <v>12.416666666666675</v>
      </c>
      <c r="J20" s="63">
        <v>14.300000000000011</v>
      </c>
      <c r="K20" s="61">
        <f t="shared" ref="K20:M20" si="7">J20+(($N20-$J20)/(COLUMN($N20)-COLUMN($J20)))</f>
        <v>16.775000000000006</v>
      </c>
      <c r="L20" s="61">
        <f t="shared" si="7"/>
        <v>19.25</v>
      </c>
      <c r="M20" s="61">
        <f t="shared" si="7"/>
        <v>21.724999999999994</v>
      </c>
      <c r="N20" s="63">
        <v>24.199999999999989</v>
      </c>
      <c r="O20" s="61">
        <v>27.699999999999989</v>
      </c>
      <c r="P20" s="61">
        <f t="shared" ref="P20:S20" si="8">O20+(($T20-$N20)/(COLUMN($T20)-COLUMN($N20)))</f>
        <v>30.016666666666662</v>
      </c>
      <c r="Q20" s="61">
        <f t="shared" si="8"/>
        <v>32.333333333333336</v>
      </c>
      <c r="R20" s="61">
        <f t="shared" si="8"/>
        <v>34.650000000000006</v>
      </c>
      <c r="S20" s="61">
        <f t="shared" si="8"/>
        <v>36.966666666666676</v>
      </c>
      <c r="T20" s="61">
        <v>38.100000000000023</v>
      </c>
      <c r="U20" s="61">
        <f t="shared" ref="U20:X20" si="9">T20+(($Y20-$T20)/(COLUMN($Y20)-COLUMN($T20)))</f>
        <v>39.960000000000015</v>
      </c>
      <c r="V20" s="61">
        <f t="shared" si="9"/>
        <v>41.820000000000007</v>
      </c>
      <c r="W20" s="61">
        <f t="shared" si="9"/>
        <v>43.68</v>
      </c>
      <c r="X20" s="61">
        <f t="shared" si="9"/>
        <v>45.539999999999992</v>
      </c>
      <c r="Y20" s="63">
        <v>47.399999999999977</v>
      </c>
      <c r="Z20" s="61">
        <f t="shared" ref="Z20:AC20" si="10">Y20+(($AD20-$Y20)/(COLUMN($AD20)-COLUMN($Y20)))</f>
        <v>53.699999999999989</v>
      </c>
      <c r="AA20" s="61">
        <f t="shared" si="10"/>
        <v>60</v>
      </c>
      <c r="AB20" s="61">
        <f t="shared" si="10"/>
        <v>66.300000000000011</v>
      </c>
      <c r="AC20" s="61">
        <f t="shared" si="10"/>
        <v>72.600000000000023</v>
      </c>
      <c r="AD20" s="63">
        <v>78.900000000000034</v>
      </c>
    </row>
    <row r="21" spans="1:30" x14ac:dyDescent="0.35">
      <c r="A21" s="88" t="s">
        <v>30</v>
      </c>
      <c r="B21" s="169"/>
      <c r="C21" s="88" t="s">
        <v>33</v>
      </c>
      <c r="D21" s="63">
        <v>1.397587305708712E-2</v>
      </c>
      <c r="E21" s="61">
        <f t="shared" ref="E21:I21" si="11">D21+(($J21-$D21)/(COLUMN($J21)-COLUMN($D21)))</f>
        <v>8.33832862022508E-2</v>
      </c>
      <c r="F21" s="61">
        <f t="shared" si="11"/>
        <v>0.15279069934741449</v>
      </c>
      <c r="G21" s="61">
        <f t="shared" si="11"/>
        <v>0.22219811249257818</v>
      </c>
      <c r="H21" s="61">
        <f t="shared" si="11"/>
        <v>0.29160552563774189</v>
      </c>
      <c r="I21" s="61">
        <f t="shared" si="11"/>
        <v>0.36101293878290558</v>
      </c>
      <c r="J21" s="63">
        <v>0.43042035192806927</v>
      </c>
      <c r="K21" s="61">
        <f t="shared" ref="K21:M21" si="12">J21+(($N21-$J21)/(COLUMN($N21)-COLUMN($J21)))</f>
        <v>0.79086999299516636</v>
      </c>
      <c r="L21" s="61">
        <f t="shared" si="12"/>
        <v>1.1513196340622636</v>
      </c>
      <c r="M21" s="61">
        <f t="shared" si="12"/>
        <v>1.5117692751293608</v>
      </c>
      <c r="N21" s="63">
        <v>1.8722189161964575</v>
      </c>
      <c r="O21" s="61">
        <v>3.2625528125828405</v>
      </c>
      <c r="P21" s="61">
        <f t="shared" ref="P21:S21" si="13">O21+(($T21-$N21)/(COLUMN($T21)-COLUMN($N21)))</f>
        <v>6.3550229494690882</v>
      </c>
      <c r="Q21" s="61">
        <f t="shared" si="13"/>
        <v>9.447493086355335</v>
      </c>
      <c r="R21" s="61">
        <f t="shared" si="13"/>
        <v>12.539963223241582</v>
      </c>
      <c r="S21" s="61">
        <f t="shared" si="13"/>
        <v>15.632433360127829</v>
      </c>
      <c r="T21" s="61">
        <v>20.427039737513944</v>
      </c>
      <c r="U21" s="61">
        <f t="shared" ref="U21:X21" si="14">T21+(($Y21-$T21)/(COLUMN($Y21)-COLUMN($T21)))</f>
        <v>30.400121951873714</v>
      </c>
      <c r="V21" s="61">
        <f t="shared" si="14"/>
        <v>40.373204166233485</v>
      </c>
      <c r="W21" s="61">
        <f t="shared" si="14"/>
        <v>50.346286380593256</v>
      </c>
      <c r="X21" s="61">
        <f t="shared" si="14"/>
        <v>60.319368594953026</v>
      </c>
      <c r="Y21" s="63">
        <v>70.292450809312797</v>
      </c>
      <c r="Z21" s="61">
        <f t="shared" ref="Z21:AC21" si="15">Y21+(($AD21-$Y21)/(COLUMN($AD21)-COLUMN($Y21)))</f>
        <v>84.683450662259389</v>
      </c>
      <c r="AA21" s="61">
        <f t="shared" si="15"/>
        <v>99.074450515205982</v>
      </c>
      <c r="AB21" s="61">
        <f t="shared" si="15"/>
        <v>113.46545036815257</v>
      </c>
      <c r="AC21" s="61">
        <f t="shared" si="15"/>
        <v>127.85645022109917</v>
      </c>
      <c r="AD21" s="63">
        <v>142.24745007404579</v>
      </c>
    </row>
    <row r="22" spans="1:30" x14ac:dyDescent="0.35">
      <c r="A22" s="88" t="s">
        <v>30</v>
      </c>
      <c r="B22" s="169"/>
      <c r="C22" s="88" t="s">
        <v>34</v>
      </c>
      <c r="D22" s="63">
        <v>4.6586243523623738E-3</v>
      </c>
      <c r="E22" s="61">
        <f t="shared" ref="E22:I22" si="16">D22+(($J22-$D22)/(COLUMN($J22)-COLUMN($D22)))</f>
        <v>1.2849277625470088E-2</v>
      </c>
      <c r="F22" s="61">
        <f t="shared" si="16"/>
        <v>2.1039930898577801E-2</v>
      </c>
      <c r="G22" s="61">
        <f t="shared" si="16"/>
        <v>2.9230584171685517E-2</v>
      </c>
      <c r="H22" s="61">
        <f t="shared" si="16"/>
        <v>3.7421237444793233E-2</v>
      </c>
      <c r="I22" s="61">
        <f t="shared" si="16"/>
        <v>4.5611890717900949E-2</v>
      </c>
      <c r="J22" s="63">
        <v>5.3802543991008658E-2</v>
      </c>
      <c r="K22" s="61">
        <f t="shared" ref="K22:M22" si="17">J22+(($N22-$J22)/(COLUMN($N22)-COLUMN($J22)))</f>
        <v>7.3784388639621806E-2</v>
      </c>
      <c r="L22" s="61">
        <f t="shared" si="17"/>
        <v>9.3766233288234954E-2</v>
      </c>
      <c r="M22" s="61">
        <f t="shared" si="17"/>
        <v>0.1137480779368481</v>
      </c>
      <c r="N22" s="63">
        <v>0.13372992258546126</v>
      </c>
      <c r="O22" s="61">
        <v>0.17467985878611675</v>
      </c>
      <c r="P22" s="61">
        <f t="shared" ref="P22:S22" si="18">O22+(($T22-$N22)/(COLUMN($T22)-COLUMN($N22)))</f>
        <v>0.24550280041688904</v>
      </c>
      <c r="Q22" s="61">
        <f t="shared" si="18"/>
        <v>0.31632574204766134</v>
      </c>
      <c r="R22" s="61">
        <f t="shared" si="18"/>
        <v>0.38714868367843364</v>
      </c>
      <c r="S22" s="61">
        <f t="shared" si="18"/>
        <v>0.45797162530920593</v>
      </c>
      <c r="T22" s="61">
        <v>0.55866757237009501</v>
      </c>
      <c r="U22" s="61">
        <f t="shared" ref="U22:X22" si="19">T22+(($Y22-$T22)/(COLUMN($Y22)-COLUMN($T22)))</f>
        <v>0.68775031024862177</v>
      </c>
      <c r="V22" s="61">
        <f t="shared" si="19"/>
        <v>0.81683304812714841</v>
      </c>
      <c r="W22" s="61">
        <f t="shared" si="19"/>
        <v>0.94591578600567505</v>
      </c>
      <c r="X22" s="61">
        <f t="shared" si="19"/>
        <v>1.0749985238842017</v>
      </c>
      <c r="Y22" s="63">
        <v>1.2040812617627286</v>
      </c>
      <c r="Z22" s="61">
        <f t="shared" ref="Z22:AC22" si="20">Y22+(($AD22-$Y22)/(COLUMN($AD22)-COLUMN($Y22)))</f>
        <v>1.3161047188661625</v>
      </c>
      <c r="AA22" s="61">
        <f t="shared" si="20"/>
        <v>1.4281281759695965</v>
      </c>
      <c r="AB22" s="61">
        <f t="shared" si="20"/>
        <v>1.5401516330730305</v>
      </c>
      <c r="AC22" s="61">
        <f t="shared" si="20"/>
        <v>1.6521750901764645</v>
      </c>
      <c r="AD22" s="63">
        <v>1.7641985472798982</v>
      </c>
    </row>
    <row r="23" spans="1:30" x14ac:dyDescent="0.35">
      <c r="A23" s="88" t="s">
        <v>30</v>
      </c>
      <c r="B23" s="169"/>
      <c r="C23" s="88" t="s">
        <v>35</v>
      </c>
      <c r="D23" s="63">
        <v>3</v>
      </c>
      <c r="E23" s="61">
        <f t="shared" ref="E23:I23" si="21">D23+(($J23-$D23)/(COLUMN($J23)-COLUMN($D23)))</f>
        <v>3.8333333333333335</v>
      </c>
      <c r="F23" s="61">
        <f t="shared" si="21"/>
        <v>4.666666666666667</v>
      </c>
      <c r="G23" s="61">
        <f t="shared" si="21"/>
        <v>5.5</v>
      </c>
      <c r="H23" s="61">
        <f t="shared" si="21"/>
        <v>6.333333333333333</v>
      </c>
      <c r="I23" s="61">
        <f t="shared" si="21"/>
        <v>7.1666666666666661</v>
      </c>
      <c r="J23" s="63">
        <v>8</v>
      </c>
      <c r="K23" s="61">
        <f t="shared" ref="K23:M23" si="22">J23+(($N23-$J23)/(COLUMN($N23)-COLUMN($J23)))</f>
        <v>9.5</v>
      </c>
      <c r="L23" s="61">
        <f t="shared" si="22"/>
        <v>11</v>
      </c>
      <c r="M23" s="61">
        <f t="shared" si="22"/>
        <v>12.5</v>
      </c>
      <c r="N23" s="63">
        <v>14</v>
      </c>
      <c r="O23" s="61">
        <v>19</v>
      </c>
      <c r="P23" s="61">
        <f t="shared" ref="P23:S23" si="23">O23+(($T23-$N23)/(COLUMN($T23)-COLUMN($N23)))</f>
        <v>23</v>
      </c>
      <c r="Q23" s="61">
        <f t="shared" si="23"/>
        <v>27</v>
      </c>
      <c r="R23" s="61">
        <f t="shared" si="23"/>
        <v>31</v>
      </c>
      <c r="S23" s="61">
        <f t="shared" si="23"/>
        <v>35</v>
      </c>
      <c r="T23" s="61">
        <v>38</v>
      </c>
      <c r="U23" s="61">
        <f t="shared" ref="U23:X23" si="24">T23+(($Y23-$T23)/(COLUMN($Y23)-COLUMN($T23)))</f>
        <v>43</v>
      </c>
      <c r="V23" s="61">
        <f t="shared" si="24"/>
        <v>48</v>
      </c>
      <c r="W23" s="61">
        <f t="shared" si="24"/>
        <v>53</v>
      </c>
      <c r="X23" s="61">
        <f t="shared" si="24"/>
        <v>58</v>
      </c>
      <c r="Y23" s="63">
        <v>63</v>
      </c>
      <c r="Z23" s="61">
        <f t="shared" ref="Z23:AC23" si="25">Y23+(($AD23-$Y23)/(COLUMN($AD23)-COLUMN($Y23)))</f>
        <v>67.2</v>
      </c>
      <c r="AA23" s="61">
        <f t="shared" si="25"/>
        <v>71.400000000000006</v>
      </c>
      <c r="AB23" s="61">
        <f t="shared" si="25"/>
        <v>75.600000000000009</v>
      </c>
      <c r="AC23" s="61">
        <f t="shared" si="25"/>
        <v>79.800000000000011</v>
      </c>
      <c r="AD23" s="63">
        <v>84</v>
      </c>
    </row>
    <row r="24" spans="1:30" x14ac:dyDescent="0.35">
      <c r="A24" s="88" t="s">
        <v>30</v>
      </c>
      <c r="B24" s="169"/>
      <c r="C24" s="88" t="s">
        <v>121</v>
      </c>
      <c r="D24" s="63">
        <v>3808.3606649666053</v>
      </c>
      <c r="E24" s="63">
        <v>5063.9625989576198</v>
      </c>
      <c r="F24" s="63">
        <v>6319.5645329486342</v>
      </c>
      <c r="G24" s="63">
        <v>7575.1664669396487</v>
      </c>
      <c r="H24" s="63">
        <v>8830.7684009306613</v>
      </c>
      <c r="I24" s="63">
        <v>10086.370334921676</v>
      </c>
      <c r="J24" s="63">
        <v>11341.97226891269</v>
      </c>
      <c r="K24" s="63">
        <v>12597.574202903706</v>
      </c>
      <c r="L24" s="63">
        <v>13853.176136894721</v>
      </c>
      <c r="M24" s="63">
        <v>15108.778070885735</v>
      </c>
      <c r="N24" s="63">
        <v>16364.38000487675</v>
      </c>
      <c r="O24" s="63">
        <v>17619.981938867764</v>
      </c>
      <c r="P24" s="63">
        <v>18875.583872858777</v>
      </c>
      <c r="Q24" s="63">
        <v>20131.185806849793</v>
      </c>
      <c r="R24" s="63">
        <v>21386.787740840809</v>
      </c>
      <c r="S24" s="63">
        <v>22642.389674831822</v>
      </c>
      <c r="T24" s="63">
        <v>23897.991608822835</v>
      </c>
      <c r="U24" s="63">
        <v>25153.593542813855</v>
      </c>
      <c r="V24" s="63">
        <v>26409.195476804874</v>
      </c>
      <c r="W24" s="63">
        <v>27664.797410795891</v>
      </c>
      <c r="X24" s="63">
        <v>28920.399344786907</v>
      </c>
      <c r="Y24" s="63">
        <v>28048.90646754139</v>
      </c>
      <c r="Z24" s="63">
        <v>27177.413590295866</v>
      </c>
      <c r="AA24" s="63">
        <v>26305.920713050346</v>
      </c>
      <c r="AB24" s="63">
        <v>25434.427835804825</v>
      </c>
      <c r="AC24" s="63">
        <v>24562.934958559305</v>
      </c>
      <c r="AD24" s="63">
        <v>23691.442081313762</v>
      </c>
    </row>
    <row r="25" spans="1:30" x14ac:dyDescent="0.35">
      <c r="A25" s="88" t="s">
        <v>30</v>
      </c>
      <c r="B25" s="169"/>
      <c r="C25" s="88" t="s">
        <v>122</v>
      </c>
      <c r="D25" s="63">
        <v>192864.66620394157</v>
      </c>
      <c r="E25" s="63">
        <v>195239.2419650236</v>
      </c>
      <c r="F25" s="63">
        <v>196366.76544203321</v>
      </c>
      <c r="G25" s="63">
        <v>197525.37556068008</v>
      </c>
      <c r="H25" s="63">
        <v>198743.92387830256</v>
      </c>
      <c r="I25" s="63">
        <v>200140.93841202525</v>
      </c>
      <c r="J25" s="63">
        <v>201537.7102617296</v>
      </c>
      <c r="K25" s="63">
        <v>203264.35975945235</v>
      </c>
      <c r="L25" s="63">
        <v>205020.85839510098</v>
      </c>
      <c r="M25" s="63">
        <v>206857.30160898238</v>
      </c>
      <c r="N25" s="63">
        <v>208717.85370976047</v>
      </c>
      <c r="O25" s="63">
        <v>210603.18149647751</v>
      </c>
      <c r="P25" s="63">
        <v>212516.40688715709</v>
      </c>
      <c r="Q25" s="63">
        <v>214384.67967973242</v>
      </c>
      <c r="R25" s="63">
        <v>216269.29220061237</v>
      </c>
      <c r="S25" s="63">
        <v>218166.20327483438</v>
      </c>
      <c r="T25" s="63">
        <v>220084.66189887849</v>
      </c>
      <c r="U25" s="63">
        <v>221841.85132365467</v>
      </c>
      <c r="V25" s="63">
        <v>223594.26978343775</v>
      </c>
      <c r="W25" s="63">
        <v>225336.52091265519</v>
      </c>
      <c r="X25" s="63">
        <v>227080.15135791432</v>
      </c>
      <c r="Y25" s="63">
        <v>228568.34604359462</v>
      </c>
      <c r="Z25" s="63">
        <v>230020.42486390745</v>
      </c>
      <c r="AA25" s="63">
        <v>231425.48689332735</v>
      </c>
      <c r="AB25" s="63">
        <v>232792.66409110834</v>
      </c>
      <c r="AC25" s="63">
        <v>233827.47214176381</v>
      </c>
      <c r="AD25" s="63">
        <v>234770.96970999555</v>
      </c>
    </row>
    <row r="26" spans="1:30" s="82" customFormat="1" x14ac:dyDescent="0.35">
      <c r="A26" s="88" t="s">
        <v>30</v>
      </c>
      <c r="B26" s="169"/>
      <c r="C26" s="88" t="s">
        <v>123</v>
      </c>
      <c r="D26" s="63">
        <v>15863.893130854603</v>
      </c>
      <c r="E26" s="63">
        <v>17648.235031002652</v>
      </c>
      <c r="F26" s="63">
        <v>18532.236689999794</v>
      </c>
      <c r="G26" s="63">
        <v>19475.112681928011</v>
      </c>
      <c r="H26" s="63">
        <v>20493.71854997455</v>
      </c>
      <c r="I26" s="63">
        <v>21703.204276026223</v>
      </c>
      <c r="J26" s="63">
        <v>22946.050699999509</v>
      </c>
      <c r="K26" s="63">
        <v>24548.26486804448</v>
      </c>
      <c r="L26" s="63">
        <v>26220.989372549484</v>
      </c>
      <c r="M26" s="63">
        <v>28058.997685781676</v>
      </c>
      <c r="N26" s="63">
        <v>29994.707022833591</v>
      </c>
      <c r="O26" s="63">
        <v>32011.425891947838</v>
      </c>
      <c r="P26" s="63">
        <v>34129.673408907925</v>
      </c>
      <c r="Q26" s="63">
        <v>36251.576659394232</v>
      </c>
      <c r="R26" s="63">
        <v>38482.292306296302</v>
      </c>
      <c r="S26" s="63">
        <v>40781.781464548454</v>
      </c>
      <c r="T26" s="63">
        <v>43190.558793671822</v>
      </c>
      <c r="U26" s="63">
        <v>45461.093625999209</v>
      </c>
      <c r="V26" s="63">
        <v>47797.3220414936</v>
      </c>
      <c r="W26" s="63">
        <v>50173.624201748113</v>
      </c>
      <c r="X26" s="63">
        <v>52592.349260380004</v>
      </c>
      <c r="Y26" s="63">
        <v>54724.640759363763</v>
      </c>
      <c r="Z26" s="63">
        <v>56841.019364768887</v>
      </c>
      <c r="AA26" s="63">
        <v>58943.942312909749</v>
      </c>
      <c r="AB26" s="63">
        <v>61028.040642711028</v>
      </c>
      <c r="AC26" s="63">
        <v>62640.533299633396</v>
      </c>
      <c r="AD26" s="63">
        <v>64144.755021935125</v>
      </c>
    </row>
    <row r="27" spans="1:30" s="82" customFormat="1" x14ac:dyDescent="0.35">
      <c r="A27" s="88" t="s">
        <v>39</v>
      </c>
      <c r="B27" s="169"/>
      <c r="C27" s="88" t="s">
        <v>165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1">
        <f>W27+(($Y27-$W27)/(COLUMN($Y27)-COLUMN($W27)))</f>
        <v>0</v>
      </c>
      <c r="Y27" s="63">
        <v>0</v>
      </c>
      <c r="Z27" s="61">
        <f>Y27+(($AD27-$Y27)/(COLUMN($AD27)-COLUMN($Y27)))</f>
        <v>0</v>
      </c>
      <c r="AA27" s="61">
        <f t="shared" ref="AA27" si="26">Z27+(($AD27-$Y27)/(COLUMN($AD27)-COLUMN($Y27)))</f>
        <v>0</v>
      </c>
      <c r="AB27" s="61">
        <f t="shared" ref="AB27" si="27">AA27+(($AD27-$Y27)/(COLUMN($AD27)-COLUMN($Y27)))</f>
        <v>0</v>
      </c>
      <c r="AC27" s="61">
        <f t="shared" ref="AC27" si="28">AB27+(($AD27-$Y27)/(COLUMN($AD27)-COLUMN($Y27)))</f>
        <v>0</v>
      </c>
      <c r="AD27" s="63">
        <v>0</v>
      </c>
    </row>
    <row r="28" spans="1:30" x14ac:dyDescent="0.35">
      <c r="A28" s="88" t="s">
        <v>39</v>
      </c>
      <c r="B28" s="169"/>
      <c r="C28" s="88" t="s">
        <v>166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1">
        <f>W28+(($Y28-$W28)/(COLUMN($Y28)-COLUMN($W28)))</f>
        <v>0</v>
      </c>
      <c r="Y28" s="63">
        <v>0</v>
      </c>
      <c r="Z28" s="61">
        <f>Y28+(($AD28-$Y28)/(COLUMN($AD28)-COLUMN($Y28)))</f>
        <v>0</v>
      </c>
      <c r="AA28" s="61">
        <f t="shared" ref="AA28:AC28" si="29">Z28+(($AD28-$Y28)/(COLUMN($AD28)-COLUMN($Y28)))</f>
        <v>0</v>
      </c>
      <c r="AB28" s="61">
        <f t="shared" si="29"/>
        <v>0</v>
      </c>
      <c r="AC28" s="61">
        <f t="shared" si="29"/>
        <v>0</v>
      </c>
      <c r="AD28" s="63">
        <v>0</v>
      </c>
    </row>
    <row r="29" spans="1:30" x14ac:dyDescent="0.35">
      <c r="A29" s="88" t="s">
        <v>39</v>
      </c>
      <c r="B29" s="169"/>
      <c r="C29" s="88" t="s">
        <v>32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1">
        <f t="shared" ref="X29:X32" si="30">W29+(($Y29-$W29)/(COLUMN($Y29)-COLUMN($W29)))</f>
        <v>0</v>
      </c>
      <c r="Y29" s="63">
        <v>0</v>
      </c>
      <c r="Z29" s="61">
        <f t="shared" ref="Z29:AC29" si="31">Y29+(($AD29-$Y29)/(COLUMN($AD29)-COLUMN($Y29)))</f>
        <v>0</v>
      </c>
      <c r="AA29" s="61">
        <f t="shared" si="31"/>
        <v>0</v>
      </c>
      <c r="AB29" s="61">
        <f t="shared" si="31"/>
        <v>0</v>
      </c>
      <c r="AC29" s="61">
        <f t="shared" si="31"/>
        <v>0</v>
      </c>
      <c r="AD29" s="63">
        <v>0</v>
      </c>
    </row>
    <row r="30" spans="1:30" x14ac:dyDescent="0.35">
      <c r="A30" s="88" t="s">
        <v>39</v>
      </c>
      <c r="B30" s="169"/>
      <c r="C30" s="88" t="s">
        <v>33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1">
        <f t="shared" si="30"/>
        <v>0</v>
      </c>
      <c r="Y30" s="63">
        <v>0</v>
      </c>
      <c r="Z30" s="61">
        <f t="shared" ref="Z30:AC30" si="32">Y30+(($AD30-$Y30)/(COLUMN($AD30)-COLUMN($Y30)))</f>
        <v>0</v>
      </c>
      <c r="AA30" s="61">
        <f t="shared" si="32"/>
        <v>0</v>
      </c>
      <c r="AB30" s="61">
        <f t="shared" si="32"/>
        <v>0</v>
      </c>
      <c r="AC30" s="61">
        <f t="shared" si="32"/>
        <v>0</v>
      </c>
      <c r="AD30" s="63">
        <v>0</v>
      </c>
    </row>
    <row r="31" spans="1:30" x14ac:dyDescent="0.35">
      <c r="A31" s="88" t="s">
        <v>39</v>
      </c>
      <c r="B31" s="169"/>
      <c r="C31" s="88" t="s">
        <v>34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1">
        <f t="shared" si="30"/>
        <v>0</v>
      </c>
      <c r="Y31" s="63">
        <v>0</v>
      </c>
      <c r="Z31" s="61">
        <f t="shared" ref="Z31:AC31" si="33">Y31+(($AD31-$Y31)/(COLUMN($AD31)-COLUMN($Y31)))</f>
        <v>0</v>
      </c>
      <c r="AA31" s="61">
        <f t="shared" si="33"/>
        <v>0</v>
      </c>
      <c r="AB31" s="61">
        <f t="shared" si="33"/>
        <v>0</v>
      </c>
      <c r="AC31" s="61">
        <f t="shared" si="33"/>
        <v>0</v>
      </c>
      <c r="AD31" s="63">
        <v>0</v>
      </c>
    </row>
    <row r="32" spans="1:30" x14ac:dyDescent="0.35">
      <c r="A32" s="88" t="s">
        <v>39</v>
      </c>
      <c r="B32" s="169"/>
      <c r="C32" s="88" t="s">
        <v>35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1">
        <f t="shared" si="30"/>
        <v>0</v>
      </c>
      <c r="Y32" s="63">
        <v>0</v>
      </c>
      <c r="Z32" s="61">
        <f t="shared" ref="Z32:AC32" si="34">Y32+(($AD32-$Y32)/(COLUMN($AD32)-COLUMN($Y32)))</f>
        <v>0</v>
      </c>
      <c r="AA32" s="61">
        <f t="shared" si="34"/>
        <v>0</v>
      </c>
      <c r="AB32" s="61">
        <f t="shared" si="34"/>
        <v>0</v>
      </c>
      <c r="AC32" s="61">
        <f t="shared" si="34"/>
        <v>0</v>
      </c>
      <c r="AD32" s="63">
        <v>0</v>
      </c>
    </row>
    <row r="33" spans="1:30" x14ac:dyDescent="0.35">
      <c r="A33" s="88" t="s">
        <v>143</v>
      </c>
      <c r="B33" s="88" t="s">
        <v>124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</row>
    <row r="34" spans="1:30" x14ac:dyDescent="0.35">
      <c r="A34" s="88" t="s">
        <v>143</v>
      </c>
      <c r="B34" s="88" t="s">
        <v>145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</row>
    <row r="35" spans="1:30" s="62" customFormat="1" x14ac:dyDescent="0.35">
      <c r="A35" s="88" t="s">
        <v>146</v>
      </c>
      <c r="B35" s="88" t="s">
        <v>124</v>
      </c>
      <c r="C35" s="88" t="s">
        <v>144</v>
      </c>
      <c r="D35" s="63">
        <v>1116.2831294930561</v>
      </c>
      <c r="E35" s="61">
        <f>D35+(($J35-$D35)/(COLUMN($J35)-COLUMN($D35)))</f>
        <v>3422.0258454978884</v>
      </c>
      <c r="F35" s="61">
        <f t="shared" ref="F35:I36" si="35">E35+(($J35-$D35)/(COLUMN($J35)-COLUMN($D35)))</f>
        <v>5727.7685615027203</v>
      </c>
      <c r="G35" s="61">
        <f t="shared" si="35"/>
        <v>8033.5112775075522</v>
      </c>
      <c r="H35" s="61">
        <f t="shared" si="35"/>
        <v>10339.253993512384</v>
      </c>
      <c r="I35" s="61">
        <f t="shared" si="35"/>
        <v>12644.996709517216</v>
      </c>
      <c r="J35" s="63">
        <v>14950.73942552205</v>
      </c>
      <c r="K35" s="61">
        <f>J35+(($N35-$J35)/(COLUMN($N35)-COLUMN($J35)))</f>
        <v>20760.313552074236</v>
      </c>
      <c r="L35" s="61">
        <f t="shared" ref="L35:M36" si="36">K35+(($N35-$J35)/(COLUMN($N35)-COLUMN($J35)))</f>
        <v>26569.887678626423</v>
      </c>
      <c r="M35" s="61">
        <f t="shared" si="36"/>
        <v>32379.461805178609</v>
      </c>
      <c r="N35" s="63">
        <v>38189.035931730788</v>
      </c>
      <c r="O35" s="61">
        <f>N35+(($T35-$N35)/(COLUMN($T35)-COLUMN($N35)))</f>
        <v>67892.35035811337</v>
      </c>
      <c r="P35" s="61">
        <f t="shared" ref="P35:S35" si="37">O35+(($T35-$N35)/(COLUMN($T35)-COLUMN($N35)))</f>
        <v>97595.664784495952</v>
      </c>
      <c r="Q35" s="61">
        <f t="shared" si="37"/>
        <v>127298.97921087853</v>
      </c>
      <c r="R35" s="61">
        <f t="shared" si="37"/>
        <v>157002.29363726111</v>
      </c>
      <c r="S35" s="61">
        <f t="shared" si="37"/>
        <v>186705.60806364368</v>
      </c>
      <c r="T35" s="63">
        <v>216408.92249002625</v>
      </c>
      <c r="U35" s="61">
        <f>T35+(($Y35-$T35)/(COLUMN($Y35)-COLUMN($T35)))</f>
        <v>290960.8254368662</v>
      </c>
      <c r="V35" s="61">
        <f t="shared" ref="V35:X35" si="38">U35+(($Y35-$T35)/(COLUMN($Y35)-COLUMN($T35)))</f>
        <v>365512.72838370618</v>
      </c>
      <c r="W35" s="61">
        <f t="shared" si="38"/>
        <v>440064.63133054617</v>
      </c>
      <c r="X35" s="61">
        <f t="shared" si="38"/>
        <v>514616.53427738615</v>
      </c>
      <c r="Y35" s="63">
        <v>589168.43722422607</v>
      </c>
      <c r="Z35" s="61">
        <f>Y35+(($AD35-$Y35)/(COLUMN($AD35)-COLUMN($Y35)))</f>
        <v>677105.85048352648</v>
      </c>
      <c r="AA35" s="61">
        <f t="shared" ref="AA35:AA36" si="39">Z35+(($AD35-$Y35)/(COLUMN($AD35)-COLUMN($Y35)))</f>
        <v>765043.26374282688</v>
      </c>
      <c r="AB35" s="61">
        <f t="shared" ref="AB35:AB36" si="40">AA35+(($AD35-$Y35)/(COLUMN($AD35)-COLUMN($Y35)))</f>
        <v>852980.67700212728</v>
      </c>
      <c r="AC35" s="61">
        <f t="shared" ref="AC35:AC36" si="41">AB35+(($AD35-$Y35)/(COLUMN($AD35)-COLUMN($Y35)))</f>
        <v>940918.09026142769</v>
      </c>
      <c r="AD35" s="63">
        <v>1028855.503520728</v>
      </c>
    </row>
    <row r="36" spans="1:30" s="62" customFormat="1" x14ac:dyDescent="0.35">
      <c r="A36" s="88" t="s">
        <v>146</v>
      </c>
      <c r="B36" s="88" t="s">
        <v>145</v>
      </c>
      <c r="C36" s="88" t="s">
        <v>144</v>
      </c>
      <c r="D36" s="63">
        <v>4632.0010269207714</v>
      </c>
      <c r="E36" s="61">
        <f t="shared" ref="E36" si="42">D36+(($J36-$D36)/(COLUMN($J36)-COLUMN($D36)))</f>
        <v>14199.647752173827</v>
      </c>
      <c r="F36" s="61">
        <f t="shared" si="35"/>
        <v>23767.294477426884</v>
      </c>
      <c r="G36" s="61">
        <f t="shared" si="35"/>
        <v>33334.94120267994</v>
      </c>
      <c r="H36" s="61">
        <f t="shared" si="35"/>
        <v>42902.587927932997</v>
      </c>
      <c r="I36" s="61">
        <f t="shared" si="35"/>
        <v>52470.234653186053</v>
      </c>
      <c r="J36" s="63">
        <v>62037.881378439102</v>
      </c>
      <c r="K36" s="61">
        <f t="shared" ref="K36" si="43">J36+(($N36-$J36)/(COLUMN($N36)-COLUMN($J36)))</f>
        <v>86144.626888767496</v>
      </c>
      <c r="L36" s="61">
        <f t="shared" si="36"/>
        <v>110251.37239909588</v>
      </c>
      <c r="M36" s="61">
        <f t="shared" si="36"/>
        <v>134358.11790942427</v>
      </c>
      <c r="N36" s="63">
        <v>158464.86341975268</v>
      </c>
      <c r="O36" s="61">
        <f t="shared" ref="O36:S36" si="44">N36+(($T36-$N36)/(COLUMN($T36)-COLUMN($N36)))</f>
        <v>281718.34570469707</v>
      </c>
      <c r="P36" s="61">
        <f t="shared" si="44"/>
        <v>404971.82798964146</v>
      </c>
      <c r="Q36" s="61">
        <f t="shared" si="44"/>
        <v>528225.31027458585</v>
      </c>
      <c r="R36" s="61">
        <f t="shared" si="44"/>
        <v>651478.79255953024</v>
      </c>
      <c r="S36" s="61">
        <f t="shared" si="44"/>
        <v>774732.27484447462</v>
      </c>
      <c r="T36" s="63">
        <v>897985.7571294189</v>
      </c>
      <c r="U36" s="61">
        <f t="shared" ref="U36:X36" si="45">T36+(($Y36-$T36)/(COLUMN($Y36)-COLUMN($T36)))</f>
        <v>1207337.8219281449</v>
      </c>
      <c r="V36" s="61">
        <f t="shared" si="45"/>
        <v>1516689.8867268707</v>
      </c>
      <c r="W36" s="61">
        <f t="shared" si="45"/>
        <v>1826041.9515255964</v>
      </c>
      <c r="X36" s="61">
        <f t="shared" si="45"/>
        <v>2135394.0163243222</v>
      </c>
      <c r="Y36" s="63">
        <v>2444746.0811230484</v>
      </c>
      <c r="Z36" s="61">
        <f t="shared" ref="Z36" si="46">Y36+(($AD36-$Y36)/(COLUMN($AD36)-COLUMN($Y36)))</f>
        <v>2809641.1312765134</v>
      </c>
      <c r="AA36" s="61">
        <f t="shared" si="39"/>
        <v>3174536.1814299785</v>
      </c>
      <c r="AB36" s="61">
        <f t="shared" si="40"/>
        <v>3539431.2315834435</v>
      </c>
      <c r="AC36" s="61">
        <f t="shared" si="41"/>
        <v>3904326.2817369085</v>
      </c>
      <c r="AD36" s="63">
        <v>4269221.3318903726</v>
      </c>
    </row>
    <row r="37" spans="1:30" s="62" customFormat="1" ht="29" x14ac:dyDescent="0.35">
      <c r="A37" s="3" t="s">
        <v>147</v>
      </c>
      <c r="B37" s="3" t="s">
        <v>148</v>
      </c>
      <c r="C37" s="88" t="s">
        <v>144</v>
      </c>
      <c r="D37" s="63">
        <v>4851900.5486829933</v>
      </c>
      <c r="E37" s="63">
        <v>5548844.3300555516</v>
      </c>
      <c r="F37" s="63">
        <v>5954616.7726334753</v>
      </c>
      <c r="G37" s="63">
        <v>6363779.4526433833</v>
      </c>
      <c r="H37" s="63">
        <v>6862697.0831286758</v>
      </c>
      <c r="I37" s="63">
        <v>7430779.6337906746</v>
      </c>
      <c r="J37" s="63">
        <v>7958090.1696787169</v>
      </c>
      <c r="K37" s="63">
        <v>8741153.0658613946</v>
      </c>
      <c r="L37" s="63">
        <v>9549664.1025375165</v>
      </c>
      <c r="M37" s="63">
        <v>10292607.096280362</v>
      </c>
      <c r="N37" s="63">
        <v>11249460.561061727</v>
      </c>
      <c r="O37" s="63">
        <v>12276853.639271129</v>
      </c>
      <c r="P37" s="63">
        <v>13383547.522738636</v>
      </c>
      <c r="Q37" s="63">
        <v>14497043.817288639</v>
      </c>
      <c r="R37" s="63">
        <v>15635893.67975487</v>
      </c>
      <c r="S37" s="63">
        <v>16957354.939872339</v>
      </c>
      <c r="T37" s="63">
        <v>18318405.619574133</v>
      </c>
      <c r="U37" s="63">
        <v>19745850.774965178</v>
      </c>
      <c r="V37" s="63">
        <v>21095026.297130056</v>
      </c>
      <c r="W37" s="63">
        <v>22704288.873824503</v>
      </c>
      <c r="X37" s="63">
        <v>24150941.08390535</v>
      </c>
      <c r="Y37" s="63">
        <v>25639353.06127708</v>
      </c>
      <c r="Z37" s="63">
        <v>27288113.409484014</v>
      </c>
      <c r="AA37" s="63">
        <v>28930870.886208765</v>
      </c>
      <c r="AB37" s="63">
        <v>30651491.214634936</v>
      </c>
      <c r="AC37" s="63">
        <v>32245235.077421702</v>
      </c>
      <c r="AD37" s="63">
        <v>33779752.513984405</v>
      </c>
    </row>
    <row r="38" spans="1:30" x14ac:dyDescent="0.35">
      <c r="A38" s="88"/>
      <c r="B38" s="88"/>
      <c r="C38" s="88"/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/>
    </row>
    <row r="39" spans="1:30" x14ac:dyDescent="0.35">
      <c r="A39" s="88"/>
      <c r="B39" s="88"/>
      <c r="C39" s="88" t="s">
        <v>149</v>
      </c>
      <c r="D39" s="63">
        <f>'Cost Assumptions'!$B$4</f>
        <v>40</v>
      </c>
      <c r="E39" s="63">
        <f>D39*'Cost Assumptions'!$B$5</f>
        <v>41</v>
      </c>
      <c r="F39" s="63">
        <f>E39*'Cost Assumptions'!$B$5</f>
        <v>42.024999999999999</v>
      </c>
      <c r="G39" s="63">
        <f>F39*'Cost Assumptions'!$B$5</f>
        <v>43.075624999999995</v>
      </c>
      <c r="H39" s="10">
        <f>G39*'Cost Assumptions'!$B$5</f>
        <v>44.152515624999992</v>
      </c>
      <c r="I39" s="10">
        <f>H39*'Cost Assumptions'!$B$5</f>
        <v>45.256328515624986</v>
      </c>
      <c r="J39" s="10">
        <f>I39*'Cost Assumptions'!$B$5</f>
        <v>46.387736728515605</v>
      </c>
      <c r="K39" s="10">
        <f>J39*'Cost Assumptions'!$B$5</f>
        <v>47.547430146728495</v>
      </c>
      <c r="L39" s="10">
        <f>K39*'Cost Assumptions'!$B$5</f>
        <v>48.736115900396705</v>
      </c>
      <c r="M39" s="10">
        <f>L39*'Cost Assumptions'!$B$5</f>
        <v>49.954518797906616</v>
      </c>
      <c r="N39" s="10">
        <f>M39*'Cost Assumptions'!$B$5</f>
        <v>51.203381767854275</v>
      </c>
      <c r="O39" s="10">
        <f>N39*'Cost Assumptions'!$B$5</f>
        <v>52.483466312050624</v>
      </c>
      <c r="P39" s="10">
        <f>O39*'Cost Assumptions'!$B$5</f>
        <v>53.795552969851883</v>
      </c>
      <c r="Q39" s="10">
        <f>P39*'Cost Assumptions'!$B$5</f>
        <v>55.140441794098173</v>
      </c>
      <c r="R39" s="10">
        <f>Q39*'Cost Assumptions'!$B$5</f>
        <v>56.518952838950625</v>
      </c>
      <c r="S39" s="10">
        <f>R39*'Cost Assumptions'!$B$5</f>
        <v>57.931926659924386</v>
      </c>
      <c r="T39" s="10">
        <f>S39*'Cost Assumptions'!$B$5</f>
        <v>59.380224826422491</v>
      </c>
      <c r="U39" s="10">
        <f>T39*'Cost Assumptions'!$B$5</f>
        <v>60.864730447083048</v>
      </c>
      <c r="V39" s="10">
        <f>U39*'Cost Assumptions'!$B$5</f>
        <v>62.386348708260115</v>
      </c>
      <c r="W39" s="10">
        <f>V39*'Cost Assumptions'!$B$5</f>
        <v>63.946007425966613</v>
      </c>
      <c r="X39" s="10">
        <f>W39*'Cost Assumptions'!$B$5</f>
        <v>65.544657611615776</v>
      </c>
      <c r="Y39" s="10">
        <f>X39*'Cost Assumptions'!$B$5</f>
        <v>67.183274051906167</v>
      </c>
      <c r="Z39" s="10">
        <f>Y39*'Cost Assumptions'!$B$5</f>
        <v>68.862855903203823</v>
      </c>
      <c r="AA39" s="10">
        <f>Z39*'Cost Assumptions'!$B$5</f>
        <v>70.584427300783915</v>
      </c>
      <c r="AB39" s="10">
        <f>AA39*'Cost Assumptions'!$B$5</f>
        <v>72.349037983303504</v>
      </c>
      <c r="AC39" s="10">
        <f>AB39*'Cost Assumptions'!$B$5</f>
        <v>74.157763932886084</v>
      </c>
      <c r="AD39" s="10">
        <f>AC39*'Cost Assumptions'!$B$5</f>
        <v>76.011708031208229</v>
      </c>
    </row>
    <row r="40" spans="1:30" x14ac:dyDescent="0.35">
      <c r="A40" s="88"/>
      <c r="B40" s="88"/>
      <c r="C40" s="8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x14ac:dyDescent="0.35">
      <c r="A41" s="88"/>
      <c r="B41" s="88"/>
      <c r="C41" s="88"/>
      <c r="D41" s="88"/>
      <c r="E41" s="88"/>
      <c r="F41" s="88"/>
      <c r="G41" s="63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20" thickBot="1" x14ac:dyDescent="0.5">
      <c r="A42" s="117"/>
      <c r="B42" s="128" t="s">
        <v>151</v>
      </c>
      <c r="C42" s="117" t="s">
        <v>118</v>
      </c>
      <c r="D42" s="117">
        <v>2022</v>
      </c>
      <c r="E42" s="117">
        <v>2023</v>
      </c>
      <c r="F42" s="117">
        <v>2024</v>
      </c>
      <c r="G42" s="117">
        <v>2025</v>
      </c>
      <c r="H42" s="117">
        <v>2026</v>
      </c>
      <c r="I42" s="117">
        <v>2027</v>
      </c>
      <c r="J42" s="117">
        <v>2028</v>
      </c>
      <c r="K42" s="117">
        <v>2029</v>
      </c>
      <c r="L42" s="117">
        <v>2030</v>
      </c>
      <c r="M42" s="117">
        <v>2031</v>
      </c>
      <c r="N42" s="117">
        <v>2032</v>
      </c>
      <c r="O42" s="117">
        <v>2033</v>
      </c>
      <c r="P42" s="117">
        <v>2034</v>
      </c>
      <c r="Q42" s="117">
        <v>2035</v>
      </c>
      <c r="R42" s="117">
        <v>2036</v>
      </c>
      <c r="S42" s="117">
        <v>2037</v>
      </c>
      <c r="T42" s="117">
        <v>2038</v>
      </c>
      <c r="U42" s="117">
        <v>2039</v>
      </c>
      <c r="V42" s="117">
        <v>2040</v>
      </c>
      <c r="W42" s="117">
        <v>2041</v>
      </c>
      <c r="X42" s="117">
        <v>2042</v>
      </c>
      <c r="Y42" s="117">
        <v>2043</v>
      </c>
      <c r="Z42" s="117">
        <v>2044</v>
      </c>
      <c r="AA42" s="117">
        <v>2045</v>
      </c>
      <c r="AB42" s="117">
        <v>2046</v>
      </c>
      <c r="AC42" s="117">
        <v>2047</v>
      </c>
      <c r="AD42" s="117">
        <v>2048</v>
      </c>
    </row>
    <row r="43" spans="1:30" ht="15" thickTop="1" x14ac:dyDescent="0.35">
      <c r="A43" s="5">
        <f t="shared" ref="A43:A57" si="47">SUM(D43:AD43)/1000</f>
        <v>19.3215874999932</v>
      </c>
      <c r="B43" s="11">
        <f>NPV('Cost Assumptions'!$B$3,'VS to VN &amp; Central BESS VS VN '!D43:'VS to VN &amp; Central BESS VS VN '!AD43)</f>
        <v>5198.5999987055902</v>
      </c>
      <c r="C43" s="88" t="s">
        <v>120</v>
      </c>
      <c r="D43" s="63">
        <f t="shared" ref="D43:AD43" si="48">D2-D18</f>
        <v>338.7999999991298</v>
      </c>
      <c r="E43" s="63">
        <f t="shared" si="48"/>
        <v>367.49903846071538</v>
      </c>
      <c r="F43" s="63">
        <f t="shared" si="48"/>
        <v>396.19807692230097</v>
      </c>
      <c r="G43" s="63">
        <f t="shared" si="48"/>
        <v>424.89711538388656</v>
      </c>
      <c r="H43" s="63">
        <f t="shared" si="48"/>
        <v>453.59615384547214</v>
      </c>
      <c r="I43" s="63">
        <f t="shared" si="48"/>
        <v>482.29519230705773</v>
      </c>
      <c r="J43" s="63">
        <f t="shared" si="48"/>
        <v>510.99423076864332</v>
      </c>
      <c r="K43" s="63">
        <f t="shared" si="48"/>
        <v>539.69326923022891</v>
      </c>
      <c r="L43" s="63">
        <f t="shared" si="48"/>
        <v>568.39230769181449</v>
      </c>
      <c r="M43" s="63">
        <f t="shared" si="48"/>
        <v>597.09134615340008</v>
      </c>
      <c r="N43" s="63">
        <f t="shared" si="48"/>
        <v>625.79038461498567</v>
      </c>
      <c r="O43" s="63">
        <f t="shared" si="48"/>
        <v>654.48942307657126</v>
      </c>
      <c r="P43" s="63">
        <f t="shared" si="48"/>
        <v>683.18846153815684</v>
      </c>
      <c r="Q43" s="63">
        <f t="shared" si="48"/>
        <v>711.88749999974243</v>
      </c>
      <c r="R43" s="63">
        <f t="shared" si="48"/>
        <v>740.58653846132802</v>
      </c>
      <c r="S43" s="63">
        <f t="shared" si="48"/>
        <v>769.28557692291361</v>
      </c>
      <c r="T43" s="63">
        <f t="shared" si="48"/>
        <v>797.98461538449919</v>
      </c>
      <c r="U43" s="63">
        <f t="shared" si="48"/>
        <v>826.68365384608478</v>
      </c>
      <c r="V43" s="63">
        <f t="shared" si="48"/>
        <v>855.38269230767037</v>
      </c>
      <c r="W43" s="63">
        <f t="shared" si="48"/>
        <v>884.08173076925596</v>
      </c>
      <c r="X43" s="63">
        <f t="shared" si="48"/>
        <v>912.78076923084154</v>
      </c>
      <c r="Y43" s="63">
        <f t="shared" si="48"/>
        <v>946.27147435909865</v>
      </c>
      <c r="Z43" s="63">
        <f t="shared" si="48"/>
        <v>979.76217948735575</v>
      </c>
      <c r="AA43" s="63">
        <f t="shared" si="48"/>
        <v>1013.2528846156129</v>
      </c>
      <c r="AB43" s="63">
        <f t="shared" si="48"/>
        <v>1046.74358974387</v>
      </c>
      <c r="AC43" s="63">
        <f t="shared" si="48"/>
        <v>1080.2342948721271</v>
      </c>
      <c r="AD43" s="63">
        <f t="shared" si="48"/>
        <v>1113.7250000004351</v>
      </c>
    </row>
    <row r="44" spans="1:30" x14ac:dyDescent="0.35">
      <c r="A44" s="5">
        <f t="shared" si="47"/>
        <v>1151.6258634756384</v>
      </c>
      <c r="B44" s="11">
        <f>NPV('Cost Assumptions'!$B$3,'VS to VN &amp; Central BESS VS VN '!D44:'VS to VN &amp; Central BESS VS VN '!AD44)</f>
        <v>271211.45397926512</v>
      </c>
      <c r="C44" s="88" t="s">
        <v>152</v>
      </c>
      <c r="D44" s="63">
        <f t="shared" ref="D44:AD44" si="49">D43*D39</f>
        <v>13551.999999965192</v>
      </c>
      <c r="E44" s="63">
        <f t="shared" si="49"/>
        <v>15067.460576889331</v>
      </c>
      <c r="F44" s="63">
        <f t="shared" si="49"/>
        <v>16650.224182659698</v>
      </c>
      <c r="G44" s="63">
        <f t="shared" si="49"/>
        <v>18302.708805858027</v>
      </c>
      <c r="H44" s="63">
        <f t="shared" si="49"/>
        <v>20027.411270102108</v>
      </c>
      <c r="I44" s="63">
        <f t="shared" si="49"/>
        <v>21826.909664554732</v>
      </c>
      <c r="J44" s="63">
        <f t="shared" si="49"/>
        <v>23703.865846686174</v>
      </c>
      <c r="K44" s="63">
        <f t="shared" si="49"/>
        <v>25661.028019383844</v>
      </c>
      <c r="L44" s="63">
        <f t="shared" si="49"/>
        <v>27701.233384562216</v>
      </c>
      <c r="M44" s="63">
        <f t="shared" si="49"/>
        <v>29827.410875487389</v>
      </c>
      <c r="N44" s="63">
        <f t="shared" si="49"/>
        <v>32042.58397009347</v>
      </c>
      <c r="O44" s="63">
        <f t="shared" si="49"/>
        <v>34349.873587632675</v>
      </c>
      <c r="P44" s="63">
        <f t="shared" si="49"/>
        <v>36752.501071067534</v>
      </c>
      <c r="Q44" s="63">
        <f t="shared" si="49"/>
        <v>39253.791257681863</v>
      </c>
      <c r="R44" s="63">
        <f t="shared" si="49"/>
        <v>41857.175640457492</v>
      </c>
      <c r="S44" s="63">
        <f t="shared" si="49"/>
        <v>44566.195622835854</v>
      </c>
      <c r="T44" s="63">
        <f t="shared" si="49"/>
        <v>47384.505869557841</v>
      </c>
      <c r="U44" s="63">
        <f t="shared" si="49"/>
        <v>50315.877756351656</v>
      </c>
      <c r="V44" s="63">
        <f t="shared" si="49"/>
        <v>53364.20292131669</v>
      </c>
      <c r="W44" s="63">
        <f t="shared" si="49"/>
        <v>56533.496920932259</v>
      </c>
      <c r="X44" s="63">
        <f t="shared" si="49"/>
        <v>59827.902993702781</v>
      </c>
      <c r="Y44" s="63">
        <f t="shared" si="49"/>
        <v>63573.615789368625</v>
      </c>
      <c r="Z44" s="63">
        <f t="shared" si="49"/>
        <v>67469.221785446702</v>
      </c>
      <c r="AA44" s="63">
        <f t="shared" si="49"/>
        <v>71519.874571460314</v>
      </c>
      <c r="AB44" s="63">
        <f t="shared" si="49"/>
        <v>75730.891733158714</v>
      </c>
      <c r="AC44" s="63">
        <f t="shared" si="49"/>
        <v>80107.759831334857</v>
      </c>
      <c r="AD44" s="63">
        <f t="shared" si="49"/>
        <v>84656.139527090461</v>
      </c>
    </row>
    <row r="45" spans="1:30" x14ac:dyDescent="0.35">
      <c r="A45" s="5">
        <f t="shared" si="47"/>
        <v>5.3189499999999992</v>
      </c>
      <c r="B45" s="11">
        <f>NPV('Cost Assumptions'!$B$3,'VS to VN &amp; Central BESS VS VN '!D45:'VS to VN &amp; Central BESS VS VN '!AD45)</f>
        <v>673.16156827418615</v>
      </c>
      <c r="C45" s="88" t="s">
        <v>31</v>
      </c>
      <c r="D45" s="63">
        <f t="shared" ref="D45:AD45" si="50">D3-D19</f>
        <v>4.9000000000000057</v>
      </c>
      <c r="E45" s="63">
        <f t="shared" si="50"/>
        <v>6.4333333333333371</v>
      </c>
      <c r="F45" s="63">
        <f t="shared" si="50"/>
        <v>6.846666666666664</v>
      </c>
      <c r="G45" s="63">
        <f t="shared" si="50"/>
        <v>7.2599999999999909</v>
      </c>
      <c r="H45" s="63">
        <f t="shared" si="50"/>
        <v>7.6733333333333178</v>
      </c>
      <c r="I45" s="63">
        <f t="shared" si="50"/>
        <v>8.0866666666666447</v>
      </c>
      <c r="J45" s="63">
        <f t="shared" si="50"/>
        <v>8.4999999999999716</v>
      </c>
      <c r="K45" s="63">
        <f t="shared" si="50"/>
        <v>10.674999999999983</v>
      </c>
      <c r="L45" s="63">
        <f t="shared" si="50"/>
        <v>12.849999999999994</v>
      </c>
      <c r="M45" s="63">
        <f t="shared" si="50"/>
        <v>15.025000000000006</v>
      </c>
      <c r="N45" s="63">
        <f t="shared" si="50"/>
        <v>17.19999999999996</v>
      </c>
      <c r="O45" s="63">
        <f t="shared" si="50"/>
        <v>58.366666666666731</v>
      </c>
      <c r="P45" s="63">
        <f t="shared" si="50"/>
        <v>67.883333333333383</v>
      </c>
      <c r="Q45" s="63">
        <f t="shared" si="50"/>
        <v>77.400000000000034</v>
      </c>
      <c r="R45" s="63">
        <f t="shared" si="50"/>
        <v>86.916666666666686</v>
      </c>
      <c r="S45" s="63">
        <f t="shared" si="50"/>
        <v>96.433333333333337</v>
      </c>
      <c r="T45" s="63">
        <f t="shared" si="50"/>
        <v>74.299999999999955</v>
      </c>
      <c r="U45" s="63">
        <f t="shared" si="50"/>
        <v>150.61999999999989</v>
      </c>
      <c r="V45" s="63">
        <f t="shared" si="50"/>
        <v>226.93999999999983</v>
      </c>
      <c r="W45" s="63">
        <f t="shared" si="50"/>
        <v>303.25999999999988</v>
      </c>
      <c r="X45" s="63">
        <f t="shared" si="50"/>
        <v>379.57999999999993</v>
      </c>
      <c r="Y45" s="63">
        <f t="shared" si="50"/>
        <v>300.59999999999968</v>
      </c>
      <c r="Z45" s="63">
        <f t="shared" si="50"/>
        <v>426.47999999999979</v>
      </c>
      <c r="AA45" s="63">
        <f t="shared" si="50"/>
        <v>552.3599999999999</v>
      </c>
      <c r="AB45" s="63">
        <f t="shared" si="50"/>
        <v>678.24</v>
      </c>
      <c r="AC45" s="63">
        <f t="shared" si="50"/>
        <v>804.12000000000012</v>
      </c>
      <c r="AD45" s="63">
        <f t="shared" si="50"/>
        <v>930.00000000000045</v>
      </c>
    </row>
    <row r="46" spans="1:30" x14ac:dyDescent="0.35">
      <c r="A46" s="5">
        <f t="shared" si="47"/>
        <v>-0.11211666666666663</v>
      </c>
      <c r="B46" s="11">
        <f>NPV('Cost Assumptions'!$B$3,'VS to VN &amp; Central BESS VS VN '!D46:'VS to VN &amp; Central BESS VS VN '!AD46)</f>
        <v>-30.522975022622681</v>
      </c>
      <c r="C46" s="88" t="s">
        <v>32</v>
      </c>
      <c r="D46" s="63">
        <f t="shared" ref="D46:AD46" si="51">D4-D20</f>
        <v>-1</v>
      </c>
      <c r="E46" s="63">
        <f t="shared" si="51"/>
        <v>-1.8833333333333355</v>
      </c>
      <c r="F46" s="63">
        <f t="shared" si="51"/>
        <v>-2.0866666666666758</v>
      </c>
      <c r="G46" s="63">
        <f t="shared" si="51"/>
        <v>-2.2900000000000151</v>
      </c>
      <c r="H46" s="63">
        <f t="shared" si="51"/>
        <v>-2.4933333333333536</v>
      </c>
      <c r="I46" s="63">
        <f t="shared" si="51"/>
        <v>-2.6966666666666921</v>
      </c>
      <c r="J46" s="63">
        <f t="shared" si="51"/>
        <v>-2.9000000000000341</v>
      </c>
      <c r="K46" s="63">
        <f t="shared" si="51"/>
        <v>-3.5750000000000171</v>
      </c>
      <c r="L46" s="63">
        <f t="shared" si="51"/>
        <v>-4.25</v>
      </c>
      <c r="M46" s="63">
        <f t="shared" si="51"/>
        <v>-4.9249999999999829</v>
      </c>
      <c r="N46" s="63">
        <f t="shared" si="51"/>
        <v>-5.5999999999999659</v>
      </c>
      <c r="O46" s="63">
        <f t="shared" si="51"/>
        <v>-6.3499999999999659</v>
      </c>
      <c r="P46" s="63">
        <f t="shared" si="51"/>
        <v>-5.9166666666666394</v>
      </c>
      <c r="Q46" s="63">
        <f t="shared" si="51"/>
        <v>-5.483333333333313</v>
      </c>
      <c r="R46" s="63">
        <f t="shared" si="51"/>
        <v>-5.0499999999999829</v>
      </c>
      <c r="S46" s="63">
        <f t="shared" si="51"/>
        <v>-4.6166666666666529</v>
      </c>
      <c r="T46" s="63">
        <f t="shared" si="51"/>
        <v>-3</v>
      </c>
      <c r="U46" s="63">
        <f t="shared" si="51"/>
        <v>-2.8200000000000003</v>
      </c>
      <c r="V46" s="63">
        <f t="shared" si="51"/>
        <v>-2.6400000000000006</v>
      </c>
      <c r="W46" s="63">
        <f t="shared" si="51"/>
        <v>-2.4600000000000009</v>
      </c>
      <c r="X46" s="63">
        <f t="shared" si="51"/>
        <v>-2.2800000000000011</v>
      </c>
      <c r="Y46" s="63">
        <f t="shared" si="51"/>
        <v>-2.0999999999999801</v>
      </c>
      <c r="Z46" s="63">
        <f t="shared" si="51"/>
        <v>-3.7799999999999869</v>
      </c>
      <c r="AA46" s="63">
        <f t="shared" si="51"/>
        <v>-5.4599999999999937</v>
      </c>
      <c r="AB46" s="63">
        <f t="shared" si="51"/>
        <v>-7.1400000000000006</v>
      </c>
      <c r="AC46" s="63">
        <f t="shared" si="51"/>
        <v>-8.8200000000000074</v>
      </c>
      <c r="AD46" s="63">
        <f t="shared" si="51"/>
        <v>-10.500000000000028</v>
      </c>
    </row>
    <row r="47" spans="1:30" x14ac:dyDescent="0.35">
      <c r="A47" s="5">
        <f t="shared" si="47"/>
        <v>0.48558549019356978</v>
      </c>
      <c r="B47" s="11">
        <f>NPV('Cost Assumptions'!$B$3,'VS to VN &amp; Central BESS VS VN '!D47:'VS to VN &amp; Central BESS VS VN '!AD47)</f>
        <v>52.609350081803619</v>
      </c>
      <c r="C47" s="88" t="s">
        <v>33</v>
      </c>
      <c r="D47" s="63">
        <f t="shared" ref="D47:AD47" si="52">D5-D21</f>
        <v>7.08362391362444E-2</v>
      </c>
      <c r="E47" s="63">
        <f t="shared" si="52"/>
        <v>0.15945042592125219</v>
      </c>
      <c r="F47" s="63">
        <f t="shared" si="52"/>
        <v>0.18767206111921694</v>
      </c>
      <c r="G47" s="63">
        <f t="shared" si="52"/>
        <v>0.21589369631718167</v>
      </c>
      <c r="H47" s="63">
        <f t="shared" si="52"/>
        <v>0.24411533151514642</v>
      </c>
      <c r="I47" s="63">
        <f t="shared" si="52"/>
        <v>0.27233696671311119</v>
      </c>
      <c r="J47" s="63">
        <f t="shared" si="52"/>
        <v>0.30055860191107586</v>
      </c>
      <c r="K47" s="63">
        <f t="shared" si="52"/>
        <v>0.37458306356981796</v>
      </c>
      <c r="L47" s="63">
        <f t="shared" si="52"/>
        <v>0.44860752522855996</v>
      </c>
      <c r="M47" s="63">
        <f t="shared" si="52"/>
        <v>0.52263198688730172</v>
      </c>
      <c r="N47" s="63">
        <f t="shared" si="52"/>
        <v>0.59665644854604416</v>
      </c>
      <c r="O47" s="63">
        <f t="shared" si="52"/>
        <v>2.8562717941184852</v>
      </c>
      <c r="P47" s="63">
        <f t="shared" si="52"/>
        <v>3.4137508991910614</v>
      </c>
      <c r="Q47" s="63">
        <f t="shared" si="52"/>
        <v>3.9712300042636386</v>
      </c>
      <c r="R47" s="63">
        <f t="shared" si="52"/>
        <v>4.5287091093362157</v>
      </c>
      <c r="S47" s="63">
        <f t="shared" si="52"/>
        <v>5.0861882144087947</v>
      </c>
      <c r="T47" s="63">
        <f t="shared" si="52"/>
        <v>3.9415310789815052</v>
      </c>
      <c r="U47" s="63">
        <f t="shared" si="52"/>
        <v>7.7774323404504884</v>
      </c>
      <c r="V47" s="63">
        <f t="shared" si="52"/>
        <v>11.613333601919472</v>
      </c>
      <c r="W47" s="63">
        <f t="shared" si="52"/>
        <v>15.449234863388455</v>
      </c>
      <c r="X47" s="63">
        <f t="shared" si="52"/>
        <v>19.285136124857438</v>
      </c>
      <c r="Y47" s="63">
        <f t="shared" si="52"/>
        <v>23.121037386326421</v>
      </c>
      <c r="Z47" s="63">
        <f t="shared" si="52"/>
        <v>40.823911086181809</v>
      </c>
      <c r="AA47" s="63">
        <f t="shared" si="52"/>
        <v>58.526784786037197</v>
      </c>
      <c r="AB47" s="63">
        <f t="shared" si="52"/>
        <v>76.229658485892571</v>
      </c>
      <c r="AC47" s="63">
        <f t="shared" si="52"/>
        <v>93.932532185747974</v>
      </c>
      <c r="AD47" s="63">
        <f t="shared" si="52"/>
        <v>111.63540588560335</v>
      </c>
    </row>
    <row r="48" spans="1:30" x14ac:dyDescent="0.35">
      <c r="A48" s="5">
        <f t="shared" si="47"/>
        <v>3.7017647833557164E-3</v>
      </c>
      <c r="B48" s="11">
        <f>NPV('Cost Assumptions'!$B$3,'VS to VN &amp; Central BESS VS VN '!D48:'VS to VN &amp; Central BESS VS VN '!AD48)</f>
        <v>0.42183026101000315</v>
      </c>
      <c r="C48" s="88" t="s">
        <v>34</v>
      </c>
      <c r="D48" s="63">
        <f t="shared" ref="D48:AD48" si="53">D6-D22</f>
        <v>1.3993836614470201E-3</v>
      </c>
      <c r="E48" s="63">
        <f t="shared" si="53"/>
        <v>4.9224786109266505E-3</v>
      </c>
      <c r="F48" s="63">
        <f t="shared" si="53"/>
        <v>4.0068469485473289E-3</v>
      </c>
      <c r="G48" s="63">
        <f t="shared" si="53"/>
        <v>3.0912152861680003E-3</v>
      </c>
      <c r="H48" s="63">
        <f t="shared" si="53"/>
        <v>2.1755836237886753E-3</v>
      </c>
      <c r="I48" s="63">
        <f t="shared" si="53"/>
        <v>1.2599519614093502E-3</v>
      </c>
      <c r="J48" s="63">
        <f t="shared" si="53"/>
        <v>3.4432029903003203E-4</v>
      </c>
      <c r="K48" s="63">
        <f t="shared" si="53"/>
        <v>1.441179295574857E-5</v>
      </c>
      <c r="L48" s="63">
        <f t="shared" si="53"/>
        <v>-3.1549671311853489E-4</v>
      </c>
      <c r="M48" s="63">
        <f t="shared" si="53"/>
        <v>-6.4540521919281835E-4</v>
      </c>
      <c r="N48" s="63">
        <f t="shared" si="53"/>
        <v>-9.7531372526710181E-4</v>
      </c>
      <c r="O48" s="63">
        <f t="shared" si="53"/>
        <v>3.469719757715628E-2</v>
      </c>
      <c r="P48" s="63">
        <f t="shared" si="53"/>
        <v>4.0496703449462879E-2</v>
      </c>
      <c r="Q48" s="63">
        <f t="shared" si="53"/>
        <v>4.6296209321769477E-2</v>
      </c>
      <c r="R48" s="63">
        <f t="shared" si="53"/>
        <v>5.2095715194076075E-2</v>
      </c>
      <c r="S48" s="63">
        <f t="shared" si="53"/>
        <v>5.7895221066382618E-2</v>
      </c>
      <c r="T48" s="63">
        <f t="shared" si="53"/>
        <v>3.3821721508572433E-2</v>
      </c>
      <c r="U48" s="63">
        <f t="shared" si="53"/>
        <v>6.8723708713954279E-2</v>
      </c>
      <c r="V48" s="63">
        <f t="shared" si="53"/>
        <v>0.10362569591933624</v>
      </c>
      <c r="W48" s="63">
        <f t="shared" si="53"/>
        <v>0.13852768312471819</v>
      </c>
      <c r="X48" s="63">
        <f t="shared" si="53"/>
        <v>0.17342967033010015</v>
      </c>
      <c r="Y48" s="63">
        <f t="shared" si="53"/>
        <v>0.20833165753548188</v>
      </c>
      <c r="Z48" s="63">
        <f t="shared" si="53"/>
        <v>0.32079081322952208</v>
      </c>
      <c r="AA48" s="63">
        <f t="shared" si="53"/>
        <v>0.43324996892356227</v>
      </c>
      <c r="AB48" s="63">
        <f t="shared" si="53"/>
        <v>0.54570912461760224</v>
      </c>
      <c r="AC48" s="63">
        <f t="shared" si="53"/>
        <v>0.65816828031164243</v>
      </c>
      <c r="AD48" s="63">
        <f t="shared" si="53"/>
        <v>0.77062743600568284</v>
      </c>
    </row>
    <row r="49" spans="1:30" x14ac:dyDescent="0.35">
      <c r="A49" s="5">
        <f t="shared" si="47"/>
        <v>1.0974999999999999</v>
      </c>
      <c r="B49" s="11">
        <f>NPV('Cost Assumptions'!$B$3,'VS to VN &amp; Central BESS VS VN '!D49:'VS to VN &amp; Central BESS VS VN '!AD49)</f>
        <v>270.87690837466926</v>
      </c>
      <c r="C49" s="88" t="s">
        <v>35</v>
      </c>
      <c r="D49" s="63">
        <f t="shared" ref="D49:AD49" si="54">D7-D23</f>
        <v>11</v>
      </c>
      <c r="E49" s="63">
        <f t="shared" si="54"/>
        <v>17.166666666666668</v>
      </c>
      <c r="F49" s="63">
        <f t="shared" si="54"/>
        <v>18.533333333333331</v>
      </c>
      <c r="G49" s="63">
        <f t="shared" si="54"/>
        <v>19.899999999999999</v>
      </c>
      <c r="H49" s="63">
        <f t="shared" si="54"/>
        <v>21.266666666666666</v>
      </c>
      <c r="I49" s="63">
        <f t="shared" si="54"/>
        <v>22.633333333333333</v>
      </c>
      <c r="J49" s="63">
        <f t="shared" si="54"/>
        <v>24</v>
      </c>
      <c r="K49" s="63">
        <f t="shared" si="54"/>
        <v>26.25</v>
      </c>
      <c r="L49" s="63">
        <f t="shared" si="54"/>
        <v>28.5</v>
      </c>
      <c r="M49" s="63">
        <f t="shared" si="54"/>
        <v>30.75</v>
      </c>
      <c r="N49" s="63">
        <f t="shared" si="54"/>
        <v>33</v>
      </c>
      <c r="O49" s="63">
        <f t="shared" si="54"/>
        <v>34.833333333333336</v>
      </c>
      <c r="P49" s="63">
        <f t="shared" si="54"/>
        <v>37.666666666666671</v>
      </c>
      <c r="Q49" s="63">
        <f t="shared" si="54"/>
        <v>40.5</v>
      </c>
      <c r="R49" s="63">
        <f t="shared" si="54"/>
        <v>43.333333333333329</v>
      </c>
      <c r="S49" s="63">
        <f t="shared" si="54"/>
        <v>46.166666666666657</v>
      </c>
      <c r="T49" s="63">
        <f t="shared" si="54"/>
        <v>50</v>
      </c>
      <c r="U49" s="63">
        <f t="shared" si="54"/>
        <v>51.400000000000006</v>
      </c>
      <c r="V49" s="63">
        <f t="shared" si="54"/>
        <v>52.800000000000011</v>
      </c>
      <c r="W49" s="63">
        <f t="shared" si="54"/>
        <v>54.200000000000017</v>
      </c>
      <c r="X49" s="63">
        <f t="shared" si="54"/>
        <v>55.600000000000023</v>
      </c>
      <c r="Y49" s="63">
        <f t="shared" si="54"/>
        <v>57</v>
      </c>
      <c r="Z49" s="63">
        <f t="shared" si="54"/>
        <v>59.399999999999991</v>
      </c>
      <c r="AA49" s="63">
        <f t="shared" si="54"/>
        <v>61.799999999999983</v>
      </c>
      <c r="AB49" s="63">
        <f t="shared" si="54"/>
        <v>64.199999999999974</v>
      </c>
      <c r="AC49" s="63">
        <f t="shared" si="54"/>
        <v>66.599999999999966</v>
      </c>
      <c r="AD49" s="63">
        <f t="shared" si="54"/>
        <v>69</v>
      </c>
    </row>
    <row r="50" spans="1:30" s="62" customFormat="1" x14ac:dyDescent="0.35">
      <c r="A50" s="5">
        <f t="shared" si="47"/>
        <v>278.47349338319282</v>
      </c>
      <c r="B50" s="11">
        <f>NPV('Cost Assumptions'!$B$3,'VS to VN &amp; Central BESS VS VN '!D50:'VS to VN &amp; Central BESS VS VN '!AD50)</f>
        <v>57953.567729287279</v>
      </c>
      <c r="C50" s="86" t="s">
        <v>153</v>
      </c>
      <c r="D50" s="63">
        <f>D13-D24</f>
        <v>1637.4650100268436</v>
      </c>
      <c r="E50" s="63">
        <f t="shared" ref="E50:AD50" si="55">E13-E24</f>
        <v>2177.3309561137412</v>
      </c>
      <c r="F50" s="63">
        <f t="shared" si="55"/>
        <v>2717.1969022006379</v>
      </c>
      <c r="G50" s="63">
        <f t="shared" si="55"/>
        <v>3257.0628482875345</v>
      </c>
      <c r="H50" s="63">
        <f t="shared" si="55"/>
        <v>3796.928794374433</v>
      </c>
      <c r="I50" s="63">
        <f t="shared" si="55"/>
        <v>4336.7947404613296</v>
      </c>
      <c r="J50" s="63">
        <f t="shared" si="55"/>
        <v>4876.6606865482263</v>
      </c>
      <c r="K50" s="63">
        <f t="shared" si="55"/>
        <v>5416.526632635123</v>
      </c>
      <c r="L50" s="63">
        <f t="shared" si="55"/>
        <v>6056.3925787219796</v>
      </c>
      <c r="M50" s="63">
        <f t="shared" si="55"/>
        <v>6496.2585248089163</v>
      </c>
      <c r="N50" s="63">
        <f t="shared" si="55"/>
        <v>7036.1244708958129</v>
      </c>
      <c r="O50" s="63">
        <f t="shared" si="55"/>
        <v>7575.9904169827096</v>
      </c>
      <c r="P50" s="63">
        <f t="shared" si="55"/>
        <v>8115.8563630696081</v>
      </c>
      <c r="Q50" s="63">
        <f t="shared" si="55"/>
        <v>8655.7223091565029</v>
      </c>
      <c r="R50" s="63">
        <f t="shared" si="55"/>
        <v>9195.5882552433977</v>
      </c>
      <c r="S50" s="63">
        <f t="shared" si="55"/>
        <v>9735.4542013302962</v>
      </c>
      <c r="T50" s="63">
        <f t="shared" si="55"/>
        <v>10275.320147417195</v>
      </c>
      <c r="U50" s="63">
        <f t="shared" si="55"/>
        <v>10815.18609350409</v>
      </c>
      <c r="V50" s="63">
        <f t="shared" si="55"/>
        <v>11355.052039590984</v>
      </c>
      <c r="W50" s="63">
        <f t="shared" si="55"/>
        <v>11894.917985677883</v>
      </c>
      <c r="X50" s="63">
        <f t="shared" si="55"/>
        <v>12434.783931764781</v>
      </c>
      <c r="Y50" s="63">
        <f t="shared" si="55"/>
        <v>15101.744689088213</v>
      </c>
      <c r="Z50" s="63">
        <f t="shared" si="55"/>
        <v>17768.705446411652</v>
      </c>
      <c r="AA50" s="63">
        <f t="shared" si="55"/>
        <v>20435.666203735087</v>
      </c>
      <c r="AB50" s="63">
        <f t="shared" si="55"/>
        <v>23102.626961058522</v>
      </c>
      <c r="AC50" s="63">
        <f t="shared" si="55"/>
        <v>25769.587718381958</v>
      </c>
      <c r="AD50" s="63">
        <f t="shared" si="55"/>
        <v>28436.548475705393</v>
      </c>
    </row>
    <row r="51" spans="1:30" s="62" customFormat="1" x14ac:dyDescent="0.35">
      <c r="A51" s="5">
        <f t="shared" si="47"/>
        <v>0</v>
      </c>
      <c r="B51" s="11">
        <f>NPV('Cost Assumptions'!$B$3,'VS to VN &amp; Central BESS VS VN '!D51:'VS to VN &amp; Central BESS VS VN '!AD51)</f>
        <v>0</v>
      </c>
      <c r="C51" s="86" t="s">
        <v>154</v>
      </c>
      <c r="D51" s="63">
        <f>D14-D25</f>
        <v>0</v>
      </c>
      <c r="E51" s="63">
        <f t="shared" ref="E51:AD51" si="56">E14-E25</f>
        <v>0</v>
      </c>
      <c r="F51" s="63">
        <f t="shared" si="56"/>
        <v>0</v>
      </c>
      <c r="G51" s="63">
        <f t="shared" si="56"/>
        <v>0</v>
      </c>
      <c r="H51" s="63">
        <f t="shared" si="56"/>
        <v>0</v>
      </c>
      <c r="I51" s="63">
        <f t="shared" si="56"/>
        <v>0</v>
      </c>
      <c r="J51" s="63">
        <f t="shared" si="56"/>
        <v>0</v>
      </c>
      <c r="K51" s="63">
        <f t="shared" si="56"/>
        <v>0</v>
      </c>
      <c r="L51" s="63">
        <f t="shared" si="56"/>
        <v>0</v>
      </c>
      <c r="M51" s="63">
        <f t="shared" si="56"/>
        <v>0</v>
      </c>
      <c r="N51" s="63">
        <f t="shared" si="56"/>
        <v>0</v>
      </c>
      <c r="O51" s="63">
        <f t="shared" si="56"/>
        <v>0</v>
      </c>
      <c r="P51" s="63">
        <f t="shared" si="56"/>
        <v>0</v>
      </c>
      <c r="Q51" s="63">
        <f t="shared" si="56"/>
        <v>0</v>
      </c>
      <c r="R51" s="63">
        <f t="shared" si="56"/>
        <v>0</v>
      </c>
      <c r="S51" s="63">
        <f t="shared" si="56"/>
        <v>0</v>
      </c>
      <c r="T51" s="63">
        <f t="shared" si="56"/>
        <v>0</v>
      </c>
      <c r="U51" s="63">
        <f t="shared" si="56"/>
        <v>0</v>
      </c>
      <c r="V51" s="63">
        <f t="shared" si="56"/>
        <v>0</v>
      </c>
      <c r="W51" s="63">
        <f t="shared" si="56"/>
        <v>0</v>
      </c>
      <c r="X51" s="63">
        <f t="shared" si="56"/>
        <v>0</v>
      </c>
      <c r="Y51" s="63">
        <f t="shared" si="56"/>
        <v>0</v>
      </c>
      <c r="Z51" s="63">
        <f t="shared" si="56"/>
        <v>0</v>
      </c>
      <c r="AA51" s="63">
        <f t="shared" si="56"/>
        <v>0</v>
      </c>
      <c r="AB51" s="63">
        <f t="shared" si="56"/>
        <v>0</v>
      </c>
      <c r="AC51" s="63">
        <f t="shared" si="56"/>
        <v>0</v>
      </c>
      <c r="AD51" s="63">
        <f t="shared" si="56"/>
        <v>0</v>
      </c>
    </row>
    <row r="52" spans="1:30" s="82" customFormat="1" x14ac:dyDescent="0.35">
      <c r="A52" s="5">
        <f t="shared" si="47"/>
        <v>1848.6795152685604</v>
      </c>
      <c r="B52" s="11">
        <f>NPV('Cost Assumptions'!$B$3,'VS to VN &amp; Central BESS VS VN '!D52:'VS to VN &amp; Central BESS VS VN '!AD52)</f>
        <v>528242.25788535213</v>
      </c>
      <c r="C52" s="86" t="s">
        <v>155</v>
      </c>
      <c r="D52" s="63">
        <f>D15-D26</f>
        <v>41950.270664950898</v>
      </c>
      <c r="E52" s="63">
        <f t="shared" ref="E52:AD52" si="57">E15-E26</f>
        <v>44543.511863020707</v>
      </c>
      <c r="F52" s="63">
        <f t="shared" si="57"/>
        <v>45828.868549568069</v>
      </c>
      <c r="G52" s="63">
        <f t="shared" si="57"/>
        <v>47153.388319177473</v>
      </c>
      <c r="H52" s="63">
        <f t="shared" si="57"/>
        <v>48574.508171559806</v>
      </c>
      <c r="I52" s="63">
        <f t="shared" si="57"/>
        <v>50215.756740615325</v>
      </c>
      <c r="J52" s="63">
        <f t="shared" si="57"/>
        <v>51874.628505256784</v>
      </c>
      <c r="K52" s="63">
        <f t="shared" si="57"/>
        <v>53948.57443924679</v>
      </c>
      <c r="L52" s="63">
        <f t="shared" si="57"/>
        <v>56088.226650565055</v>
      </c>
      <c r="M52" s="63">
        <f t="shared" si="57"/>
        <v>58289.349617770917</v>
      </c>
      <c r="N52" s="63">
        <f t="shared" si="57"/>
        <v>60550.041456789753</v>
      </c>
      <c r="O52" s="63">
        <f t="shared" si="57"/>
        <v>62901.781122832261</v>
      </c>
      <c r="P52" s="63">
        <f t="shared" si="57"/>
        <v>65336.06110877014</v>
      </c>
      <c r="Q52" s="63">
        <f t="shared" si="57"/>
        <v>67785.831116802379</v>
      </c>
      <c r="R52" s="63">
        <f t="shared" si="57"/>
        <v>70278.290238368936</v>
      </c>
      <c r="S52" s="63">
        <f t="shared" si="57"/>
        <v>72822.215885590063</v>
      </c>
      <c r="T52" s="63">
        <f t="shared" si="57"/>
        <v>75385.324227160687</v>
      </c>
      <c r="U52" s="63">
        <f t="shared" si="57"/>
        <v>77761.621420701849</v>
      </c>
      <c r="V52" s="63">
        <f t="shared" si="57"/>
        <v>80141.816348201392</v>
      </c>
      <c r="W52" s="63">
        <f t="shared" si="57"/>
        <v>82517.070702119643</v>
      </c>
      <c r="X52" s="63">
        <f t="shared" si="57"/>
        <v>84916.872847499122</v>
      </c>
      <c r="Y52" s="63">
        <f t="shared" si="57"/>
        <v>86971.905972220906</v>
      </c>
      <c r="Z52" s="63">
        <f t="shared" si="57"/>
        <v>88998.405281233674</v>
      </c>
      <c r="AA52" s="63">
        <f t="shared" si="57"/>
        <v>90953.831853152718</v>
      </c>
      <c r="AB52" s="63">
        <f t="shared" si="57"/>
        <v>92867.123730712905</v>
      </c>
      <c r="AC52" s="63">
        <f t="shared" si="57"/>
        <v>94346.487141184916</v>
      </c>
      <c r="AD52" s="63">
        <f t="shared" si="57"/>
        <v>95677.751293487672</v>
      </c>
    </row>
    <row r="53" spans="1:30" x14ac:dyDescent="0.35">
      <c r="A53" s="5">
        <f t="shared" si="47"/>
        <v>56.580700000000007</v>
      </c>
      <c r="B53" s="11">
        <f>NPV('Cost Assumptions'!$B$3,'VS to VN &amp; Central BESS VS VN '!D53:'VS to VN &amp; Central BESS VS VN '!AD53)</f>
        <v>8657.5452529435206</v>
      </c>
      <c r="C53" s="88" t="s">
        <v>31</v>
      </c>
      <c r="D53" s="63">
        <f>D8-SUM(D28,D27)</f>
        <v>22.2</v>
      </c>
      <c r="E53" s="63">
        <f t="shared" ref="E53:AD53" si="58">E8-SUM(E28,E27)</f>
        <v>65.8</v>
      </c>
      <c r="F53" s="63">
        <f t="shared" si="58"/>
        <v>102.72</v>
      </c>
      <c r="G53" s="63">
        <f t="shared" si="58"/>
        <v>139.63999999999999</v>
      </c>
      <c r="H53" s="63">
        <f t="shared" si="58"/>
        <v>176.56</v>
      </c>
      <c r="I53" s="63">
        <f t="shared" si="58"/>
        <v>213.48000000000002</v>
      </c>
      <c r="J53" s="63">
        <f t="shared" si="58"/>
        <v>250.4</v>
      </c>
      <c r="K53" s="63">
        <f t="shared" si="58"/>
        <v>348.67500000000001</v>
      </c>
      <c r="L53" s="63">
        <f t="shared" si="58"/>
        <v>446.95000000000005</v>
      </c>
      <c r="M53" s="63">
        <f t="shared" si="58"/>
        <v>545.22500000000002</v>
      </c>
      <c r="N53" s="63">
        <f t="shared" si="58"/>
        <v>643.5</v>
      </c>
      <c r="O53" s="63">
        <f t="shared" si="58"/>
        <v>904.91666666666674</v>
      </c>
      <c r="P53" s="63">
        <f t="shared" si="58"/>
        <v>1166.3333333333335</v>
      </c>
      <c r="Q53" s="63">
        <f t="shared" si="58"/>
        <v>1427.7500000000002</v>
      </c>
      <c r="R53" s="63">
        <f t="shared" si="58"/>
        <v>1689.166666666667</v>
      </c>
      <c r="S53" s="63">
        <f t="shared" si="58"/>
        <v>1950.5833333333337</v>
      </c>
      <c r="T53" s="63">
        <f t="shared" si="58"/>
        <v>2212</v>
      </c>
      <c r="U53" s="63">
        <f t="shared" si="58"/>
        <v>2606.48</v>
      </c>
      <c r="V53" s="63">
        <f t="shared" si="58"/>
        <v>3000.96</v>
      </c>
      <c r="W53" s="63">
        <f t="shared" si="58"/>
        <v>3395.44</v>
      </c>
      <c r="X53" s="63">
        <f t="shared" si="58"/>
        <v>3789.92</v>
      </c>
      <c r="Y53" s="63">
        <f t="shared" si="58"/>
        <v>4184.4000000000005</v>
      </c>
      <c r="Z53" s="63">
        <f t="shared" si="58"/>
        <v>4609.4400000000005</v>
      </c>
      <c r="AA53" s="63">
        <f t="shared" si="58"/>
        <v>5034.4800000000005</v>
      </c>
      <c r="AB53" s="63">
        <f t="shared" si="58"/>
        <v>5459.52</v>
      </c>
      <c r="AC53" s="63">
        <f t="shared" si="58"/>
        <v>5884.56</v>
      </c>
      <c r="AD53" s="63">
        <f t="shared" si="58"/>
        <v>6309.5999999999985</v>
      </c>
    </row>
    <row r="54" spans="1:30" x14ac:dyDescent="0.35">
      <c r="A54" s="5">
        <f t="shared" si="47"/>
        <v>4.0564</v>
      </c>
      <c r="B54" s="11">
        <f>NPV('Cost Assumptions'!$B$3,'VS to VN &amp; Central BESS VS VN '!D54:'VS to VN &amp; Central BESS VS VN '!AD54)</f>
        <v>853.05258349278347</v>
      </c>
      <c r="C54" s="88" t="s">
        <v>32</v>
      </c>
      <c r="D54" s="63">
        <f t="shared" ref="D54:AD54" si="59">D9-D29</f>
        <v>13</v>
      </c>
      <c r="E54" s="63">
        <f t="shared" si="59"/>
        <v>27</v>
      </c>
      <c r="F54" s="63">
        <f t="shared" si="59"/>
        <v>34.519999999999982</v>
      </c>
      <c r="G54" s="63">
        <f t="shared" si="59"/>
        <v>42.039999999999964</v>
      </c>
      <c r="H54" s="63">
        <f t="shared" si="59"/>
        <v>49.559999999999945</v>
      </c>
      <c r="I54" s="63">
        <f t="shared" si="59"/>
        <v>57.079999999999927</v>
      </c>
      <c r="J54" s="63">
        <f t="shared" si="59"/>
        <v>64.599999999999909</v>
      </c>
      <c r="K54" s="63">
        <f t="shared" si="59"/>
        <v>75.024999999999935</v>
      </c>
      <c r="L54" s="63">
        <f t="shared" si="59"/>
        <v>85.44999999999996</v>
      </c>
      <c r="M54" s="63">
        <f t="shared" si="59"/>
        <v>95.874999999999986</v>
      </c>
      <c r="N54" s="63">
        <f t="shared" si="59"/>
        <v>106.3</v>
      </c>
      <c r="O54" s="63">
        <f t="shared" si="59"/>
        <v>120.25</v>
      </c>
      <c r="P54" s="63">
        <f t="shared" si="59"/>
        <v>134.19999999999999</v>
      </c>
      <c r="Q54" s="63">
        <f t="shared" si="59"/>
        <v>148.14999999999998</v>
      </c>
      <c r="R54" s="63">
        <f t="shared" si="59"/>
        <v>162.09999999999997</v>
      </c>
      <c r="S54" s="63">
        <f t="shared" si="59"/>
        <v>176.04999999999995</v>
      </c>
      <c r="T54" s="63">
        <f t="shared" si="59"/>
        <v>190</v>
      </c>
      <c r="U54" s="63">
        <f t="shared" si="59"/>
        <v>201.2</v>
      </c>
      <c r="V54" s="63">
        <f t="shared" si="59"/>
        <v>212.39999999999998</v>
      </c>
      <c r="W54" s="63">
        <f t="shared" si="59"/>
        <v>223.59999999999997</v>
      </c>
      <c r="X54" s="63">
        <f t="shared" si="59"/>
        <v>234.79999999999995</v>
      </c>
      <c r="Y54" s="63">
        <f t="shared" si="59"/>
        <v>246</v>
      </c>
      <c r="Z54" s="63">
        <f t="shared" si="59"/>
        <v>254.48000000000002</v>
      </c>
      <c r="AA54" s="63">
        <f t="shared" si="59"/>
        <v>262.96000000000004</v>
      </c>
      <c r="AB54" s="63">
        <f t="shared" si="59"/>
        <v>271.44000000000005</v>
      </c>
      <c r="AC54" s="63">
        <f t="shared" si="59"/>
        <v>279.92000000000007</v>
      </c>
      <c r="AD54" s="63">
        <f t="shared" si="59"/>
        <v>288.40000000000009</v>
      </c>
    </row>
    <row r="55" spans="1:30" x14ac:dyDescent="0.35">
      <c r="A55" s="5">
        <f t="shared" si="47"/>
        <v>3.2676158609236081</v>
      </c>
      <c r="B55" s="11">
        <f>NPV('Cost Assumptions'!$B$3,'VS to VN &amp; Central BESS VS VN '!D55:'VS to VN &amp; Central BESS VS VN '!AD55)</f>
        <v>404.2317418308055</v>
      </c>
      <c r="C55" s="88" t="s">
        <v>33</v>
      </c>
      <c r="D55" s="63">
        <f t="shared" ref="D55:AD55" si="60">D10-D30</f>
        <v>4.7253529883901121E-2</v>
      </c>
      <c r="E55" s="63">
        <f t="shared" si="60"/>
        <v>0.28011551949195379</v>
      </c>
      <c r="F55" s="63">
        <f t="shared" si="60"/>
        <v>0.59718244793816533</v>
      </c>
      <c r="G55" s="63">
        <f t="shared" si="60"/>
        <v>0.91424937638437687</v>
      </c>
      <c r="H55" s="63">
        <f t="shared" si="60"/>
        <v>1.2313163048305884</v>
      </c>
      <c r="I55" s="63">
        <f t="shared" si="60"/>
        <v>1.5483832332767999</v>
      </c>
      <c r="J55" s="63">
        <f t="shared" si="60"/>
        <v>1.8654501617230115</v>
      </c>
      <c r="K55" s="63">
        <f t="shared" si="60"/>
        <v>3.796086780774603</v>
      </c>
      <c r="L55" s="63">
        <f t="shared" si="60"/>
        <v>5.726723399826195</v>
      </c>
      <c r="M55" s="63">
        <f t="shared" si="60"/>
        <v>7.6573600188777871</v>
      </c>
      <c r="N55" s="63">
        <f t="shared" si="60"/>
        <v>9.5879966379293773</v>
      </c>
      <c r="O55" s="63">
        <f t="shared" si="60"/>
        <v>22.507331657050738</v>
      </c>
      <c r="P55" s="63">
        <f t="shared" si="60"/>
        <v>35.426666676172097</v>
      </c>
      <c r="Q55" s="63">
        <f t="shared" si="60"/>
        <v>48.346001695293459</v>
      </c>
      <c r="R55" s="63">
        <f t="shared" si="60"/>
        <v>61.265336714414822</v>
      </c>
      <c r="S55" s="63">
        <f t="shared" si="60"/>
        <v>74.184671733536177</v>
      </c>
      <c r="T55" s="63">
        <f t="shared" si="60"/>
        <v>87.10400675265754</v>
      </c>
      <c r="U55" s="63">
        <f t="shared" si="60"/>
        <v>116.88846005819971</v>
      </c>
      <c r="V55" s="63">
        <f t="shared" si="60"/>
        <v>146.67291336374188</v>
      </c>
      <c r="W55" s="63">
        <f t="shared" si="60"/>
        <v>176.45736666928406</v>
      </c>
      <c r="X55" s="63">
        <f t="shared" si="60"/>
        <v>206.24181997482623</v>
      </c>
      <c r="Y55" s="63">
        <f t="shared" si="60"/>
        <v>236.02627328036843</v>
      </c>
      <c r="Z55" s="63">
        <f t="shared" si="60"/>
        <v>292.23370851605404</v>
      </c>
      <c r="AA55" s="63">
        <f t="shared" si="60"/>
        <v>348.44114375173962</v>
      </c>
      <c r="AB55" s="63">
        <f t="shared" si="60"/>
        <v>404.6485789874252</v>
      </c>
      <c r="AC55" s="63">
        <f t="shared" si="60"/>
        <v>460.85601422311078</v>
      </c>
      <c r="AD55" s="63">
        <f t="shared" si="60"/>
        <v>517.06344945879641</v>
      </c>
    </row>
    <row r="56" spans="1:30" x14ac:dyDescent="0.35">
      <c r="A56" s="5">
        <f t="shared" si="47"/>
        <v>6.0217067529325194E-2</v>
      </c>
      <c r="B56" s="11">
        <f>NPV('Cost Assumptions'!$B$3,'VS to VN &amp; Central BESS VS VN '!D56:'VS to VN &amp; Central BESS VS VN '!AD56)</f>
        <v>9.2139543543061269</v>
      </c>
      <c r="C56" s="88" t="s">
        <v>34</v>
      </c>
      <c r="D56" s="63">
        <f t="shared" ref="D56:AD56" si="61">D11-D31</f>
        <v>2.3626764941950561E-2</v>
      </c>
      <c r="E56" s="63">
        <f t="shared" si="61"/>
        <v>7.0028879872988448E-2</v>
      </c>
      <c r="F56" s="63">
        <f t="shared" si="61"/>
        <v>0.10932167994761965</v>
      </c>
      <c r="G56" s="63">
        <f t="shared" si="61"/>
        <v>0.14861448002225086</v>
      </c>
      <c r="H56" s="63">
        <f t="shared" si="61"/>
        <v>0.18790728009688207</v>
      </c>
      <c r="I56" s="63">
        <f t="shared" si="61"/>
        <v>0.22720008017151327</v>
      </c>
      <c r="J56" s="63">
        <f t="shared" si="61"/>
        <v>0.26649288024614448</v>
      </c>
      <c r="K56" s="63">
        <f t="shared" si="61"/>
        <v>0.37108388586191865</v>
      </c>
      <c r="L56" s="63">
        <f t="shared" si="61"/>
        <v>0.47567489147769282</v>
      </c>
      <c r="M56" s="63">
        <f t="shared" si="61"/>
        <v>0.58026589709346699</v>
      </c>
      <c r="N56" s="63">
        <f t="shared" si="61"/>
        <v>0.68485690270924116</v>
      </c>
      <c r="O56" s="63">
        <f t="shared" si="61"/>
        <v>0.96307447636877097</v>
      </c>
      <c r="P56" s="63">
        <f t="shared" si="61"/>
        <v>1.2412920500283007</v>
      </c>
      <c r="Q56" s="63">
        <f t="shared" si="61"/>
        <v>1.5195096236878305</v>
      </c>
      <c r="R56" s="63">
        <f t="shared" si="61"/>
        <v>1.7977271973473603</v>
      </c>
      <c r="S56" s="63">
        <f t="shared" si="61"/>
        <v>2.0759447710068901</v>
      </c>
      <c r="T56" s="63">
        <f t="shared" si="61"/>
        <v>2.3541623446664199</v>
      </c>
      <c r="U56" s="63">
        <f t="shared" si="61"/>
        <v>2.7739950579232056</v>
      </c>
      <c r="V56" s="63">
        <f t="shared" si="61"/>
        <v>3.1938277711799912</v>
      </c>
      <c r="W56" s="63">
        <f t="shared" si="61"/>
        <v>3.6136604844367768</v>
      </c>
      <c r="X56" s="63">
        <f t="shared" si="61"/>
        <v>4.0334931976935628</v>
      </c>
      <c r="Y56" s="63">
        <f t="shared" si="61"/>
        <v>4.4533259109503485</v>
      </c>
      <c r="Z56" s="63">
        <f t="shared" si="61"/>
        <v>4.9056826754065028</v>
      </c>
      <c r="AA56" s="63">
        <f t="shared" si="61"/>
        <v>5.3580394398626572</v>
      </c>
      <c r="AB56" s="63">
        <f t="shared" si="61"/>
        <v>5.8103962043188115</v>
      </c>
      <c r="AC56" s="63">
        <f t="shared" si="61"/>
        <v>6.2627529687749659</v>
      </c>
      <c r="AD56" s="63">
        <f t="shared" si="61"/>
        <v>6.715109733231122</v>
      </c>
    </row>
    <row r="57" spans="1:30" x14ac:dyDescent="0.35">
      <c r="A57" s="5">
        <f t="shared" si="47"/>
        <v>0.81499999999999995</v>
      </c>
      <c r="B57" s="11">
        <f>NPV('Cost Assumptions'!$B$3,'VS to VN &amp; Central BESS VS VN '!D57:'VS to VN &amp; Central BESS VS VN '!AD57)</f>
        <v>146.79257165540955</v>
      </c>
      <c r="C57" s="88" t="s">
        <v>35</v>
      </c>
      <c r="D57" s="63">
        <f t="shared" ref="D57:AD57" si="62">D12-D32</f>
        <v>2</v>
      </c>
      <c r="E57" s="63">
        <f t="shared" si="62"/>
        <v>4</v>
      </c>
      <c r="F57" s="63">
        <f t="shared" si="62"/>
        <v>4.5999999999999996</v>
      </c>
      <c r="G57" s="63">
        <f t="shared" si="62"/>
        <v>5.1999999999999993</v>
      </c>
      <c r="H57" s="63">
        <f t="shared" si="62"/>
        <v>5.7999999999999989</v>
      </c>
      <c r="I57" s="63">
        <f t="shared" si="62"/>
        <v>6.3999999999999986</v>
      </c>
      <c r="J57" s="63">
        <f t="shared" si="62"/>
        <v>7</v>
      </c>
      <c r="K57" s="63">
        <f t="shared" si="62"/>
        <v>8.75</v>
      </c>
      <c r="L57" s="63">
        <f t="shared" si="62"/>
        <v>10.5</v>
      </c>
      <c r="M57" s="63">
        <f t="shared" si="62"/>
        <v>12.25</v>
      </c>
      <c r="N57" s="63">
        <f t="shared" si="62"/>
        <v>14</v>
      </c>
      <c r="O57" s="63">
        <f t="shared" si="62"/>
        <v>17.833333333333332</v>
      </c>
      <c r="P57" s="63">
        <f t="shared" si="62"/>
        <v>21.666666666666664</v>
      </c>
      <c r="Q57" s="63">
        <f t="shared" si="62"/>
        <v>25.499999999999996</v>
      </c>
      <c r="R57" s="63">
        <f t="shared" si="62"/>
        <v>29.333333333333329</v>
      </c>
      <c r="S57" s="63">
        <f t="shared" si="62"/>
        <v>33.166666666666664</v>
      </c>
      <c r="T57" s="63">
        <f t="shared" si="62"/>
        <v>37</v>
      </c>
      <c r="U57" s="63">
        <f t="shared" si="62"/>
        <v>40.200000000000003</v>
      </c>
      <c r="V57" s="63">
        <f t="shared" si="62"/>
        <v>43.400000000000006</v>
      </c>
      <c r="W57" s="63">
        <f t="shared" si="62"/>
        <v>46.600000000000009</v>
      </c>
      <c r="X57" s="63">
        <f t="shared" si="62"/>
        <v>49.800000000000011</v>
      </c>
      <c r="Y57" s="63">
        <f t="shared" si="62"/>
        <v>53</v>
      </c>
      <c r="Z57" s="63">
        <f t="shared" si="62"/>
        <v>57.8</v>
      </c>
      <c r="AA57" s="63">
        <f t="shared" si="62"/>
        <v>62.599999999999994</v>
      </c>
      <c r="AB57" s="63">
        <f t="shared" si="62"/>
        <v>67.399999999999991</v>
      </c>
      <c r="AC57" s="63">
        <f t="shared" si="62"/>
        <v>72.199999999999989</v>
      </c>
      <c r="AD57" s="63">
        <f t="shared" si="62"/>
        <v>77</v>
      </c>
    </row>
    <row r="59" spans="1:30" ht="15" thickBot="1" x14ac:dyDescent="0.4">
      <c r="A59" s="166" t="s">
        <v>156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.5" thickTop="1" thickBot="1" x14ac:dyDescent="0.4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</row>
    <row r="61" spans="1:30" ht="15" thickTop="1" x14ac:dyDescent="0.35">
      <c r="A61" s="88" t="str">
        <f>'Baseline System Analysis'!A17</f>
        <v>Residential</v>
      </c>
      <c r="B61" s="88" t="str">
        <f>'Baseline System Analysis'!B17</f>
        <v>Cost of Reliability (N-1)</v>
      </c>
      <c r="C61" s="88" t="str">
        <f>'Baseline System Analysis'!C17</f>
        <v>$/kWh</v>
      </c>
      <c r="D61" s="5">
        <f>'Baseline System Analysis'!D17</f>
        <v>4.4933261328125003</v>
      </c>
      <c r="E61" s="5">
        <f>'Baseline System Analysis'!E17</f>
        <v>4.6056592861328127</v>
      </c>
      <c r="F61" s="5">
        <f>'Baseline System Analysis'!F17</f>
        <v>4.720800768286133</v>
      </c>
      <c r="G61" s="5">
        <f>'Baseline System Analysis'!G17</f>
        <v>4.8388207874932858</v>
      </c>
      <c r="H61" s="5">
        <f>'Baseline System Analysis'!H17</f>
        <v>4.9597913071806179</v>
      </c>
      <c r="I61" s="5">
        <f>'Baseline System Analysis'!I17</f>
        <v>5.0837860898601326</v>
      </c>
      <c r="J61" s="5">
        <f>'Baseline System Analysis'!J17</f>
        <v>5.2108807421066352</v>
      </c>
      <c r="K61" s="5">
        <f>'Baseline System Analysis'!K17</f>
        <v>5.341152760659301</v>
      </c>
      <c r="L61" s="5">
        <f>'Baseline System Analysis'!L17</f>
        <v>5.4746815796757833</v>
      </c>
      <c r="M61" s="5">
        <f>'Baseline System Analysis'!M17</f>
        <v>5.6115486191676771</v>
      </c>
      <c r="N61" s="5">
        <f>'Baseline System Analysis'!N17</f>
        <v>5.7518373346468685</v>
      </c>
      <c r="O61" s="5">
        <f>'Baseline System Analysis'!O17</f>
        <v>5.8956332680130394</v>
      </c>
      <c r="P61" s="5">
        <f>'Baseline System Analysis'!P17</f>
        <v>6.0430240997133646</v>
      </c>
      <c r="Q61" s="5">
        <f>'Baseline System Analysis'!Q17</f>
        <v>6.1940997022061985</v>
      </c>
      <c r="R61" s="5">
        <f>'Baseline System Analysis'!R17</f>
        <v>6.3489521947613525</v>
      </c>
      <c r="S61" s="5">
        <f>'Baseline System Analysis'!S17</f>
        <v>6.5076759996303855</v>
      </c>
      <c r="T61" s="5">
        <f>'Baseline System Analysis'!T17</f>
        <v>6.6703678996211444</v>
      </c>
      <c r="U61" s="5">
        <f>'Baseline System Analysis'!U17</f>
        <v>6.8371270971116722</v>
      </c>
      <c r="V61" s="5">
        <f>'Baseline System Analysis'!V17</f>
        <v>7.0080552745394638</v>
      </c>
      <c r="W61" s="5">
        <f>'Baseline System Analysis'!W17</f>
        <v>7.1832566564029499</v>
      </c>
      <c r="X61" s="5">
        <f>'Baseline System Analysis'!X17</f>
        <v>7.3628380728130232</v>
      </c>
      <c r="Y61" s="5">
        <f>'Baseline System Analysis'!Y17</f>
        <v>7.5469090246333481</v>
      </c>
      <c r="Z61" s="5">
        <f>'Baseline System Analysis'!Z17</f>
        <v>7.7355817502491808</v>
      </c>
      <c r="AA61" s="5">
        <f>'Baseline System Analysis'!AA17</f>
        <v>7.92897129400541</v>
      </c>
      <c r="AB61" s="5">
        <f>'Baseline System Analysis'!AB17</f>
        <v>8.127195576355545</v>
      </c>
      <c r="AC61" s="5">
        <f>'Baseline System Analysis'!AC17</f>
        <v>8.3303754657644333</v>
      </c>
      <c r="AD61" s="5">
        <f>'Baseline System Analysis'!AD17</f>
        <v>8.5386348524085438</v>
      </c>
    </row>
    <row r="62" spans="1:30" x14ac:dyDescent="0.35">
      <c r="A62" s="88" t="str">
        <f>'Baseline System Analysis'!A18</f>
        <v>Residential</v>
      </c>
      <c r="B62" s="88" t="str">
        <f>'Baseline System Analysis'!B18</f>
        <v>Cost of Reliability (N-0)</v>
      </c>
      <c r="C62" s="88" t="str">
        <f>'Baseline System Analysis'!C18</f>
        <v>$/kWh</v>
      </c>
      <c r="D62" s="5">
        <f>'Baseline System Analysis'!D18</f>
        <v>3.7920011132812492</v>
      </c>
      <c r="E62" s="5">
        <f>'Baseline System Analysis'!E18</f>
        <v>3.8868011411132799</v>
      </c>
      <c r="F62" s="5">
        <f>'Baseline System Analysis'!F18</f>
        <v>3.9839711696411118</v>
      </c>
      <c r="G62" s="5">
        <f>'Baseline System Analysis'!G18</f>
        <v>4.0835704488821394</v>
      </c>
      <c r="H62" s="5">
        <f>'Baseline System Analysis'!H18</f>
        <v>4.1856597101041926</v>
      </c>
      <c r="I62" s="5">
        <f>'Baseline System Analysis'!I18</f>
        <v>4.2903012028567966</v>
      </c>
      <c r="J62" s="5">
        <f>'Baseline System Analysis'!J18</f>
        <v>4.397558732928216</v>
      </c>
      <c r="K62" s="5">
        <f>'Baseline System Analysis'!K18</f>
        <v>4.5074977012514212</v>
      </c>
      <c r="L62" s="5">
        <f>'Baseline System Analysis'!L18</f>
        <v>4.6201851437827059</v>
      </c>
      <c r="M62" s="5">
        <f>'Baseline System Analysis'!M18</f>
        <v>4.7356897723772731</v>
      </c>
      <c r="N62" s="5">
        <f>'Baseline System Analysis'!N18</f>
        <v>4.8540820166867045</v>
      </c>
      <c r="O62" s="5">
        <f>'Baseline System Analysis'!O18</f>
        <v>4.9754340671038717</v>
      </c>
      <c r="P62" s="5">
        <f>'Baseline System Analysis'!P18</f>
        <v>5.0998199187814679</v>
      </c>
      <c r="Q62" s="5">
        <f>'Baseline System Analysis'!Q18</f>
        <v>5.2273154167510043</v>
      </c>
      <c r="R62" s="5">
        <f>'Baseline System Analysis'!R18</f>
        <v>5.3579983021697792</v>
      </c>
      <c r="S62" s="5">
        <f>'Baseline System Analysis'!S18</f>
        <v>5.4919482597240235</v>
      </c>
      <c r="T62" s="5">
        <f>'Baseline System Analysis'!T18</f>
        <v>5.6292469662171234</v>
      </c>
      <c r="U62" s="5">
        <f>'Baseline System Analysis'!U18</f>
        <v>5.769978140372551</v>
      </c>
      <c r="V62" s="5">
        <f>'Baseline System Analysis'!V18</f>
        <v>5.914227593881864</v>
      </c>
      <c r="W62" s="5">
        <f>'Baseline System Analysis'!W18</f>
        <v>6.06208328372891</v>
      </c>
      <c r="X62" s="5">
        <f>'Baseline System Analysis'!X18</f>
        <v>6.2136353658221326</v>
      </c>
      <c r="Y62" s="5">
        <f>'Baseline System Analysis'!Y18</f>
        <v>6.3689762499676856</v>
      </c>
      <c r="Z62" s="5">
        <f>'Baseline System Analysis'!Z18</f>
        <v>6.5282006562168773</v>
      </c>
      <c r="AA62" s="5">
        <f>'Baseline System Analysis'!AA18</f>
        <v>6.6914056726222988</v>
      </c>
      <c r="AB62" s="5">
        <f>'Baseline System Analysis'!AB18</f>
        <v>6.858690814437856</v>
      </c>
      <c r="AC62" s="5">
        <f>'Baseline System Analysis'!AC18</f>
        <v>7.0301580847988019</v>
      </c>
      <c r="AD62" s="5">
        <f>'Baseline System Analysis'!AD18</f>
        <v>7.2059120369187717</v>
      </c>
    </row>
    <row r="63" spans="1:30" x14ac:dyDescent="0.35">
      <c r="A63" s="88" t="str">
        <f>'Baseline System Analysis'!A19</f>
        <v>Commerical</v>
      </c>
      <c r="B63" s="88" t="str">
        <f>'Baseline System Analysis'!B19</f>
        <v>Cost of Reliability (N-1)</v>
      </c>
      <c r="C63" s="88" t="str">
        <f>'Baseline System Analysis'!C19</f>
        <v>$/kWh</v>
      </c>
      <c r="D63" s="5">
        <f>'Baseline System Analysis'!D19</f>
        <v>166.59767191406246</v>
      </c>
      <c r="E63" s="5">
        <f>'Baseline System Analysis'!E19</f>
        <v>170.76261371191401</v>
      </c>
      <c r="F63" s="5">
        <f>'Baseline System Analysis'!F19</f>
        <v>175.03167905471184</v>
      </c>
      <c r="G63" s="5">
        <f>'Baseline System Analysis'!G19</f>
        <v>179.40747103107964</v>
      </c>
      <c r="H63" s="5">
        <f>'Baseline System Analysis'!H19</f>
        <v>183.89265780685662</v>
      </c>
      <c r="I63" s="5">
        <f>'Baseline System Analysis'!I19</f>
        <v>188.48997425202802</v>
      </c>
      <c r="J63" s="5">
        <f>'Baseline System Analysis'!J19</f>
        <v>193.20222360832869</v>
      </c>
      <c r="K63" s="5">
        <f>'Baseline System Analysis'!K19</f>
        <v>198.03227919853688</v>
      </c>
      <c r="L63" s="5">
        <f>'Baseline System Analysis'!L19</f>
        <v>202.98308617850029</v>
      </c>
      <c r="M63" s="5">
        <f>'Baseline System Analysis'!M19</f>
        <v>208.05766333296279</v>
      </c>
      <c r="N63" s="5">
        <f>'Baseline System Analysis'!N19</f>
        <v>213.25910491628684</v>
      </c>
      <c r="O63" s="5">
        <f>'Baseline System Analysis'!O19</f>
        <v>218.590582539194</v>
      </c>
      <c r="P63" s="5">
        <f>'Baseline System Analysis'!P19</f>
        <v>224.05534710267384</v>
      </c>
      <c r="Q63" s="5">
        <f>'Baseline System Analysis'!Q19</f>
        <v>229.65673078024065</v>
      </c>
      <c r="R63" s="5">
        <f>'Baseline System Analysis'!R19</f>
        <v>235.39814904974665</v>
      </c>
      <c r="S63" s="5">
        <f>'Baseline System Analysis'!S19</f>
        <v>241.2831027759903</v>
      </c>
      <c r="T63" s="5">
        <f>'Baseline System Analysis'!T19</f>
        <v>247.31518034539005</v>
      </c>
      <c r="U63" s="5">
        <f>'Baseline System Analysis'!U19</f>
        <v>253.49805985402477</v>
      </c>
      <c r="V63" s="5">
        <f>'Baseline System Analysis'!V19</f>
        <v>259.83551135037538</v>
      </c>
      <c r="W63" s="5">
        <f>'Baseline System Analysis'!W19</f>
        <v>266.33139913413476</v>
      </c>
      <c r="X63" s="5">
        <f>'Baseline System Analysis'!X19</f>
        <v>272.98968411248808</v>
      </c>
      <c r="Y63" s="5">
        <f>'Baseline System Analysis'!Y19</f>
        <v>279.81442621530027</v>
      </c>
      <c r="Z63" s="5">
        <f>'Baseline System Analysis'!Z19</f>
        <v>286.80978687068273</v>
      </c>
      <c r="AA63" s="5">
        <f>'Baseline System Analysis'!AA19</f>
        <v>293.98003154244975</v>
      </c>
      <c r="AB63" s="5">
        <f>'Baseline System Analysis'!AB19</f>
        <v>301.32953233101097</v>
      </c>
      <c r="AC63" s="5">
        <f>'Baseline System Analysis'!AC19</f>
        <v>308.86277063928623</v>
      </c>
      <c r="AD63" s="5">
        <f>'Baseline System Analysis'!AD19</f>
        <v>316.58433990526834</v>
      </c>
    </row>
    <row r="64" spans="1:30" x14ac:dyDescent="0.35">
      <c r="A64" s="88" t="str">
        <f>'Baseline System Analysis'!A20</f>
        <v>Commerical</v>
      </c>
      <c r="B64" s="88" t="str">
        <f>'Baseline System Analysis'!B20</f>
        <v>Cost of Reliability (N-0)</v>
      </c>
      <c r="C64" s="88" t="str">
        <f>'Baseline System Analysis'!C20</f>
        <v>$/kWh</v>
      </c>
      <c r="D64" s="5">
        <f>'Baseline System Analysis'!D20</f>
        <v>153.83719106445315</v>
      </c>
      <c r="E64" s="5">
        <f>'Baseline System Analysis'!E20</f>
        <v>157.68312084106446</v>
      </c>
      <c r="F64" s="5">
        <f>'Baseline System Analysis'!F20</f>
        <v>161.62519886209105</v>
      </c>
      <c r="G64" s="5">
        <f>'Baseline System Analysis'!G20</f>
        <v>165.6658288336433</v>
      </c>
      <c r="H64" s="5">
        <f>'Baseline System Analysis'!H20</f>
        <v>169.80747455448437</v>
      </c>
      <c r="I64" s="5">
        <f>'Baseline System Analysis'!I20</f>
        <v>174.05266141834647</v>
      </c>
      <c r="J64" s="5">
        <f>'Baseline System Analysis'!J20</f>
        <v>178.40397795380511</v>
      </c>
      <c r="K64" s="5">
        <f>'Baseline System Analysis'!K20</f>
        <v>182.86407740265022</v>
      </c>
      <c r="L64" s="5">
        <f>'Baseline System Analysis'!L20</f>
        <v>187.43567933771646</v>
      </c>
      <c r="M64" s="5">
        <f>'Baseline System Analysis'!M20</f>
        <v>192.12157132115937</v>
      </c>
      <c r="N64" s="5">
        <f>'Baseline System Analysis'!N20</f>
        <v>196.92461060418833</v>
      </c>
      <c r="O64" s="5">
        <f>'Baseline System Analysis'!O20</f>
        <v>201.84772586929301</v>
      </c>
      <c r="P64" s="5">
        <f>'Baseline System Analysis'!P20</f>
        <v>206.89391901602534</v>
      </c>
      <c r="Q64" s="5">
        <f>'Baseline System Analysis'!Q20</f>
        <v>212.06626699142595</v>
      </c>
      <c r="R64" s="5">
        <f>'Baseline System Analysis'!R20</f>
        <v>217.36792366621157</v>
      </c>
      <c r="S64" s="5">
        <f>'Baseline System Analysis'!S20</f>
        <v>222.80212175786684</v>
      </c>
      <c r="T64" s="5">
        <f>'Baseline System Analysis'!T20</f>
        <v>228.37217480181349</v>
      </c>
      <c r="U64" s="5">
        <f>'Baseline System Analysis'!U20</f>
        <v>234.0814791718588</v>
      </c>
      <c r="V64" s="5">
        <f>'Baseline System Analysis'!V20</f>
        <v>239.93351615115526</v>
      </c>
      <c r="W64" s="5">
        <f>'Baseline System Analysis'!W20</f>
        <v>245.93185405493412</v>
      </c>
      <c r="X64" s="5">
        <f>'Baseline System Analysis'!X20</f>
        <v>252.08015040630744</v>
      </c>
      <c r="Y64" s="5">
        <f>'Baseline System Analysis'!Y20</f>
        <v>258.38215416646511</v>
      </c>
      <c r="Z64" s="5">
        <f>'Baseline System Analysis'!Z20</f>
        <v>264.8417080206267</v>
      </c>
      <c r="AA64" s="5">
        <f>'Baseline System Analysis'!AA20</f>
        <v>271.46275072114236</v>
      </c>
      <c r="AB64" s="5">
        <f>'Baseline System Analysis'!AB20</f>
        <v>278.24931948917089</v>
      </c>
      <c r="AC64" s="5">
        <f>'Baseline System Analysis'!AC20</f>
        <v>285.20555247640016</v>
      </c>
      <c r="AD64" s="5">
        <f>'Baseline System Analysis'!AD20</f>
        <v>292.33569128831016</v>
      </c>
    </row>
    <row r="66" spans="1:30" x14ac:dyDescent="0.35">
      <c r="A66" s="88" t="s">
        <v>130</v>
      </c>
      <c r="B66" s="88" t="s">
        <v>31</v>
      </c>
      <c r="C66" s="20">
        <f>NPV('Cost Assumptions'!$B$3,D66:AD66)</f>
        <v>368578.64154750004</v>
      </c>
      <c r="D66" s="5">
        <f>'Baseline System Analysis'!D24-D35</f>
        <v>238.68238716518363</v>
      </c>
      <c r="E66" s="5">
        <f>'Baseline System Analysis'!E24-E35</f>
        <v>46.803891017348633</v>
      </c>
      <c r="F66" s="5">
        <f>'Baseline System Analysis'!F24-F35</f>
        <v>-145.07460513048591</v>
      </c>
      <c r="G66" s="5">
        <f>'Baseline System Analysis'!G24-G35</f>
        <v>-336.9531012783209</v>
      </c>
      <c r="H66" s="5">
        <f>'Baseline System Analysis'!H24-H35</f>
        <v>-528.83159742615499</v>
      </c>
      <c r="I66" s="5">
        <f>'Baseline System Analysis'!I24-I35</f>
        <v>-720.71009357398907</v>
      </c>
      <c r="J66" s="5">
        <f>'Baseline System Analysis'!J24-J35</f>
        <v>-912.58858972182497</v>
      </c>
      <c r="K66" s="5">
        <f>'Baseline System Analysis'!K24-K35</f>
        <v>-458.2931842321741</v>
      </c>
      <c r="L66" s="5">
        <f>'Baseline System Analysis'!L24-L35</f>
        <v>-3.9977787425232236</v>
      </c>
      <c r="M66" s="5">
        <f>'Baseline System Analysis'!M24-M35</f>
        <v>450.29762674712401</v>
      </c>
      <c r="N66" s="5">
        <f>'Baseline System Analysis'!N24-N35</f>
        <v>904.5930322367858</v>
      </c>
      <c r="O66" s="5">
        <f>'Baseline System Analysis'!O24-O35</f>
        <v>10846.188220497614</v>
      </c>
      <c r="P66" s="5">
        <f>'Baseline System Analysis'!P24-P35</f>
        <v>20787.783408758434</v>
      </c>
      <c r="Q66" s="5">
        <f>'Baseline System Analysis'!Q24-Q35</f>
        <v>30729.378597019255</v>
      </c>
      <c r="R66" s="5">
        <f>'Baseline System Analysis'!R24-R35</f>
        <v>40670.973785280075</v>
      </c>
      <c r="S66" s="5">
        <f>'Baseline System Analysis'!S24-S35</f>
        <v>50612.568973540911</v>
      </c>
      <c r="T66" s="5">
        <f>'Baseline System Analysis'!T24-T35</f>
        <v>60554.164161801775</v>
      </c>
      <c r="U66" s="5">
        <f>'Baseline System Analysis'!U24-U35</f>
        <v>89975.648361093714</v>
      </c>
      <c r="V66" s="5">
        <f>'Baseline System Analysis'!V24-V35</f>
        <v>119397.13256038562</v>
      </c>
      <c r="W66" s="5">
        <f>'Baseline System Analysis'!W24-W35</f>
        <v>148818.61675967759</v>
      </c>
      <c r="X66" s="5">
        <f>'Baseline System Analysis'!X24-X35</f>
        <v>178240.10095896956</v>
      </c>
      <c r="Y66" s="5">
        <f>'Baseline System Analysis'!Y24-Y35</f>
        <v>207661.58515826147</v>
      </c>
      <c r="Z66" s="5">
        <f>'Baseline System Analysis'!Z24-Z35</f>
        <v>295664.36256967427</v>
      </c>
      <c r="AA66" s="5">
        <f>'Baseline System Analysis'!AA24-AA35</f>
        <v>383667.13998108706</v>
      </c>
      <c r="AB66" s="5">
        <f>'Baseline System Analysis'!AB24-AB35</f>
        <v>471669.91739249998</v>
      </c>
      <c r="AC66" s="5">
        <f>'Baseline System Analysis'!AC24-AC35</f>
        <v>559672.69480391289</v>
      </c>
      <c r="AD66" s="5">
        <f>'Baseline System Analysis'!AD24-AD35</f>
        <v>647675.47221532569</v>
      </c>
    </row>
    <row r="67" spans="1:30" x14ac:dyDescent="0.35">
      <c r="A67" s="88" t="s">
        <v>132</v>
      </c>
      <c r="B67" s="88" t="s">
        <v>31</v>
      </c>
      <c r="C67" s="20">
        <f>NPV('Cost Assumptions'!$B$3,D67:AD67)</f>
        <v>1529411.8499528065</v>
      </c>
      <c r="D67" s="5">
        <f>'Baseline System Analysis'!D25-D36</f>
        <v>990.40918316047009</v>
      </c>
      <c r="E67" s="5">
        <f>'Baseline System Analysis'!E25-E36</f>
        <v>194.21208251593271</v>
      </c>
      <c r="F67" s="5">
        <f>'Baseline System Analysis'!F25-F36</f>
        <v>-601.98501812860559</v>
      </c>
      <c r="G67" s="5">
        <f>'Baseline System Analysis'!G25-G36</f>
        <v>-1398.1821187731439</v>
      </c>
      <c r="H67" s="5">
        <f>'Baseline System Analysis'!H25-H36</f>
        <v>-2194.3792194176785</v>
      </c>
      <c r="I67" s="5">
        <f>'Baseline System Analysis'!I25-I36</f>
        <v>-2990.5763200622168</v>
      </c>
      <c r="J67" s="5">
        <f>'Baseline System Analysis'!J25-J36</f>
        <v>-3786.7734207067551</v>
      </c>
      <c r="K67" s="5">
        <f>'Baseline System Analysis'!K25-K36</f>
        <v>-1901.6810734730389</v>
      </c>
      <c r="L67" s="5">
        <f>'Baseline System Analysis'!L25-L36</f>
        <v>-16.588726239322568</v>
      </c>
      <c r="M67" s="5">
        <f>'Baseline System Analysis'!M25-M36</f>
        <v>1868.5036209943937</v>
      </c>
      <c r="N67" s="5">
        <f>'Baseline System Analysis'!N25-N36</f>
        <v>3753.5959682280663</v>
      </c>
      <c r="O67" s="5">
        <f>'Baseline System Analysis'!O25-O36</f>
        <v>45006.104319014936</v>
      </c>
      <c r="P67" s="5">
        <f>'Baseline System Analysis'!P25-P36</f>
        <v>86258.612669801805</v>
      </c>
      <c r="Q67" s="5">
        <f>'Baseline System Analysis'!Q25-Q36</f>
        <v>127511.12102058867</v>
      </c>
      <c r="R67" s="5">
        <f>'Baseline System Analysis'!R25-R36</f>
        <v>168763.62937137554</v>
      </c>
      <c r="S67" s="5">
        <f>'Baseline System Analysis'!S25-S36</f>
        <v>210016.13772216241</v>
      </c>
      <c r="T67" s="5">
        <f>'Baseline System Analysis'!T25-T36</f>
        <v>251268.64607294928</v>
      </c>
      <c r="U67" s="5">
        <f>'Baseline System Analysis'!U25-U36</f>
        <v>373352.67782441294</v>
      </c>
      <c r="V67" s="5">
        <f>'Baseline System Analysis'!V25-V36</f>
        <v>495436.70957587659</v>
      </c>
      <c r="W67" s="5">
        <f>'Baseline System Analysis'!W25-W36</f>
        <v>617520.74132734025</v>
      </c>
      <c r="X67" s="5">
        <f>'Baseline System Analysis'!X25-X36</f>
        <v>739604.7730788039</v>
      </c>
      <c r="Y67" s="5">
        <f>'Baseline System Analysis'!Y25-Y36</f>
        <v>861688.80483026756</v>
      </c>
      <c r="Z67" s="5">
        <f>'Baseline System Analysis'!Z25-Z36</f>
        <v>1226855.0826066444</v>
      </c>
      <c r="AA67" s="5">
        <f>'Baseline System Analysis'!AA25-AA36</f>
        <v>1592021.3603830207</v>
      </c>
      <c r="AB67" s="5">
        <f>'Baseline System Analysis'!AB25-AB36</f>
        <v>1957187.6381593971</v>
      </c>
      <c r="AC67" s="5">
        <f>'Baseline System Analysis'!AC25-AC36</f>
        <v>2322353.9159357734</v>
      </c>
      <c r="AD67" s="5">
        <f>'Baseline System Analysis'!AD25-AD36</f>
        <v>2687520.1937121525</v>
      </c>
    </row>
    <row r="68" spans="1:30" x14ac:dyDescent="0.35">
      <c r="A68" s="88" t="s">
        <v>24</v>
      </c>
      <c r="B68" s="88" t="s">
        <v>31</v>
      </c>
      <c r="C68" s="20">
        <f>NPV('Cost Assumptions'!$B$3,D68:AD68)</f>
        <v>1897990.4915003066</v>
      </c>
      <c r="D68" s="5">
        <f>SUM(D66:D67)</f>
        <v>1229.0915703256537</v>
      </c>
      <c r="E68" s="5">
        <f t="shared" ref="E68:AD68" si="63">SUM(E66:E67)</f>
        <v>241.01597353328134</v>
      </c>
      <c r="F68" s="5">
        <f t="shared" si="63"/>
        <v>-747.0596232590915</v>
      </c>
      <c r="G68" s="5">
        <f t="shared" si="63"/>
        <v>-1735.1352200514648</v>
      </c>
      <c r="H68" s="5">
        <f t="shared" si="63"/>
        <v>-2723.2108168438335</v>
      </c>
      <c r="I68" s="5">
        <f t="shared" si="63"/>
        <v>-3711.2864136362059</v>
      </c>
      <c r="J68" s="5">
        <f t="shared" si="63"/>
        <v>-4699.3620104285801</v>
      </c>
      <c r="K68" s="5">
        <f t="shared" si="63"/>
        <v>-2359.9742577052129</v>
      </c>
      <c r="L68" s="5">
        <f t="shared" si="63"/>
        <v>-20.586504981845792</v>
      </c>
      <c r="M68" s="5">
        <f t="shared" si="63"/>
        <v>2318.8012477415177</v>
      </c>
      <c r="N68" s="5">
        <f t="shared" si="63"/>
        <v>4658.1890004648521</v>
      </c>
      <c r="O68" s="5">
        <f t="shared" si="63"/>
        <v>55852.292539512549</v>
      </c>
      <c r="P68" s="5">
        <f t="shared" si="63"/>
        <v>107046.39607856024</v>
      </c>
      <c r="Q68" s="5">
        <f t="shared" si="63"/>
        <v>158240.49961760791</v>
      </c>
      <c r="R68" s="5">
        <f t="shared" si="63"/>
        <v>209434.60315665562</v>
      </c>
      <c r="S68" s="5">
        <f t="shared" si="63"/>
        <v>260628.70669570332</v>
      </c>
      <c r="T68" s="5">
        <f t="shared" si="63"/>
        <v>311822.81023475109</v>
      </c>
      <c r="U68" s="5">
        <f t="shared" si="63"/>
        <v>463328.32618550665</v>
      </c>
      <c r="V68" s="5">
        <f t="shared" si="63"/>
        <v>614833.84213626222</v>
      </c>
      <c r="W68" s="5">
        <f t="shared" si="63"/>
        <v>766339.3580870179</v>
      </c>
      <c r="X68" s="5">
        <f t="shared" si="63"/>
        <v>917844.87403777346</v>
      </c>
      <c r="Y68" s="5">
        <f t="shared" si="63"/>
        <v>1069350.389988529</v>
      </c>
      <c r="Z68" s="5">
        <f t="shared" si="63"/>
        <v>1522519.4451763188</v>
      </c>
      <c r="AA68" s="5">
        <f t="shared" si="63"/>
        <v>1975688.5003641078</v>
      </c>
      <c r="AB68" s="5">
        <f t="shared" si="63"/>
        <v>2428857.5555518968</v>
      </c>
      <c r="AC68" s="5">
        <f t="shared" si="63"/>
        <v>2882026.6107396865</v>
      </c>
      <c r="AD68" s="5">
        <f t="shared" si="63"/>
        <v>3335195.6659274781</v>
      </c>
    </row>
    <row r="69" spans="1:30" x14ac:dyDescent="0.35">
      <c r="A69" s="88"/>
      <c r="B69" s="88"/>
      <c r="C69" s="8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x14ac:dyDescent="0.35">
      <c r="A70" s="88" t="s">
        <v>133</v>
      </c>
      <c r="B70" s="88" t="s">
        <v>31</v>
      </c>
      <c r="C70" s="20">
        <f>NPV('Cost Assumptions'!$B$3,D70:AD70)</f>
        <v>55025530.55289489</v>
      </c>
      <c r="D70" s="5">
        <f>'Baseline System Analysis'!D28-D33</f>
        <v>160316.96625268596</v>
      </c>
      <c r="E70" s="5">
        <f>'Baseline System Analysis'!E28-E33</f>
        <v>426669.25690772623</v>
      </c>
      <c r="F70" s="5">
        <f>'Baseline System Analysis'!F28-F33</f>
        <v>622795.96524369309</v>
      </c>
      <c r="G70" s="5">
        <f>'Baseline System Analysis'!G28-G33</f>
        <v>833703.43870740035</v>
      </c>
      <c r="H70" s="5">
        <f>'Baseline System Analysis'!H28-H33</f>
        <v>1064554.7712044911</v>
      </c>
      <c r="I70" s="5">
        <f>'Baseline System Analysis'!I28-I33</f>
        <v>1155250.6032801536</v>
      </c>
      <c r="J70" s="5">
        <f>'Baseline System Analysis'!J28-J33</f>
        <v>1567814.7930424134</v>
      </c>
      <c r="K70" s="5">
        <f>'Baseline System Analysis'!K28-K33</f>
        <v>2064587.6916558424</v>
      </c>
      <c r="L70" s="5">
        <f>'Baseline System Analysis'!L28-L33</f>
        <v>2485972.1963254735</v>
      </c>
      <c r="M70" s="5">
        <f>'Baseline System Analysis'!M28-M33</f>
        <v>2907214.7827229644</v>
      </c>
      <c r="N70" s="5">
        <f>'Baseline System Analysis'!N28-N33</f>
        <v>3653487.05439856</v>
      </c>
      <c r="O70" s="5">
        <f>'Baseline System Analysis'!O28-O33</f>
        <v>4512360.7012723647</v>
      </c>
      <c r="P70" s="5">
        <f>'Baseline System Analysis'!P28-P33</f>
        <v>5845712.9395959051</v>
      </c>
      <c r="Q70" s="5">
        <f>'Baseline System Analysis'!Q28-Q33</f>
        <v>7145234.3901076168</v>
      </c>
      <c r="R70" s="5">
        <f>'Baseline System Analysis'!R28-R33</f>
        <v>9104342.6872677077</v>
      </c>
      <c r="S70" s="5">
        <f>'Baseline System Analysis'!S28-S33</f>
        <v>11402628.544698209</v>
      </c>
      <c r="T70" s="5">
        <f>'Baseline System Analysis'!T28-T33</f>
        <v>14095767.66157037</v>
      </c>
      <c r="U70" s="5">
        <f>'Baseline System Analysis'!U28-U33</f>
        <v>17191903.011561129</v>
      </c>
      <c r="V70" s="5">
        <f>'Baseline System Analysis'!V28-V33</f>
        <v>19393249.568390317</v>
      </c>
      <c r="W70" s="5">
        <f>'Baseline System Analysis'!W28-W33</f>
        <v>22204176.923500877</v>
      </c>
      <c r="X70" s="5">
        <f>'Baseline System Analysis'!X28-X33</f>
        <v>25300486.71745725</v>
      </c>
      <c r="Y70" s="5">
        <f>'Baseline System Analysis'!Y28-Y33</f>
        <v>28417067.414872523</v>
      </c>
      <c r="Z70" s="5">
        <f>'Baseline System Analysis'!Z28-Z33</f>
        <v>31752052.54955313</v>
      </c>
      <c r="AA70" s="5">
        <f>'Baseline System Analysis'!AA28-AA33</f>
        <v>35546944.482215486</v>
      </c>
      <c r="AB70" s="5">
        <f>'Baseline System Analysis'!AB28-AB33</f>
        <v>39903552.597625397</v>
      </c>
      <c r="AC70" s="5">
        <f>'Baseline System Analysis'!AC28-AC33</f>
        <v>43253166.677575208</v>
      </c>
      <c r="AD70" s="5">
        <f>'Baseline System Analysis'!AD28-AD33</f>
        <v>46546673.239923745</v>
      </c>
    </row>
    <row r="71" spans="1:30" x14ac:dyDescent="0.35">
      <c r="A71" s="88" t="s">
        <v>134</v>
      </c>
      <c r="B71" s="88" t="s">
        <v>31</v>
      </c>
      <c r="C71" s="20">
        <f>NPV('Cost Assumptions'!$B$3,D71:AD71)</f>
        <v>242736972.29884523</v>
      </c>
      <c r="D71" s="5">
        <f>'Baseline System Analysis'!D29-D34</f>
        <v>903378.82566768141</v>
      </c>
      <c r="E71" s="5">
        <f>'Baseline System Analysis'!E29-E34</f>
        <v>2253314.5961599764</v>
      </c>
      <c r="F71" s="5">
        <f>'Baseline System Analysis'!F29-F34</f>
        <v>3310509.516156707</v>
      </c>
      <c r="G71" s="5">
        <f>'Baseline System Analysis'!G29-G34</f>
        <v>4447440.2170750583</v>
      </c>
      <c r="H71" s="5">
        <f>'Baseline System Analysis'!H29-H34</f>
        <v>5587242.1815372296</v>
      </c>
      <c r="I71" s="5">
        <f>'Baseline System Analysis'!I29-I34</f>
        <v>5454561.6522228802</v>
      </c>
      <c r="J71" s="5">
        <f>'Baseline System Analysis'!J29-J34</f>
        <v>7543245.1947770724</v>
      </c>
      <c r="K71" s="5">
        <f>'Baseline System Analysis'!K29-K34</f>
        <v>10054559.779896669</v>
      </c>
      <c r="L71" s="5">
        <f>'Baseline System Analysis'!L29-L34</f>
        <v>11610814.214658689</v>
      </c>
      <c r="M71" s="5">
        <f>'Baseline System Analysis'!M29-M34</f>
        <v>12826351.057208685</v>
      </c>
      <c r="N71" s="5">
        <f>'Baseline System Analysis'!N29-N34</f>
        <v>16062284.122916382</v>
      </c>
      <c r="O71" s="5">
        <f>'Baseline System Analysis'!O29-O34</f>
        <v>19403643.120637149</v>
      </c>
      <c r="P71" s="5">
        <f>'Baseline System Analysis'!P29-P34</f>
        <v>25219740.504592769</v>
      </c>
      <c r="Q71" s="5">
        <f>'Baseline System Analysis'!Q29-Q34</f>
        <v>31071411.196852271</v>
      </c>
      <c r="R71" s="5">
        <f>'Baseline System Analysis'!R29-R34</f>
        <v>39644741.256940469</v>
      </c>
      <c r="S71" s="5">
        <f>'Baseline System Analysis'!S29-S34</f>
        <v>50251518.164887004</v>
      </c>
      <c r="T71" s="5">
        <f>'Baseline System Analysis'!T29-T34</f>
        <v>62975375.307628401</v>
      </c>
      <c r="U71" s="5">
        <f>'Baseline System Analysis'!U29-U34</f>
        <v>77967536.623126328</v>
      </c>
      <c r="V71" s="5">
        <f>'Baseline System Analysis'!V29-V34</f>
        <v>85493629.625678569</v>
      </c>
      <c r="W71" s="5">
        <f>'Baseline System Analysis'!W29-W34</f>
        <v>96889943.264270231</v>
      </c>
      <c r="X71" s="5">
        <f>'Baseline System Analysis'!X29-X34</f>
        <v>109044932.47197554</v>
      </c>
      <c r="Y71" s="5">
        <f>'Baseline System Analysis'!Y29-Y34</f>
        <v>122534152.53852251</v>
      </c>
      <c r="Z71" s="5">
        <f>'Baseline System Analysis'!Z29-Z34</f>
        <v>136516549.22112581</v>
      </c>
      <c r="AA71" s="5">
        <f>'Baseline System Analysis'!AA29-AA34</f>
        <v>152312518.58134991</v>
      </c>
      <c r="AB71" s="5">
        <f>'Baseline System Analysis'!AB29-AB34</f>
        <v>170666427.51783419</v>
      </c>
      <c r="AC71" s="5">
        <f>'Baseline System Analysis'!AC29-AC34</f>
        <v>185761195.95831525</v>
      </c>
      <c r="AD71" s="5">
        <f>'Baseline System Analysis'!AD29-AD34</f>
        <v>198274570.28534347</v>
      </c>
    </row>
    <row r="72" spans="1:30" x14ac:dyDescent="0.35">
      <c r="A72" s="88" t="s">
        <v>24</v>
      </c>
      <c r="B72" s="88" t="s">
        <v>31</v>
      </c>
      <c r="C72" s="20">
        <f>NPV('Cost Assumptions'!$B$3,D72:AD72)</f>
        <v>297762502.85174012</v>
      </c>
      <c r="D72" s="5">
        <f>SUM(D70:D71)</f>
        <v>1063695.7919203674</v>
      </c>
      <c r="E72" s="5">
        <f t="shared" ref="E72:AD72" si="64">SUM(E70:E71)</f>
        <v>2679983.8530677026</v>
      </c>
      <c r="F72" s="5">
        <f t="shared" si="64"/>
        <v>3933305.4814003999</v>
      </c>
      <c r="G72" s="5">
        <f t="shared" si="64"/>
        <v>5281143.6557824584</v>
      </c>
      <c r="H72" s="5">
        <f t="shared" si="64"/>
        <v>6651796.9527417207</v>
      </c>
      <c r="I72" s="5">
        <f t="shared" si="64"/>
        <v>6609812.2555030342</v>
      </c>
      <c r="J72" s="5">
        <f t="shared" si="64"/>
        <v>9111059.9878194854</v>
      </c>
      <c r="K72" s="5">
        <f t="shared" si="64"/>
        <v>12119147.471552512</v>
      </c>
      <c r="L72" s="5">
        <f t="shared" si="64"/>
        <v>14096786.410984162</v>
      </c>
      <c r="M72" s="5">
        <f t="shared" si="64"/>
        <v>15733565.83993165</v>
      </c>
      <c r="N72" s="5">
        <f t="shared" si="64"/>
        <v>19715771.177314941</v>
      </c>
      <c r="O72" s="5">
        <f t="shared" si="64"/>
        <v>23916003.821909513</v>
      </c>
      <c r="P72" s="5">
        <f t="shared" si="64"/>
        <v>31065453.444188673</v>
      </c>
      <c r="Q72" s="5">
        <f t="shared" si="64"/>
        <v>38216645.586959884</v>
      </c>
      <c r="R72" s="5">
        <f t="shared" si="64"/>
        <v>48749083.944208175</v>
      </c>
      <c r="S72" s="5">
        <f t="shared" si="64"/>
        <v>61654146.709585212</v>
      </c>
      <c r="T72" s="5">
        <f t="shared" si="64"/>
        <v>77071142.969198763</v>
      </c>
      <c r="U72" s="5">
        <f t="shared" si="64"/>
        <v>95159439.634687454</v>
      </c>
      <c r="V72" s="5">
        <f t="shared" si="64"/>
        <v>104886879.19406888</v>
      </c>
      <c r="W72" s="5">
        <f t="shared" si="64"/>
        <v>119094120.18777111</v>
      </c>
      <c r="X72" s="5">
        <f t="shared" si="64"/>
        <v>134345419.1894328</v>
      </c>
      <c r="Y72" s="5">
        <f t="shared" si="64"/>
        <v>150951219.95339504</v>
      </c>
      <c r="Z72" s="5">
        <f t="shared" si="64"/>
        <v>168268601.77067894</v>
      </c>
      <c r="AA72" s="5">
        <f t="shared" si="64"/>
        <v>187859463.0635654</v>
      </c>
      <c r="AB72" s="5">
        <f t="shared" si="64"/>
        <v>210569980.11545959</v>
      </c>
      <c r="AC72" s="5">
        <f t="shared" si="64"/>
        <v>229014362.63589045</v>
      </c>
      <c r="AD72" s="5">
        <f t="shared" si="64"/>
        <v>244821243.52526721</v>
      </c>
    </row>
    <row r="74" spans="1:30" x14ac:dyDescent="0.35">
      <c r="A74" s="88" t="s">
        <v>130</v>
      </c>
      <c r="B74" s="88" t="s">
        <v>157</v>
      </c>
      <c r="C74" s="20">
        <f>NPV('Cost Assumptions'!$B$3,D74:AD74)</f>
        <v>326954842.63667375</v>
      </c>
      <c r="D74" s="63">
        <f>ABS((D50*D61*1000*'Cost Assumptions'!$B$6)/'Cost Assumptions'!$B$14)</f>
        <v>6621897.8890077285</v>
      </c>
      <c r="E74" s="63">
        <f>ABS((E50*E61*1000*'Cost Assumptions'!$B$6)/'Cost Assumptions'!$B$14)</f>
        <v>9025240.0833087191</v>
      </c>
      <c r="F74" s="63">
        <f>ABS((F50*F61*1000*'Cost Assumptions'!$B$6)/'Cost Assumptions'!$B$14)</f>
        <v>11544610.701144125</v>
      </c>
      <c r="G74" s="63">
        <f>ABS((G50*G61*1000*'Cost Assumptions'!$B$6)/'Cost Assumptions'!$B$14)</f>
        <v>14184309.074819231</v>
      </c>
      <c r="H74" s="63">
        <f>ABS((H50*H61*1000*'Cost Assumptions'!$B$6)/'Cost Assumptions'!$B$14)</f>
        <v>16948776.985489886</v>
      </c>
      <c r="I74" s="63">
        <f>ABS((I50*I61*1000*'Cost Assumptions'!$B$6)/'Cost Assumptions'!$B$14)</f>
        <v>19842603.098522302</v>
      </c>
      <c r="J74" s="63">
        <f>ABS((J50*J61*1000*'Cost Assumptions'!$B$6)/'Cost Assumptions'!$B$14)</f>
        <v>22870527.531590406</v>
      </c>
      <c r="K74" s="63">
        <f>ABS((K50*K61*1000*'Cost Assumptions'!$B$6)/'Cost Assumptions'!$B$14)</f>
        <v>26037446.559375346</v>
      </c>
      <c r="L74" s="63">
        <f>ABS((L50*L61*1000*'Cost Assumptions'!$B$6)/'Cost Assumptions'!$B$14)</f>
        <v>29841138.801012903</v>
      </c>
      <c r="M74" s="63">
        <f>ABS((M50*M61*1000*'Cost Assumptions'!$B$6)/'Cost Assumptions'!$B$14)</f>
        <v>32808663.499182958</v>
      </c>
      <c r="N74" s="63">
        <f>ABS((N50*N61*1000*'Cost Assumptions'!$B$6)/'Cost Assumptions'!$B$14)</f>
        <v>36423579.080628879</v>
      </c>
      <c r="O74" s="63">
        <f>ABS((O50*O61*1000*'Cost Assumptions'!$B$6)/'Cost Assumptions'!$B$14)</f>
        <v>40198735.026460111</v>
      </c>
      <c r="P74" s="63">
        <f>ABS((P50*P61*1000*'Cost Assumptions'!$B$6)/'Cost Assumptions'!$B$14)</f>
        <v>44139884.032657534</v>
      </c>
      <c r="Q74" s="63">
        <f>ABS((Q50*Q61*1000*'Cost Assumptions'!$B$6)/'Cost Assumptions'!$B$14)</f>
        <v>48252966.279773265</v>
      </c>
      <c r="R74" s="63">
        <f>ABS((R50*R61*1000*'Cost Assumptions'!$B$6)/'Cost Assumptions'!$B$14)</f>
        <v>52544115.211724363</v>
      </c>
      <c r="S74" s="63">
        <f>ABS((S50*S61*1000*'Cost Assumptions'!$B$6)/'Cost Assumptions'!$B$14)</f>
        <v>57019663.486348182</v>
      </c>
      <c r="T74" s="63">
        <f>ABS((T50*T61*1000*'Cost Assumptions'!$B$6)/'Cost Assumptions'!$B$14)</f>
        <v>61686149.102695853</v>
      </c>
      <c r="U74" s="63">
        <f>ABS((U50*U61*1000*'Cost Assumptions'!$B$6)/'Cost Assumptions'!$B$14)</f>
        <v>66550321.710181929</v>
      </c>
      <c r="V74" s="63">
        <f>ABS((V50*V61*1000*'Cost Assumptions'!$B$6)/'Cost Assumptions'!$B$14)</f>
        <v>71619149.104853138</v>
      </c>
      <c r="W74" s="63">
        <f>ABS((W50*W61*1000*'Cost Assumptions'!$B$6)/'Cost Assumptions'!$B$14)</f>
        <v>76899823.918189034</v>
      </c>
      <c r="X74" s="63">
        <f>ABS((X50*X61*1000*'Cost Assumptions'!$B$6)/'Cost Assumptions'!$B$14)</f>
        <v>82399770.504001215</v>
      </c>
      <c r="Y74" s="63">
        <f>ABS((Y50*Y61*1000*'Cost Assumptions'!$B$6)/'Cost Assumptions'!$B$14)</f>
        <v>102574343.95360972</v>
      </c>
      <c r="Z74" s="63">
        <f>ABS((Z50*Z61*1000*'Cost Assumptions'!$B$6)/'Cost Assumptions'!$B$14)</f>
        <v>123706146.2191337</v>
      </c>
      <c r="AA74" s="63">
        <f>ABS((AA50*AA61*1000*'Cost Assumptions'!$B$6)/'Cost Assumptions'!$B$14)</f>
        <v>145830429.63296282</v>
      </c>
      <c r="AB74" s="63">
        <f>ABS((AB50*AB61*1000*'Cost Assumptions'!$B$6)/'Cost Assumptions'!$B$14)</f>
        <v>168983610.87609646</v>
      </c>
      <c r="AC74" s="63">
        <f>ABS((AC50*AC61*1000*'Cost Assumptions'!$B$6)/'Cost Assumptions'!$B$14)</f>
        <v>193203307.16286618</v>
      </c>
      <c r="AD74" s="63">
        <f>ABS((AD50*AD61*1000*'Cost Assumptions'!$B$6)/'Cost Assumptions'!$B$14)</f>
        <v>218528373.50717682</v>
      </c>
    </row>
    <row r="75" spans="1:30" x14ac:dyDescent="0.35">
      <c r="A75" s="88" t="s">
        <v>132</v>
      </c>
      <c r="B75" s="88" t="s">
        <v>157</v>
      </c>
      <c r="C75" s="20">
        <f>NPV('Cost Assumptions'!$B$3,D75:AD75)</f>
        <v>1346933800.4926438</v>
      </c>
      <c r="D75" s="63">
        <f>ABS((D50*D63*1000*'Cost Assumptions'!$B$7)/'Cost Assumptions'!$B$14)</f>
        <v>27279785.8511209</v>
      </c>
      <c r="E75" s="63">
        <f>ABS((E50*E63*1000*'Cost Assumptions'!$B$7)/'Cost Assumptions'!$B$14)</f>
        <v>37180672.498184308</v>
      </c>
      <c r="F75" s="63">
        <f>ABS((F50*F63*1000*'Cost Assumptions'!$B$7)/'Cost Assumptions'!$B$14)</f>
        <v>47559553.611443922</v>
      </c>
      <c r="G75" s="63">
        <f>ABS((G50*G63*1000*'Cost Assumptions'!$B$7)/'Cost Assumptions'!$B$14)</f>
        <v>58434140.860055134</v>
      </c>
      <c r="H75" s="63">
        <f>ABS((H50*H63*1000*'Cost Assumptions'!$B$7)/'Cost Assumptions'!$B$14)</f>
        <v>69822732.750089809</v>
      </c>
      <c r="I75" s="63">
        <f>ABS((I50*I63*1000*'Cost Assumptions'!$B$7)/'Cost Assumptions'!$B$14)</f>
        <v>81744232.896588638</v>
      </c>
      <c r="J75" s="63">
        <f>ABS((J50*J63*1000*'Cost Assumptions'!$B$7)/'Cost Assumptions'!$B$14)</f>
        <v>94218168.842443585</v>
      </c>
      <c r="K75" s="63">
        <f>ABS((K50*K63*1000*'Cost Assumptions'!$B$7)/'Cost Assumptions'!$B$14)</f>
        <v>107264711.44003093</v>
      </c>
      <c r="L75" s="63">
        <f>ABS((L50*L63*1000*'Cost Assumptions'!$B$7)/'Cost Assumptions'!$B$14)</f>
        <v>122934525.67375529</v>
      </c>
      <c r="M75" s="63">
        <f>ABS((M50*M63*1000*'Cost Assumptions'!$B$7)/'Cost Assumptions'!$B$14)</f>
        <v>135159636.90785828</v>
      </c>
      <c r="N75" s="63">
        <f>ABS((N50*N63*1000*'Cost Assumptions'!$B$7)/'Cost Assumptions'!$B$14)</f>
        <v>150051760.67428231</v>
      </c>
      <c r="O75" s="63">
        <f>ABS((O50*O63*1000*'Cost Assumptions'!$B$7)/'Cost Assumptions'!$B$14)</f>
        <v>165604015.85596013</v>
      </c>
      <c r="P75" s="63">
        <f>ABS((P50*P63*1000*'Cost Assumptions'!$B$7)/'Cost Assumptions'!$B$14)</f>
        <v>181840101.44630048</v>
      </c>
      <c r="Q75" s="63">
        <f>ABS((Q50*Q63*1000*'Cost Assumptions'!$B$7)/'Cost Assumptions'!$B$14)</f>
        <v>198784488.80624774</v>
      </c>
      <c r="R75" s="63">
        <f>ABS((R50*R63*1000*'Cost Assumptions'!$B$7)/'Cost Assumptions'!$B$14)</f>
        <v>216462445.47078848</v>
      </c>
      <c r="S75" s="63">
        <f>ABS((S50*S63*1000*'Cost Assumptions'!$B$7)/'Cost Assumptions'!$B$14)</f>
        <v>234900059.66305235</v>
      </c>
      <c r="T75" s="63">
        <f>ABS((T50*T63*1000*'Cost Assumptions'!$B$7)/'Cost Assumptions'!$B$14)</f>
        <v>254124265.53651026</v>
      </c>
      <c r="U75" s="63">
        <f>ABS((U50*U63*1000*'Cost Assumptions'!$B$7)/'Cost Assumptions'!$B$14)</f>
        <v>274162869.16635156</v>
      </c>
      <c r="V75" s="63">
        <f>ABS((V50*V63*1000*'Cost Assumptions'!$B$7)/'Cost Assumptions'!$B$14)</f>
        <v>295044575.3117246</v>
      </c>
      <c r="W75" s="63">
        <f>ABS((W50*W63*1000*'Cost Assumptions'!$B$7)/'Cost Assumptions'!$B$14)</f>
        <v>316799014.97113734</v>
      </c>
      <c r="X75" s="63">
        <f>ABS((X50*X63*1000*'Cost Assumptions'!$B$7)/'Cost Assumptions'!$B$14)</f>
        <v>339456773.75395095</v>
      </c>
      <c r="Y75" s="63">
        <f>ABS((Y50*Y63*1000*'Cost Assumptions'!$B$7)/'Cost Assumptions'!$B$14)</f>
        <v>422568602.50271755</v>
      </c>
      <c r="Z75" s="63">
        <f>ABS((Z50*Z63*1000*'Cost Assumptions'!$B$7)/'Cost Assumptions'!$B$14)</f>
        <v>509623862.20532644</v>
      </c>
      <c r="AA75" s="63">
        <f>ABS((AA50*AA63*1000*'Cost Assumptions'!$B$7)/'Cost Assumptions'!$B$14)</f>
        <v>600767779.51650143</v>
      </c>
      <c r="AB75" s="63">
        <f>ABS((AB50*AB63*1000*'Cost Assumptions'!$B$7)/'Cost Assumptions'!$B$14)</f>
        <v>696150377.77935684</v>
      </c>
      <c r="AC75" s="63">
        <f>ABS((AC50*AC63*1000*'Cost Assumptions'!$B$7)/'Cost Assumptions'!$B$14)</f>
        <v>795926626.09315717</v>
      </c>
      <c r="AD75" s="63">
        <f>ABS((AD50*AD63*1000*'Cost Assumptions'!$B$7)/'Cost Assumptions'!$B$14)</f>
        <v>900256592.83653522</v>
      </c>
    </row>
    <row r="76" spans="1:30" x14ac:dyDescent="0.35">
      <c r="A76" s="88" t="s">
        <v>24</v>
      </c>
      <c r="B76" s="88" t="s">
        <v>157</v>
      </c>
      <c r="C76" s="20">
        <f>NPV('Cost Assumptions'!$B$3,D76:AD76)</f>
        <v>1673888643.129317</v>
      </c>
      <c r="D76" s="63">
        <f>SUM(D74:D75)</f>
        <v>33901683.740128629</v>
      </c>
      <c r="E76" s="63">
        <f t="shared" ref="E76:AD76" si="65">SUM(E74:E75)</f>
        <v>46205912.581493028</v>
      </c>
      <c r="F76" s="63">
        <f t="shared" si="65"/>
        <v>59104164.312588051</v>
      </c>
      <c r="G76" s="63">
        <f t="shared" si="65"/>
        <v>72618449.934874371</v>
      </c>
      <c r="H76" s="63">
        <f t="shared" si="65"/>
        <v>86771509.735579699</v>
      </c>
      <c r="I76" s="63">
        <f t="shared" si="65"/>
        <v>101586835.99511094</v>
      </c>
      <c r="J76" s="63">
        <f t="shared" si="65"/>
        <v>117088696.37403399</v>
      </c>
      <c r="K76" s="63">
        <f t="shared" si="65"/>
        <v>133302157.99940628</v>
      </c>
      <c r="L76" s="63">
        <f t="shared" si="65"/>
        <v>152775664.47476819</v>
      </c>
      <c r="M76" s="63">
        <f t="shared" si="65"/>
        <v>167968300.40704125</v>
      </c>
      <c r="N76" s="63">
        <f t="shared" si="65"/>
        <v>186475339.75491118</v>
      </c>
      <c r="O76" s="63">
        <f t="shared" si="65"/>
        <v>205802750.88242024</v>
      </c>
      <c r="P76" s="63">
        <f t="shared" si="65"/>
        <v>225979985.47895801</v>
      </c>
      <c r="Q76" s="63">
        <f t="shared" si="65"/>
        <v>247037455.08602101</v>
      </c>
      <c r="R76" s="63">
        <f t="shared" si="65"/>
        <v>269006560.68251282</v>
      </c>
      <c r="S76" s="63">
        <f t="shared" si="65"/>
        <v>291919723.14940053</v>
      </c>
      <c r="T76" s="63">
        <f t="shared" si="65"/>
        <v>315810414.63920611</v>
      </c>
      <c r="U76" s="63">
        <f t="shared" si="65"/>
        <v>340713190.87653351</v>
      </c>
      <c r="V76" s="63">
        <f t="shared" si="65"/>
        <v>366663724.41657776</v>
      </c>
      <c r="W76" s="63">
        <f t="shared" si="65"/>
        <v>393698838.88932639</v>
      </c>
      <c r="X76" s="63">
        <f t="shared" si="65"/>
        <v>421856544.25795215</v>
      </c>
      <c r="Y76" s="63">
        <f t="shared" si="65"/>
        <v>525142946.45632726</v>
      </c>
      <c r="Z76" s="63">
        <f t="shared" si="65"/>
        <v>633330008.42446017</v>
      </c>
      <c r="AA76" s="63">
        <f t="shared" si="65"/>
        <v>746598209.14946425</v>
      </c>
      <c r="AB76" s="63">
        <f t="shared" si="65"/>
        <v>865133988.65545332</v>
      </c>
      <c r="AC76" s="63">
        <f t="shared" si="65"/>
        <v>989129933.25602341</v>
      </c>
      <c r="AD76" s="63">
        <f t="shared" si="65"/>
        <v>1118784966.3437121</v>
      </c>
    </row>
    <row r="77" spans="1:30" x14ac:dyDescent="0.35">
      <c r="A77" s="88"/>
      <c r="B77" s="88"/>
      <c r="C77" s="20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x14ac:dyDescent="0.35">
      <c r="A78" s="88" t="s">
        <v>130</v>
      </c>
      <c r="B78" s="88" t="s">
        <v>164</v>
      </c>
      <c r="C78" s="20">
        <f>NPV('Cost Assumptions'!$B$3,D78:AD78)</f>
        <v>0</v>
      </c>
      <c r="D78" s="63">
        <f>ABS(((MIN(ABS(D51),'Baseline System Analysis'!D14)*D62*1000*'Cost Assumptions'!$B$6)*'Cost Assumptions'!$B$13))</f>
        <v>0</v>
      </c>
      <c r="E78" s="63">
        <f>ABS(((MIN(ABS(E51),'Baseline System Analysis'!E14)*E62*1000*'Cost Assumptions'!$B$6)*'Cost Assumptions'!$B$13))</f>
        <v>0</v>
      </c>
      <c r="F78" s="63">
        <f>ABS(((MIN(ABS(F51),'Baseline System Analysis'!F14)*F62*1000*'Cost Assumptions'!$B$6)*'Cost Assumptions'!$B$13))</f>
        <v>0</v>
      </c>
      <c r="G78" s="63">
        <f>ABS(((MIN(ABS(G51),'Baseline System Analysis'!G14)*G62*1000*'Cost Assumptions'!$B$6)*'Cost Assumptions'!$B$13))</f>
        <v>0</v>
      </c>
      <c r="H78" s="63">
        <f>ABS(((MIN(ABS(H51),'Baseline System Analysis'!H14)*H62*1000*'Cost Assumptions'!$B$6)*'Cost Assumptions'!$B$13))</f>
        <v>0</v>
      </c>
      <c r="I78" s="63">
        <f>ABS(((MIN(ABS(I51),'Baseline System Analysis'!I14)*I62*1000*'Cost Assumptions'!$B$6)*'Cost Assumptions'!$B$13))</f>
        <v>0</v>
      </c>
      <c r="J78" s="63">
        <f>ABS(((MIN(ABS(J51),'Baseline System Analysis'!J14)*J62*1000*'Cost Assumptions'!$B$6)*'Cost Assumptions'!$B$13))</f>
        <v>0</v>
      </c>
      <c r="K78" s="63">
        <f>ABS(((MIN(ABS(K51),'Baseline System Analysis'!K14)*K62*1000*'Cost Assumptions'!$B$6)*'Cost Assumptions'!$B$13))</f>
        <v>0</v>
      </c>
      <c r="L78" s="63">
        <f>ABS(((MIN(ABS(L51),'Baseline System Analysis'!L14)*L62*1000*'Cost Assumptions'!$B$6)*'Cost Assumptions'!$B$13))</f>
        <v>0</v>
      </c>
      <c r="M78" s="63">
        <f>ABS(((MIN(ABS(M51),'Baseline System Analysis'!M14)*M62*1000*'Cost Assumptions'!$B$6)*'Cost Assumptions'!$B$13))</f>
        <v>0</v>
      </c>
      <c r="N78" s="63">
        <f>ABS(((MIN(ABS(N51),'Baseline System Analysis'!N14)*N62*1000*'Cost Assumptions'!$B$6)*'Cost Assumptions'!$B$13))</f>
        <v>0</v>
      </c>
      <c r="O78" s="63">
        <f>ABS(((MIN(ABS(O51),'Baseline System Analysis'!O14)*O62*1000*'Cost Assumptions'!$B$6)*'Cost Assumptions'!$B$13))</f>
        <v>0</v>
      </c>
      <c r="P78" s="63">
        <f>ABS(((MIN(ABS(P51),'Baseline System Analysis'!P14)*P62*1000*'Cost Assumptions'!$B$6)*'Cost Assumptions'!$B$13))</f>
        <v>0</v>
      </c>
      <c r="Q78" s="63">
        <f>ABS(((MIN(ABS(Q51),'Baseline System Analysis'!Q14)*Q62*1000*'Cost Assumptions'!$B$6)*'Cost Assumptions'!$B$13))</f>
        <v>0</v>
      </c>
      <c r="R78" s="63">
        <f>ABS(((MIN(ABS(R51),'Baseline System Analysis'!R14)*R62*1000*'Cost Assumptions'!$B$6)*'Cost Assumptions'!$B$13))</f>
        <v>0</v>
      </c>
      <c r="S78" s="63">
        <f>ABS(((MIN(ABS(S51),'Baseline System Analysis'!S14)*S62*1000*'Cost Assumptions'!$B$6)*'Cost Assumptions'!$B$13))</f>
        <v>0</v>
      </c>
      <c r="T78" s="63">
        <f>ABS(((MIN(ABS(T51),'Baseline System Analysis'!T14)*T62*1000*'Cost Assumptions'!$B$6)*'Cost Assumptions'!$B$13))</f>
        <v>0</v>
      </c>
      <c r="U78" s="63">
        <f>ABS(((MIN(ABS(U51),'Baseline System Analysis'!U14)*U62*1000*'Cost Assumptions'!$B$6)*'Cost Assumptions'!$B$13))</f>
        <v>0</v>
      </c>
      <c r="V78" s="63">
        <f>ABS(((MIN(ABS(V51),'Baseline System Analysis'!V14)*V62*1000*'Cost Assumptions'!$B$6)*'Cost Assumptions'!$B$13))</f>
        <v>0</v>
      </c>
      <c r="W78" s="63">
        <f>ABS(((MIN(ABS(W51),'Baseline System Analysis'!W14)*W62*1000*'Cost Assumptions'!$B$6)*'Cost Assumptions'!$B$13))</f>
        <v>0</v>
      </c>
      <c r="X78" s="63">
        <f>ABS(((MIN(ABS(X51),'Baseline System Analysis'!X14)*X62*1000*'Cost Assumptions'!$B$6)*'Cost Assumptions'!$B$13))</f>
        <v>0</v>
      </c>
      <c r="Y78" s="63">
        <f>ABS(((MIN(ABS(Y51),'Baseline System Analysis'!Y14)*Y62*1000*'Cost Assumptions'!$B$6)*'Cost Assumptions'!$B$13))</f>
        <v>0</v>
      </c>
      <c r="Z78" s="63">
        <f>ABS(((MIN(ABS(Z51),'Baseline System Analysis'!Z14)*Z62*1000*'Cost Assumptions'!$B$6)*'Cost Assumptions'!$B$13))</f>
        <v>0</v>
      </c>
      <c r="AA78" s="63">
        <f>ABS(((MIN(ABS(AA51),'Baseline System Analysis'!AA14)*AA62*1000*'Cost Assumptions'!$B$6)*'Cost Assumptions'!$B$13))</f>
        <v>0</v>
      </c>
      <c r="AB78" s="63">
        <f>ABS(((MIN(ABS(AB51),'Baseline System Analysis'!AB14)*AB62*1000*'Cost Assumptions'!$B$6)*'Cost Assumptions'!$B$13))</f>
        <v>0</v>
      </c>
      <c r="AC78" s="63">
        <f>ABS(((MIN(ABS(AC51),'Baseline System Analysis'!AC14)*AC62*1000*'Cost Assumptions'!$B$6)*'Cost Assumptions'!$B$13))</f>
        <v>0</v>
      </c>
      <c r="AD78" s="63">
        <f>ABS(((MIN(ABS(AD51),'Baseline System Analysis'!AD14)*AD62*1000*'Cost Assumptions'!$B$6)*'Cost Assumptions'!$B$13))</f>
        <v>0</v>
      </c>
    </row>
    <row r="79" spans="1:30" x14ac:dyDescent="0.35">
      <c r="A79" s="88" t="s">
        <v>132</v>
      </c>
      <c r="B79" s="88" t="s">
        <v>164</v>
      </c>
      <c r="C79" s="20">
        <f>NPV('Cost Assumptions'!$B$3,D79:AD79)</f>
        <v>0</v>
      </c>
      <c r="D79" s="63">
        <f>ABS(((MIN(ABS(D51),'Baseline System Analysis'!D14)*D64*1000*'Cost Assumptions'!$B$6)*'Cost Assumptions'!$B$13))</f>
        <v>0</v>
      </c>
      <c r="E79" s="63">
        <f>ABS(((MIN(ABS(E51),'Baseline System Analysis'!E14)*E64*1000*'Cost Assumptions'!$B$6)*'Cost Assumptions'!$B$13))</f>
        <v>0</v>
      </c>
      <c r="F79" s="63">
        <f>ABS(((MIN(ABS(F51),'Baseline System Analysis'!F14)*F64*1000*'Cost Assumptions'!$B$6)*'Cost Assumptions'!$B$13))</f>
        <v>0</v>
      </c>
      <c r="G79" s="63">
        <f>ABS(((MIN(ABS(G51),'Baseline System Analysis'!G14)*G64*1000*'Cost Assumptions'!$B$6)*'Cost Assumptions'!$B$13))</f>
        <v>0</v>
      </c>
      <c r="H79" s="63">
        <f>ABS(((MIN(ABS(H51),'Baseline System Analysis'!H14)*H64*1000*'Cost Assumptions'!$B$6)*'Cost Assumptions'!$B$13))</f>
        <v>0</v>
      </c>
      <c r="I79" s="63">
        <f>ABS(((MIN(ABS(I51),'Baseline System Analysis'!I14)*I64*1000*'Cost Assumptions'!$B$6)*'Cost Assumptions'!$B$13))</f>
        <v>0</v>
      </c>
      <c r="J79" s="63">
        <f>ABS(((MIN(ABS(J51),'Baseline System Analysis'!J14)*J64*1000*'Cost Assumptions'!$B$6)*'Cost Assumptions'!$B$13))</f>
        <v>0</v>
      </c>
      <c r="K79" s="63">
        <f>ABS(((MIN(ABS(K51),'Baseline System Analysis'!K14)*K64*1000*'Cost Assumptions'!$B$6)*'Cost Assumptions'!$B$13))</f>
        <v>0</v>
      </c>
      <c r="L79" s="63">
        <f>ABS(((MIN(ABS(L51),'Baseline System Analysis'!L14)*L64*1000*'Cost Assumptions'!$B$6)*'Cost Assumptions'!$B$13))</f>
        <v>0</v>
      </c>
      <c r="M79" s="63">
        <f>ABS(((MIN(ABS(M51),'Baseline System Analysis'!M14)*M64*1000*'Cost Assumptions'!$B$6)*'Cost Assumptions'!$B$13))</f>
        <v>0</v>
      </c>
      <c r="N79" s="63">
        <f>ABS(((MIN(ABS(N51),'Baseline System Analysis'!N14)*N64*1000*'Cost Assumptions'!$B$6)*'Cost Assumptions'!$B$13))</f>
        <v>0</v>
      </c>
      <c r="O79" s="63">
        <f>ABS(((MIN(ABS(O51),'Baseline System Analysis'!O14)*O64*1000*'Cost Assumptions'!$B$6)*'Cost Assumptions'!$B$13))</f>
        <v>0</v>
      </c>
      <c r="P79" s="63">
        <f>ABS(((MIN(ABS(P51),'Baseline System Analysis'!P14)*P64*1000*'Cost Assumptions'!$B$6)*'Cost Assumptions'!$B$13))</f>
        <v>0</v>
      </c>
      <c r="Q79" s="63">
        <f>ABS(((MIN(ABS(Q51),'Baseline System Analysis'!Q14)*Q64*1000*'Cost Assumptions'!$B$6)*'Cost Assumptions'!$B$13))</f>
        <v>0</v>
      </c>
      <c r="R79" s="63">
        <f>ABS(((MIN(ABS(R51),'Baseline System Analysis'!R14)*R64*1000*'Cost Assumptions'!$B$6)*'Cost Assumptions'!$B$13))</f>
        <v>0</v>
      </c>
      <c r="S79" s="63">
        <f>ABS(((MIN(ABS(S51),'Baseline System Analysis'!S14)*S64*1000*'Cost Assumptions'!$B$6)*'Cost Assumptions'!$B$13))</f>
        <v>0</v>
      </c>
      <c r="T79" s="63">
        <f>ABS(((MIN(ABS(T51),'Baseline System Analysis'!T14)*T64*1000*'Cost Assumptions'!$B$6)*'Cost Assumptions'!$B$13))</f>
        <v>0</v>
      </c>
      <c r="U79" s="63">
        <f>ABS(((MIN(ABS(U51),'Baseline System Analysis'!U14)*U64*1000*'Cost Assumptions'!$B$6)*'Cost Assumptions'!$B$13))</f>
        <v>0</v>
      </c>
      <c r="V79" s="63">
        <f>ABS(((MIN(ABS(V51),'Baseline System Analysis'!V14)*V64*1000*'Cost Assumptions'!$B$6)*'Cost Assumptions'!$B$13))</f>
        <v>0</v>
      </c>
      <c r="W79" s="63">
        <f>ABS(((MIN(ABS(W51),'Baseline System Analysis'!W14)*W64*1000*'Cost Assumptions'!$B$6)*'Cost Assumptions'!$B$13))</f>
        <v>0</v>
      </c>
      <c r="X79" s="63">
        <f>ABS(((MIN(ABS(X51),'Baseline System Analysis'!X14)*X64*1000*'Cost Assumptions'!$B$6)*'Cost Assumptions'!$B$13))</f>
        <v>0</v>
      </c>
      <c r="Y79" s="63">
        <f>ABS(((MIN(ABS(Y51),'Baseline System Analysis'!Y14)*Y64*1000*'Cost Assumptions'!$B$6)*'Cost Assumptions'!$B$13))</f>
        <v>0</v>
      </c>
      <c r="Z79" s="63">
        <f>ABS(((MIN(ABS(Z51),'Baseline System Analysis'!Z14)*Z64*1000*'Cost Assumptions'!$B$6)*'Cost Assumptions'!$B$13))</f>
        <v>0</v>
      </c>
      <c r="AA79" s="63">
        <f>ABS(((MIN(ABS(AA51),'Baseline System Analysis'!AA14)*AA64*1000*'Cost Assumptions'!$B$6)*'Cost Assumptions'!$B$13))</f>
        <v>0</v>
      </c>
      <c r="AB79" s="63">
        <f>ABS(((MIN(ABS(AB51),'Baseline System Analysis'!AB14)*AB64*1000*'Cost Assumptions'!$B$6)*'Cost Assumptions'!$B$13))</f>
        <v>0</v>
      </c>
      <c r="AC79" s="63">
        <f>ABS(((MIN(ABS(AC51),'Baseline System Analysis'!AC14)*AC64*1000*'Cost Assumptions'!$B$6)*'Cost Assumptions'!$B$13))</f>
        <v>0</v>
      </c>
      <c r="AD79" s="63">
        <f>ABS(((MIN(ABS(AD51),'Baseline System Analysis'!AD14)*AD64*1000*'Cost Assumptions'!$B$6)*'Cost Assumptions'!$B$13))</f>
        <v>0</v>
      </c>
    </row>
    <row r="80" spans="1:30" s="62" customFormat="1" ht="29" x14ac:dyDescent="0.35">
      <c r="A80" s="3" t="s">
        <v>159</v>
      </c>
      <c r="B80" s="88" t="s">
        <v>164</v>
      </c>
      <c r="C80" s="20">
        <f>NPV('Cost Assumptions'!$B$3,D80:AD80)</f>
        <v>0</v>
      </c>
      <c r="D80" s="63">
        <f>SUM(D78:D79)</f>
        <v>0</v>
      </c>
      <c r="E80" s="63">
        <f t="shared" ref="E80:AD80" si="66">SUM(E78:E79)</f>
        <v>0</v>
      </c>
      <c r="F80" s="63">
        <f t="shared" si="66"/>
        <v>0</v>
      </c>
      <c r="G80" s="63">
        <f t="shared" si="66"/>
        <v>0</v>
      </c>
      <c r="H80" s="63">
        <f t="shared" si="66"/>
        <v>0</v>
      </c>
      <c r="I80" s="63">
        <f t="shared" si="66"/>
        <v>0</v>
      </c>
      <c r="J80" s="63">
        <f t="shared" si="66"/>
        <v>0</v>
      </c>
      <c r="K80" s="63">
        <f t="shared" si="66"/>
        <v>0</v>
      </c>
      <c r="L80" s="63">
        <f t="shared" si="66"/>
        <v>0</v>
      </c>
      <c r="M80" s="63">
        <f t="shared" si="66"/>
        <v>0</v>
      </c>
      <c r="N80" s="63">
        <f t="shared" si="66"/>
        <v>0</v>
      </c>
      <c r="O80" s="63">
        <f t="shared" si="66"/>
        <v>0</v>
      </c>
      <c r="P80" s="63">
        <f t="shared" si="66"/>
        <v>0</v>
      </c>
      <c r="Q80" s="63">
        <f t="shared" si="66"/>
        <v>0</v>
      </c>
      <c r="R80" s="63">
        <f t="shared" si="66"/>
        <v>0</v>
      </c>
      <c r="S80" s="63">
        <f t="shared" si="66"/>
        <v>0</v>
      </c>
      <c r="T80" s="63">
        <f t="shared" si="66"/>
        <v>0</v>
      </c>
      <c r="U80" s="63">
        <f t="shared" si="66"/>
        <v>0</v>
      </c>
      <c r="V80" s="63">
        <f t="shared" si="66"/>
        <v>0</v>
      </c>
      <c r="W80" s="63">
        <f t="shared" si="66"/>
        <v>0</v>
      </c>
      <c r="X80" s="63">
        <f t="shared" si="66"/>
        <v>0</v>
      </c>
      <c r="Y80" s="63">
        <f t="shared" si="66"/>
        <v>0</v>
      </c>
      <c r="Z80" s="63">
        <f t="shared" si="66"/>
        <v>0</v>
      </c>
      <c r="AA80" s="63">
        <f t="shared" si="66"/>
        <v>0</v>
      </c>
      <c r="AB80" s="63">
        <f t="shared" si="66"/>
        <v>0</v>
      </c>
      <c r="AC80" s="63">
        <f t="shared" si="66"/>
        <v>0</v>
      </c>
      <c r="AD80" s="63">
        <f t="shared" si="66"/>
        <v>0</v>
      </c>
    </row>
    <row r="81" spans="1:30" s="62" customFormat="1" x14ac:dyDescent="0.35">
      <c r="A81" s="3"/>
      <c r="B81" s="88"/>
      <c r="C81" s="20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2" customFormat="1" ht="29" x14ac:dyDescent="0.35">
      <c r="A82" s="3" t="s">
        <v>160</v>
      </c>
      <c r="B82" s="88" t="s">
        <v>161</v>
      </c>
      <c r="C82" s="20">
        <f>NPV('Cost Assumptions'!$B$3,D82:AD82)</f>
        <v>175568847.88828719</v>
      </c>
      <c r="D82" s="63">
        <f>('Baseline System Analysis'!D42-D37)</f>
        <v>11220653.292733105</v>
      </c>
      <c r="E82" s="63">
        <f>('Baseline System Analysis'!E42-E37)</f>
        <v>12144894.242926663</v>
      </c>
      <c r="F82" s="63">
        <f>('Baseline System Analysis'!F42-F37)</f>
        <v>12786906.835430916</v>
      </c>
      <c r="G82" s="63">
        <f>('Baseline System Analysis'!G42-G37)</f>
        <v>13548988.63648127</v>
      </c>
      <c r="H82" s="63">
        <f>('Baseline System Analysis'!H42-H37)</f>
        <v>14198598.168851539</v>
      </c>
      <c r="I82" s="63">
        <f>('Baseline System Analysis'!I42-I37)</f>
        <v>15000919.041780714</v>
      </c>
      <c r="J82" s="63">
        <f>('Baseline System Analysis'!J42-J37)</f>
        <v>15909040.459199362</v>
      </c>
      <c r="K82" s="63">
        <f>('Baseline System Analysis'!K42-K37)</f>
        <v>16834711.499928072</v>
      </c>
      <c r="L82" s="63">
        <f>('Baseline System Analysis'!L42-L37)</f>
        <v>17913721.538628906</v>
      </c>
      <c r="M82" s="63">
        <f>('Baseline System Analysis'!M42-M37)</f>
        <v>19199934.429166906</v>
      </c>
      <c r="N82" s="63">
        <f>('Baseline System Analysis'!N42-N37)</f>
        <v>20113909.105925448</v>
      </c>
      <c r="O82" s="63">
        <f>('Baseline System Analysis'!O42-O37)</f>
        <v>21304230.047225248</v>
      </c>
      <c r="P82" s="63">
        <f>('Baseline System Analysis'!P42-P37)</f>
        <v>22569755.278816275</v>
      </c>
      <c r="Q82" s="63">
        <f>('Baseline System Analysis'!Q42-Q37)</f>
        <v>23956380.495810196</v>
      </c>
      <c r="R82" s="63">
        <f>('Baseline System Analysis'!R42-R37)</f>
        <v>25296897.755682193</v>
      </c>
      <c r="S82" s="63">
        <f>('Baseline System Analysis'!S42-S37)</f>
        <v>26952539.311523363</v>
      </c>
      <c r="T82" s="63">
        <f>('Baseline System Analysis'!T42-T37)</f>
        <v>28393160.81304479</v>
      </c>
      <c r="U82" s="63">
        <f>('Baseline System Analysis'!U42-U37)</f>
        <v>29763730.613962401</v>
      </c>
      <c r="V82" s="63">
        <f>('Baseline System Analysis'!V42-V37)</f>
        <v>31534269.371617243</v>
      </c>
      <c r="W82" s="63">
        <f>('Baseline System Analysis'!W42-W37)</f>
        <v>33150927.659656551</v>
      </c>
      <c r="X82" s="63">
        <f>('Baseline System Analysis'!X42-X37)</f>
        <v>34881141.395379439</v>
      </c>
      <c r="Y82" s="63">
        <f>('Baseline System Analysis'!Y42-Y37)</f>
        <v>36682729.525877863</v>
      </c>
      <c r="Z82" s="63">
        <f>('Baseline System Analysis'!Z42-Z37)</f>
        <v>38269131.449534416</v>
      </c>
      <c r="AA82" s="63">
        <f>('Baseline System Analysis'!AA42-AA37)</f>
        <v>40074160.347676061</v>
      </c>
      <c r="AB82" s="63">
        <f>('Baseline System Analysis'!AB42-AB37)</f>
        <v>41880907.301161543</v>
      </c>
      <c r="AC82" s="63">
        <f>('Baseline System Analysis'!AC42-AC37)</f>
        <v>43418755.626572527</v>
      </c>
      <c r="AD82" s="63">
        <f>('Baseline System Analysis'!AD42-AD37)</f>
        <v>45077255.178914092</v>
      </c>
    </row>
    <row r="83" spans="1:30" s="62" customFormat="1" x14ac:dyDescent="0.35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</row>
    <row r="84" spans="1:30" s="62" customFormat="1" ht="20" thickBot="1" x14ac:dyDescent="0.5">
      <c r="A84" s="142" t="s">
        <v>74</v>
      </c>
      <c r="B84" s="171"/>
      <c r="C84" s="20">
        <f>NPV('Cost Assumptions'!$B$3,D84:AD84)/1000000</f>
        <v>2149.1179843608456</v>
      </c>
      <c r="D84" s="63">
        <f>SUM(D68,D72,D76,D80,D82)</f>
        <v>46187261.916352428</v>
      </c>
      <c r="E84" s="63">
        <f t="shared" ref="E84:AD84" si="67">SUM(E68,E72,E76,E80,E82)</f>
        <v>61031031.693460926</v>
      </c>
      <c r="F84" s="63">
        <f t="shared" si="67"/>
        <v>75823629.569796115</v>
      </c>
      <c r="G84" s="63">
        <f t="shared" si="67"/>
        <v>91446847.091918051</v>
      </c>
      <c r="H84" s="63">
        <f t="shared" si="67"/>
        <v>107619181.64635612</v>
      </c>
      <c r="I84" s="63">
        <f t="shared" si="67"/>
        <v>123193856.00598106</v>
      </c>
      <c r="J84" s="63">
        <f t="shared" si="67"/>
        <v>142104097.4590424</v>
      </c>
      <c r="K84" s="63">
        <f t="shared" si="67"/>
        <v>162253656.99662918</v>
      </c>
      <c r="L84" s="63">
        <f t="shared" si="67"/>
        <v>184786151.83787629</v>
      </c>
      <c r="M84" s="63">
        <f t="shared" si="67"/>
        <v>202904119.47738755</v>
      </c>
      <c r="N84" s="63">
        <f t="shared" si="67"/>
        <v>226309678.22715202</v>
      </c>
      <c r="O84" s="63">
        <f t="shared" si="67"/>
        <v>251078837.0440945</v>
      </c>
      <c r="P84" s="63">
        <f t="shared" si="67"/>
        <v>279722240.59804153</v>
      </c>
      <c r="Q84" s="63">
        <f t="shared" si="67"/>
        <v>309368721.66840869</v>
      </c>
      <c r="R84" s="63">
        <f t="shared" si="67"/>
        <v>343261976.98555982</v>
      </c>
      <c r="S84" s="63">
        <f t="shared" si="67"/>
        <v>380787037.87720484</v>
      </c>
      <c r="T84" s="63">
        <f t="shared" si="67"/>
        <v>421586541.23168445</v>
      </c>
      <c r="U84" s="63">
        <f t="shared" si="67"/>
        <v>466099689.45136887</v>
      </c>
      <c r="V84" s="63">
        <f t="shared" si="67"/>
        <v>503699706.82440013</v>
      </c>
      <c r="W84" s="63">
        <f t="shared" si="67"/>
        <v>546710226.09484112</v>
      </c>
      <c r="X84" s="63">
        <f t="shared" si="67"/>
        <v>592000949.71680212</v>
      </c>
      <c r="Y84" s="63">
        <f t="shared" si="67"/>
        <v>713846246.3255887</v>
      </c>
      <c r="Z84" s="63">
        <f t="shared" si="67"/>
        <v>841390261.08984983</v>
      </c>
      <c r="AA84" s="63">
        <f t="shared" si="67"/>
        <v>976507521.06106973</v>
      </c>
      <c r="AB84" s="63">
        <f t="shared" si="67"/>
        <v>1120013733.6276264</v>
      </c>
      <c r="AC84" s="63">
        <f t="shared" si="67"/>
        <v>1264445078.1292262</v>
      </c>
      <c r="AD84" s="63">
        <f t="shared" si="67"/>
        <v>1412018660.7138209</v>
      </c>
    </row>
    <row r="85" spans="1:30" s="62" customFormat="1" ht="20.5" thickTop="1" thickBot="1" x14ac:dyDescent="0.5">
      <c r="A85" s="142" t="s">
        <v>169</v>
      </c>
      <c r="B85" s="142"/>
      <c r="C85" s="20">
        <f>NPV('Cost Assumptions'!$B$3,D85:AD85)/1000000</f>
        <v>2149.3891958148247</v>
      </c>
      <c r="D85" s="63">
        <f>D84+D44</f>
        <v>46200813.916352391</v>
      </c>
      <c r="E85" s="63">
        <f>E84+E44</f>
        <v>61046099.154037818</v>
      </c>
      <c r="F85" s="63">
        <f t="shared" ref="F85:AD85" si="68">F84+F44</f>
        <v>75840279.793978781</v>
      </c>
      <c r="G85" s="63">
        <f t="shared" si="68"/>
        <v>91465149.80072391</v>
      </c>
      <c r="H85" s="63">
        <f t="shared" si="68"/>
        <v>107639209.05762622</v>
      </c>
      <c r="I85" s="63">
        <f t="shared" si="68"/>
        <v>123215682.91564561</v>
      </c>
      <c r="J85" s="63">
        <f>J84+J44</f>
        <v>142127801.32488909</v>
      </c>
      <c r="K85" s="63">
        <f t="shared" si="68"/>
        <v>162279318.02464858</v>
      </c>
      <c r="L85" s="63">
        <f t="shared" si="68"/>
        <v>184813853.07126084</v>
      </c>
      <c r="M85" s="63">
        <f t="shared" si="68"/>
        <v>202933946.88826305</v>
      </c>
      <c r="N85" s="63">
        <f t="shared" si="68"/>
        <v>226341720.81112212</v>
      </c>
      <c r="O85" s="63">
        <f t="shared" si="68"/>
        <v>251113186.91768214</v>
      </c>
      <c r="P85" s="63">
        <f t="shared" si="68"/>
        <v>279758993.09911263</v>
      </c>
      <c r="Q85" s="63">
        <f t="shared" si="68"/>
        <v>309407975.45966637</v>
      </c>
      <c r="R85" s="63">
        <f t="shared" si="68"/>
        <v>343303834.16120028</v>
      </c>
      <c r="S85" s="63">
        <f t="shared" si="68"/>
        <v>380831604.0728277</v>
      </c>
      <c r="T85" s="63">
        <f t="shared" si="68"/>
        <v>421633925.73755401</v>
      </c>
      <c r="U85" s="63">
        <f t="shared" si="68"/>
        <v>466150005.32912523</v>
      </c>
      <c r="V85" s="63">
        <f t="shared" si="68"/>
        <v>503753071.02732146</v>
      </c>
      <c r="W85" s="63">
        <f t="shared" si="68"/>
        <v>546766759.59176207</v>
      </c>
      <c r="X85" s="63">
        <f t="shared" si="68"/>
        <v>592060777.6197958</v>
      </c>
      <c r="Y85" s="63">
        <f t="shared" si="68"/>
        <v>713909819.94137812</v>
      </c>
      <c r="Z85" s="63">
        <f t="shared" si="68"/>
        <v>841457730.31163526</v>
      </c>
      <c r="AA85" s="63">
        <f t="shared" si="68"/>
        <v>976579040.93564117</v>
      </c>
      <c r="AB85" s="63">
        <f t="shared" si="68"/>
        <v>1120089464.5193596</v>
      </c>
      <c r="AC85" s="63">
        <f t="shared" si="68"/>
        <v>1264525185.8890576</v>
      </c>
      <c r="AD85" s="63">
        <f t="shared" si="68"/>
        <v>1412103316.853348</v>
      </c>
    </row>
    <row r="86" spans="1:30" ht="15" thickTop="1" x14ac:dyDescent="0.3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20" thickBot="1" x14ac:dyDescent="0.5">
      <c r="A87" s="142" t="s">
        <v>163</v>
      </c>
      <c r="B87" s="142"/>
      <c r="C87" s="20">
        <f>Summary!$D$16</f>
        <v>358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15" thickTop="1" x14ac:dyDescent="0.35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20" thickBot="1" x14ac:dyDescent="0.5">
      <c r="A89" s="142" t="s">
        <v>7</v>
      </c>
      <c r="B89" s="142"/>
      <c r="C89" s="53">
        <f>C85/C87</f>
        <v>6.0038804352369404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ht="15" thickTop="1" x14ac:dyDescent="0.35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</row>
    <row r="91" spans="1:30" s="62" customFormat="1" ht="42.65" customHeight="1" thickBot="1" x14ac:dyDescent="0.5">
      <c r="A91" s="170" t="s">
        <v>168</v>
      </c>
      <c r="B91" s="170"/>
      <c r="C91" s="88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>
        <v>4674.8682420433443</v>
      </c>
      <c r="T91" s="63">
        <v>5709.6205598093984</v>
      </c>
      <c r="U91" s="63">
        <v>6744.3728775754516</v>
      </c>
      <c r="V91" s="63">
        <v>7779.1251953415049</v>
      </c>
      <c r="W91" s="63">
        <v>8813.8775131075581</v>
      </c>
      <c r="X91" s="63">
        <v>9848.6298308736114</v>
      </c>
      <c r="Y91" s="63">
        <v>10883.382148639666</v>
      </c>
      <c r="Z91" s="63">
        <v>11838.201579497992</v>
      </c>
      <c r="AA91" s="63">
        <v>12793.021010356319</v>
      </c>
      <c r="AB91" s="63">
        <v>13747.840441214646</v>
      </c>
      <c r="AC91" s="63">
        <v>13897.710490663892</v>
      </c>
      <c r="AD91" s="63">
        <v>14047.58054011314</v>
      </c>
    </row>
    <row r="92" spans="1:30" ht="15" thickTop="1" x14ac:dyDescent="0.35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</row>
    <row r="93" spans="1:30" x14ac:dyDescent="0.35">
      <c r="A93" s="88"/>
      <c r="B93" s="88"/>
      <c r="C93" s="7">
        <v>5.3189499999999992</v>
      </c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</row>
    <row r="94" spans="1:30" x14ac:dyDescent="0.35">
      <c r="A94" s="88"/>
      <c r="B94" s="88"/>
      <c r="C94" s="7">
        <v>278.47349338319282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  <row r="95" spans="1:30" x14ac:dyDescent="0.35">
      <c r="A95" s="88"/>
      <c r="B95" s="88"/>
      <c r="C95" s="7">
        <v>0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</row>
    <row r="96" spans="1:30" x14ac:dyDescent="0.35">
      <c r="A96" s="88"/>
      <c r="B96" s="88"/>
      <c r="C96" s="7">
        <v>1848.6795152685604</v>
      </c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</row>
    <row r="97" spans="3:3" x14ac:dyDescent="0.35">
      <c r="C97" s="7">
        <v>56.580700000000007</v>
      </c>
    </row>
  </sheetData>
  <mergeCells count="8">
    <mergeCell ref="B2:B15"/>
    <mergeCell ref="B18:B32"/>
    <mergeCell ref="A91:B91"/>
    <mergeCell ref="A59:AD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D98"/>
  <sheetViews>
    <sheetView zoomScale="84" zoomScaleNormal="84" workbookViewId="0"/>
  </sheetViews>
  <sheetFormatPr defaultRowHeight="14.5" x14ac:dyDescent="0.35"/>
  <cols>
    <col min="1" max="1" width="18.7265625" customWidth="1"/>
    <col min="2" max="2" width="26.7265625" bestFit="1" customWidth="1"/>
    <col min="3" max="3" width="22.81640625" customWidth="1"/>
    <col min="4" max="4" width="14.453125" bestFit="1" customWidth="1"/>
    <col min="5" max="6" width="13.81640625" bestFit="1" customWidth="1"/>
    <col min="7" max="7" width="15.26953125" customWidth="1"/>
    <col min="8" max="8" width="14.7265625" bestFit="1" customWidth="1"/>
    <col min="9" max="9" width="13.81640625" bestFit="1" customWidth="1"/>
    <col min="10" max="10" width="14.7265625" bestFit="1" customWidth="1"/>
    <col min="11" max="13" width="14.453125" bestFit="1" customWidth="1"/>
    <col min="14" max="18" width="14.7265625" bestFit="1" customWidth="1"/>
    <col min="19" max="21" width="14.453125" bestFit="1" customWidth="1"/>
    <col min="22" max="27" width="15" bestFit="1" customWidth="1"/>
    <col min="28" max="28" width="15.1796875" bestFit="1" customWidth="1"/>
    <col min="29" max="30" width="15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3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5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5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5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5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5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5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5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5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5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5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5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5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5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60.65" customHeight="1" thickTop="1" x14ac:dyDescent="0.35">
      <c r="A18" s="88"/>
      <c r="B18" s="168" t="s">
        <v>19</v>
      </c>
      <c r="C18" s="88" t="s">
        <v>120</v>
      </c>
      <c r="D18" s="63">
        <v>49328.200000000405</v>
      </c>
      <c r="E18" s="63">
        <v>49736.291346154219</v>
      </c>
      <c r="F18" s="63">
        <v>50144.382692308034</v>
      </c>
      <c r="G18" s="63">
        <v>50552.474038461849</v>
      </c>
      <c r="H18" s="63">
        <v>50960.565384615664</v>
      </c>
      <c r="I18" s="63">
        <v>51368.656730769479</v>
      </c>
      <c r="J18" s="63">
        <v>51776.748076923293</v>
      </c>
      <c r="K18" s="63">
        <v>52184.839423077108</v>
      </c>
      <c r="L18" s="63">
        <v>52592.930769230923</v>
      </c>
      <c r="M18" s="63">
        <v>53001.022115384738</v>
      </c>
      <c r="N18" s="63">
        <v>53409.113461538553</v>
      </c>
      <c r="O18" s="63">
        <v>53817.204807692367</v>
      </c>
      <c r="P18" s="63">
        <v>54225.296153846182</v>
      </c>
      <c r="Q18" s="63">
        <v>54633.387499999997</v>
      </c>
      <c r="R18" s="63">
        <v>55041.478846153812</v>
      </c>
      <c r="S18" s="63">
        <v>55449.570192307627</v>
      </c>
      <c r="T18" s="63">
        <v>55857.661538461442</v>
      </c>
      <c r="U18" s="63">
        <v>56265.752884615256</v>
      </c>
      <c r="V18" s="63">
        <v>56673.844230769071</v>
      </c>
      <c r="W18" s="63">
        <v>57081.935576922886</v>
      </c>
      <c r="X18" s="63">
        <v>57490.026923076701</v>
      </c>
      <c r="Y18" s="63">
        <v>57893.326602563844</v>
      </c>
      <c r="Z18" s="63">
        <v>58296.626282050987</v>
      </c>
      <c r="AA18" s="63">
        <v>58699.925961538131</v>
      </c>
      <c r="AB18" s="63">
        <v>59103.225641025274</v>
      </c>
      <c r="AC18" s="63">
        <v>59506.525320512417</v>
      </c>
      <c r="AD18" s="63">
        <v>59909.824999999582</v>
      </c>
    </row>
    <row r="19" spans="1:30" x14ac:dyDescent="0.35">
      <c r="A19" s="88" t="s">
        <v>30</v>
      </c>
      <c r="B19" s="169"/>
      <c r="C19" s="88" t="s">
        <v>31</v>
      </c>
      <c r="D19" s="63">
        <v>5.0999999999999943</v>
      </c>
      <c r="E19" s="61">
        <f>D19+(($J19-$D19)/(COLUMN($J19)-COLUMN($D19)))</f>
        <v>14.066666666666663</v>
      </c>
      <c r="F19" s="61">
        <f t="shared" ref="F19:I19" si="0">E19+(($J19-$D19)/(COLUMN($J19)-COLUMN($D19)))</f>
        <v>23.033333333333331</v>
      </c>
      <c r="G19" s="61">
        <f t="shared" si="0"/>
        <v>32</v>
      </c>
      <c r="H19" s="61">
        <f t="shared" si="0"/>
        <v>40.966666666666669</v>
      </c>
      <c r="I19" s="61">
        <f t="shared" si="0"/>
        <v>49.933333333333337</v>
      </c>
      <c r="J19" s="63">
        <v>58.900000000000006</v>
      </c>
      <c r="K19" s="61">
        <f>J19+(($N19-$J19)/(COLUMN($N19)-COLUMN($J19)))</f>
        <v>80.775000000000006</v>
      </c>
      <c r="L19" s="61">
        <f t="shared" ref="L19:M19" si="1">K19+(($N19-$J19)/(COLUMN($N19)-COLUMN($J19)))</f>
        <v>102.65</v>
      </c>
      <c r="M19" s="61">
        <f t="shared" si="1"/>
        <v>124.52500000000001</v>
      </c>
      <c r="N19" s="63">
        <v>146.40000000000003</v>
      </c>
      <c r="O19" s="61">
        <v>191.09999999999997</v>
      </c>
      <c r="P19" s="61">
        <f t="shared" ref="P19:S23" si="2">O19+(($T19-$N19)/(COLUMN($T19)-COLUMN($N19)))</f>
        <v>267.45</v>
      </c>
      <c r="Q19" s="61">
        <f t="shared" si="2"/>
        <v>343.8</v>
      </c>
      <c r="R19" s="61">
        <f t="shared" si="2"/>
        <v>420.15000000000003</v>
      </c>
      <c r="S19" s="61">
        <f t="shared" si="2"/>
        <v>496.50000000000006</v>
      </c>
      <c r="T19" s="61">
        <v>604.50000000000023</v>
      </c>
      <c r="U19" s="61">
        <f>T19+(($Y19-$T19)/(COLUMN($Y19)-COLUMN($T19)))</f>
        <v>742.60000000000025</v>
      </c>
      <c r="V19" s="61">
        <f t="shared" ref="V19:X19" si="3">U19+(($Y19-$T19)/(COLUMN($Y19)-COLUMN($T19)))</f>
        <v>880.70000000000027</v>
      </c>
      <c r="W19" s="61">
        <f t="shared" si="3"/>
        <v>1018.8000000000003</v>
      </c>
      <c r="X19" s="61">
        <f t="shared" si="3"/>
        <v>1156.9000000000003</v>
      </c>
      <c r="Y19" s="63">
        <v>1295.0000000000002</v>
      </c>
      <c r="Z19" s="61">
        <f>Y19+(($AD19-$Y19)/(COLUMN($AD19)-COLUMN($Y19)))</f>
        <v>1414.6000000000001</v>
      </c>
      <c r="AA19" s="61">
        <f t="shared" ref="AA19:AC19" si="4">Z19+(($AD19-$Y19)/(COLUMN($AD19)-COLUMN($Y19)))</f>
        <v>1534.2</v>
      </c>
      <c r="AB19" s="61">
        <f t="shared" si="4"/>
        <v>1653.8</v>
      </c>
      <c r="AC19" s="61">
        <f t="shared" si="4"/>
        <v>1773.3999999999999</v>
      </c>
      <c r="AD19" s="63">
        <v>1892.9999999999995</v>
      </c>
    </row>
    <row r="20" spans="1:30" x14ac:dyDescent="0.35">
      <c r="A20" s="88" t="s">
        <v>30</v>
      </c>
      <c r="B20" s="169"/>
      <c r="C20" s="88" t="s">
        <v>32</v>
      </c>
      <c r="D20" s="63">
        <v>3</v>
      </c>
      <c r="E20" s="61">
        <f t="shared" ref="E20:I23" si="5">D20+(($J20-$D20)/(COLUMN($J20)-COLUMN($D20)))</f>
        <v>4.8833333333333355</v>
      </c>
      <c r="F20" s="61">
        <f t="shared" si="5"/>
        <v>6.766666666666671</v>
      </c>
      <c r="G20" s="61">
        <f t="shared" si="5"/>
        <v>8.6500000000000057</v>
      </c>
      <c r="H20" s="61">
        <f t="shared" si="5"/>
        <v>10.53333333333334</v>
      </c>
      <c r="I20" s="61">
        <f t="shared" si="5"/>
        <v>12.416666666666675</v>
      </c>
      <c r="J20" s="63">
        <v>14.300000000000011</v>
      </c>
      <c r="K20" s="61">
        <f t="shared" ref="K20:M23" si="6">J20+(($N20-$J20)/(COLUMN($N20)-COLUMN($J20)))</f>
        <v>16.775000000000006</v>
      </c>
      <c r="L20" s="61">
        <f t="shared" si="6"/>
        <v>19.25</v>
      </c>
      <c r="M20" s="61">
        <f t="shared" si="6"/>
        <v>21.724999999999994</v>
      </c>
      <c r="N20" s="63">
        <v>24.199999999999989</v>
      </c>
      <c r="O20" s="61">
        <v>27.699999999999989</v>
      </c>
      <c r="P20" s="61">
        <f t="shared" si="2"/>
        <v>30.016666666666662</v>
      </c>
      <c r="Q20" s="61">
        <f t="shared" si="2"/>
        <v>32.333333333333336</v>
      </c>
      <c r="R20" s="61">
        <f t="shared" si="2"/>
        <v>34.650000000000006</v>
      </c>
      <c r="S20" s="61">
        <f t="shared" si="2"/>
        <v>36.966666666666676</v>
      </c>
      <c r="T20" s="61">
        <v>38.100000000000023</v>
      </c>
      <c r="U20" s="61">
        <f t="shared" ref="U20:X23" si="7">T20+(($Y20-$T20)/(COLUMN($Y20)-COLUMN($T20)))</f>
        <v>39.960000000000015</v>
      </c>
      <c r="V20" s="61">
        <f t="shared" si="7"/>
        <v>41.820000000000007</v>
      </c>
      <c r="W20" s="61">
        <f t="shared" si="7"/>
        <v>43.68</v>
      </c>
      <c r="X20" s="61">
        <f t="shared" si="7"/>
        <v>45.539999999999992</v>
      </c>
      <c r="Y20" s="63">
        <v>47.399999999999977</v>
      </c>
      <c r="Z20" s="61">
        <f t="shared" ref="Z20:AC23" si="8">Y20+(($AD20-$Y20)/(COLUMN($AD20)-COLUMN($Y20)))</f>
        <v>53.699999999999989</v>
      </c>
      <c r="AA20" s="61">
        <f t="shared" si="8"/>
        <v>60</v>
      </c>
      <c r="AB20" s="61">
        <f t="shared" si="8"/>
        <v>66.300000000000011</v>
      </c>
      <c r="AC20" s="61">
        <f t="shared" si="8"/>
        <v>72.600000000000023</v>
      </c>
      <c r="AD20" s="63">
        <v>78.900000000000034</v>
      </c>
    </row>
    <row r="21" spans="1:30" x14ac:dyDescent="0.35">
      <c r="A21" s="88" t="s">
        <v>30</v>
      </c>
      <c r="B21" s="169"/>
      <c r="C21" s="88" t="s">
        <v>33</v>
      </c>
      <c r="D21" s="63">
        <v>1.397587305708712E-2</v>
      </c>
      <c r="E21" s="61">
        <f t="shared" si="5"/>
        <v>8.33832862022508E-2</v>
      </c>
      <c r="F21" s="61">
        <f t="shared" si="5"/>
        <v>0.15279069934741449</v>
      </c>
      <c r="G21" s="61">
        <f t="shared" si="5"/>
        <v>0.22219811249257818</v>
      </c>
      <c r="H21" s="61">
        <f t="shared" si="5"/>
        <v>0.29160552563774189</v>
      </c>
      <c r="I21" s="61">
        <f t="shared" si="5"/>
        <v>0.36101293878290558</v>
      </c>
      <c r="J21" s="63">
        <v>0.43042035192806927</v>
      </c>
      <c r="K21" s="61">
        <f t="shared" si="6"/>
        <v>0.79086999299516636</v>
      </c>
      <c r="L21" s="61">
        <f t="shared" si="6"/>
        <v>1.1513196340622636</v>
      </c>
      <c r="M21" s="61">
        <f t="shared" si="6"/>
        <v>1.5117692751293608</v>
      </c>
      <c r="N21" s="63">
        <v>1.8722189161964575</v>
      </c>
      <c r="O21" s="61">
        <v>3.2625528125828405</v>
      </c>
      <c r="P21" s="61">
        <f t="shared" si="2"/>
        <v>6.3550229494690882</v>
      </c>
      <c r="Q21" s="61">
        <f t="shared" si="2"/>
        <v>9.447493086355335</v>
      </c>
      <c r="R21" s="61">
        <f t="shared" si="2"/>
        <v>12.539963223241582</v>
      </c>
      <c r="S21" s="61">
        <f t="shared" si="2"/>
        <v>15.632433360127829</v>
      </c>
      <c r="T21" s="61">
        <v>20.427039737513944</v>
      </c>
      <c r="U21" s="61">
        <f t="shared" si="7"/>
        <v>30.400121951873714</v>
      </c>
      <c r="V21" s="61">
        <f t="shared" si="7"/>
        <v>40.373204166233485</v>
      </c>
      <c r="W21" s="61">
        <f t="shared" si="7"/>
        <v>50.346286380593256</v>
      </c>
      <c r="X21" s="61">
        <f t="shared" si="7"/>
        <v>60.319368594953026</v>
      </c>
      <c r="Y21" s="63">
        <v>70.292450809312797</v>
      </c>
      <c r="Z21" s="61">
        <f t="shared" si="8"/>
        <v>84.683450662259389</v>
      </c>
      <c r="AA21" s="61">
        <f t="shared" si="8"/>
        <v>99.074450515205982</v>
      </c>
      <c r="AB21" s="61">
        <f t="shared" si="8"/>
        <v>113.46545036815257</v>
      </c>
      <c r="AC21" s="61">
        <f t="shared" si="8"/>
        <v>127.85645022109917</v>
      </c>
      <c r="AD21" s="63">
        <v>142.24745007404579</v>
      </c>
    </row>
    <row r="22" spans="1:30" x14ac:dyDescent="0.35">
      <c r="A22" s="88" t="s">
        <v>30</v>
      </c>
      <c r="B22" s="169"/>
      <c r="C22" s="88" t="s">
        <v>34</v>
      </c>
      <c r="D22" s="63">
        <v>4.6586243523623738E-3</v>
      </c>
      <c r="E22" s="61">
        <f t="shared" si="5"/>
        <v>1.2849277625470088E-2</v>
      </c>
      <c r="F22" s="61">
        <f t="shared" si="5"/>
        <v>2.1039930898577801E-2</v>
      </c>
      <c r="G22" s="61">
        <f t="shared" si="5"/>
        <v>2.9230584171685517E-2</v>
      </c>
      <c r="H22" s="61">
        <f t="shared" si="5"/>
        <v>3.7421237444793233E-2</v>
      </c>
      <c r="I22" s="61">
        <f t="shared" si="5"/>
        <v>4.5611890717900949E-2</v>
      </c>
      <c r="J22" s="63">
        <v>5.3802543991008658E-2</v>
      </c>
      <c r="K22" s="61">
        <f t="shared" si="6"/>
        <v>7.3784388639621806E-2</v>
      </c>
      <c r="L22" s="61">
        <f t="shared" si="6"/>
        <v>9.3766233288234954E-2</v>
      </c>
      <c r="M22" s="61">
        <f t="shared" si="6"/>
        <v>0.1137480779368481</v>
      </c>
      <c r="N22" s="63">
        <v>0.13372992258546126</v>
      </c>
      <c r="O22" s="61">
        <v>0.17467985878611675</v>
      </c>
      <c r="P22" s="61">
        <f t="shared" si="2"/>
        <v>0.24550280041688904</v>
      </c>
      <c r="Q22" s="61">
        <f t="shared" si="2"/>
        <v>0.31632574204766134</v>
      </c>
      <c r="R22" s="61">
        <f t="shared" si="2"/>
        <v>0.38714868367843364</v>
      </c>
      <c r="S22" s="61">
        <f t="shared" si="2"/>
        <v>0.45797162530920593</v>
      </c>
      <c r="T22" s="61">
        <v>0.55866757237009501</v>
      </c>
      <c r="U22" s="61">
        <f t="shared" si="7"/>
        <v>0.68775031024862177</v>
      </c>
      <c r="V22" s="61">
        <f t="shared" si="7"/>
        <v>0.81683304812714841</v>
      </c>
      <c r="W22" s="61">
        <f t="shared" si="7"/>
        <v>0.94591578600567505</v>
      </c>
      <c r="X22" s="61">
        <f t="shared" si="7"/>
        <v>1.0749985238842017</v>
      </c>
      <c r="Y22" s="63">
        <v>1.2040812617627286</v>
      </c>
      <c r="Z22" s="61">
        <f t="shared" si="8"/>
        <v>1.3161047188661625</v>
      </c>
      <c r="AA22" s="61">
        <f t="shared" si="8"/>
        <v>1.4281281759695965</v>
      </c>
      <c r="AB22" s="61">
        <f t="shared" si="8"/>
        <v>1.5401516330730305</v>
      </c>
      <c r="AC22" s="61">
        <f t="shared" si="8"/>
        <v>1.6521750901764645</v>
      </c>
      <c r="AD22" s="63">
        <v>1.7641985472798982</v>
      </c>
    </row>
    <row r="23" spans="1:30" x14ac:dyDescent="0.35">
      <c r="A23" s="88" t="s">
        <v>30</v>
      </c>
      <c r="B23" s="169"/>
      <c r="C23" s="88" t="s">
        <v>35</v>
      </c>
      <c r="D23" s="63">
        <v>3</v>
      </c>
      <c r="E23" s="61">
        <f t="shared" si="5"/>
        <v>3.8333333333333335</v>
      </c>
      <c r="F23" s="61">
        <f t="shared" si="5"/>
        <v>4.666666666666667</v>
      </c>
      <c r="G23" s="61">
        <f t="shared" si="5"/>
        <v>5.5</v>
      </c>
      <c r="H23" s="61">
        <f t="shared" si="5"/>
        <v>6.333333333333333</v>
      </c>
      <c r="I23" s="61">
        <f t="shared" si="5"/>
        <v>7.1666666666666661</v>
      </c>
      <c r="J23" s="63">
        <v>8</v>
      </c>
      <c r="K23" s="61">
        <f t="shared" si="6"/>
        <v>9.5</v>
      </c>
      <c r="L23" s="61">
        <f t="shared" si="6"/>
        <v>11</v>
      </c>
      <c r="M23" s="61">
        <f t="shared" si="6"/>
        <v>12.5</v>
      </c>
      <c r="N23" s="63">
        <v>14</v>
      </c>
      <c r="O23" s="61">
        <v>19</v>
      </c>
      <c r="P23" s="61">
        <f t="shared" si="2"/>
        <v>23</v>
      </c>
      <c r="Q23" s="61">
        <f t="shared" si="2"/>
        <v>27</v>
      </c>
      <c r="R23" s="61">
        <f t="shared" si="2"/>
        <v>31</v>
      </c>
      <c r="S23" s="61">
        <f t="shared" si="2"/>
        <v>35</v>
      </c>
      <c r="T23" s="61">
        <v>38</v>
      </c>
      <c r="U23" s="61">
        <f t="shared" si="7"/>
        <v>43</v>
      </c>
      <c r="V23" s="61">
        <f t="shared" si="7"/>
        <v>48</v>
      </c>
      <c r="W23" s="61">
        <f t="shared" si="7"/>
        <v>53</v>
      </c>
      <c r="X23" s="61">
        <f t="shared" si="7"/>
        <v>58</v>
      </c>
      <c r="Y23" s="63">
        <v>63</v>
      </c>
      <c r="Z23" s="61">
        <f t="shared" si="8"/>
        <v>67.2</v>
      </c>
      <c r="AA23" s="61">
        <f t="shared" si="8"/>
        <v>71.400000000000006</v>
      </c>
      <c r="AB23" s="61">
        <f t="shared" si="8"/>
        <v>75.600000000000009</v>
      </c>
      <c r="AC23" s="61">
        <f t="shared" si="8"/>
        <v>79.800000000000011</v>
      </c>
      <c r="AD23" s="63">
        <v>84</v>
      </c>
    </row>
    <row r="24" spans="1:30" x14ac:dyDescent="0.35">
      <c r="A24" s="88" t="s">
        <v>30</v>
      </c>
      <c r="B24" s="169"/>
      <c r="C24" s="88" t="s">
        <v>121</v>
      </c>
      <c r="D24" s="63">
        <v>3808.3606649666053</v>
      </c>
      <c r="E24" s="63">
        <v>5063.9625989576198</v>
      </c>
      <c r="F24" s="63">
        <v>6319.5645329486342</v>
      </c>
      <c r="G24" s="63">
        <v>7575.1664669396487</v>
      </c>
      <c r="H24" s="63">
        <v>8830.7684009306613</v>
      </c>
      <c r="I24" s="63">
        <v>10086.370334921676</v>
      </c>
      <c r="J24" s="63">
        <v>11341.97226891269</v>
      </c>
      <c r="K24" s="63">
        <v>12597.574202903706</v>
      </c>
      <c r="L24" s="63">
        <v>13853.176136894721</v>
      </c>
      <c r="M24" s="63">
        <v>15108.778070885735</v>
      </c>
      <c r="N24" s="63">
        <v>16364.38000487675</v>
      </c>
      <c r="O24" s="63">
        <v>17619.981938867764</v>
      </c>
      <c r="P24" s="63">
        <v>18875.583872858777</v>
      </c>
      <c r="Q24" s="63">
        <v>20131.185806849793</v>
      </c>
      <c r="R24" s="63">
        <v>21386.787740840809</v>
      </c>
      <c r="S24" s="63">
        <v>22642.389674831822</v>
      </c>
      <c r="T24" s="63">
        <v>23897.991608822835</v>
      </c>
      <c r="U24" s="63">
        <v>25153.593542813855</v>
      </c>
      <c r="V24" s="63">
        <v>26409.195476804874</v>
      </c>
      <c r="W24" s="63">
        <v>27664.797410795891</v>
      </c>
      <c r="X24" s="63">
        <v>28920.399344786907</v>
      </c>
      <c r="Y24" s="63">
        <v>28048.90646754139</v>
      </c>
      <c r="Z24" s="63">
        <v>27177.413590295866</v>
      </c>
      <c r="AA24" s="63">
        <v>26305.920713050346</v>
      </c>
      <c r="AB24" s="63">
        <v>25434.427835804825</v>
      </c>
      <c r="AC24" s="63">
        <v>24562.934958559305</v>
      </c>
      <c r="AD24" s="63">
        <v>23691.442081313762</v>
      </c>
    </row>
    <row r="25" spans="1:30" x14ac:dyDescent="0.35">
      <c r="A25" s="88" t="s">
        <v>30</v>
      </c>
      <c r="B25" s="169"/>
      <c r="C25" s="88" t="s">
        <v>122</v>
      </c>
      <c r="D25" s="63">
        <v>192864.66620394157</v>
      </c>
      <c r="E25" s="63">
        <v>195239.2419650236</v>
      </c>
      <c r="F25" s="63">
        <v>196366.76544203321</v>
      </c>
      <c r="G25" s="63">
        <v>197525.37556068008</v>
      </c>
      <c r="H25" s="63">
        <v>198743.92387830256</v>
      </c>
      <c r="I25" s="63">
        <v>200140.93841202525</v>
      </c>
      <c r="J25" s="63">
        <v>201537.7102617296</v>
      </c>
      <c r="K25" s="63">
        <v>203264.35975945235</v>
      </c>
      <c r="L25" s="63">
        <v>205020.85839510098</v>
      </c>
      <c r="M25" s="63">
        <v>206857.30160898238</v>
      </c>
      <c r="N25" s="63">
        <v>208717.85370976047</v>
      </c>
      <c r="O25" s="63">
        <v>210603.18149647751</v>
      </c>
      <c r="P25" s="63">
        <v>212516.40688715709</v>
      </c>
      <c r="Q25" s="63">
        <v>214384.67967973242</v>
      </c>
      <c r="R25" s="63">
        <v>216269.29220061237</v>
      </c>
      <c r="S25" s="63">
        <v>218166.20327483438</v>
      </c>
      <c r="T25" s="63">
        <v>220084.66189887849</v>
      </c>
      <c r="U25" s="63">
        <v>221841.85132365467</v>
      </c>
      <c r="V25" s="63">
        <v>223594.26978343775</v>
      </c>
      <c r="W25" s="63">
        <v>225336.52091265519</v>
      </c>
      <c r="X25" s="63">
        <v>227080.15135791432</v>
      </c>
      <c r="Y25" s="63">
        <v>228568.34604359462</v>
      </c>
      <c r="Z25" s="63">
        <v>230020.42486390745</v>
      </c>
      <c r="AA25" s="63">
        <v>231425.48689332735</v>
      </c>
      <c r="AB25" s="63">
        <v>232792.66409110834</v>
      </c>
      <c r="AC25" s="63">
        <v>233827.47214176381</v>
      </c>
      <c r="AD25" s="63">
        <v>234770.96970999555</v>
      </c>
    </row>
    <row r="26" spans="1:30" s="82" customFormat="1" x14ac:dyDescent="0.35">
      <c r="A26" s="88" t="s">
        <v>30</v>
      </c>
      <c r="B26" s="169"/>
      <c r="C26" s="88" t="s">
        <v>123</v>
      </c>
      <c r="D26" s="63">
        <v>15863.893130854603</v>
      </c>
      <c r="E26" s="63">
        <v>17648.235031002652</v>
      </c>
      <c r="F26" s="63">
        <v>18532.236689999794</v>
      </c>
      <c r="G26" s="63">
        <v>19475.112681928011</v>
      </c>
      <c r="H26" s="63">
        <v>20493.71854997455</v>
      </c>
      <c r="I26" s="63">
        <v>21703.204276026223</v>
      </c>
      <c r="J26" s="63">
        <v>22946.050699999509</v>
      </c>
      <c r="K26" s="63">
        <v>24548.26486804448</v>
      </c>
      <c r="L26" s="63">
        <v>26220.989372549484</v>
      </c>
      <c r="M26" s="63">
        <v>28058.997685781676</v>
      </c>
      <c r="N26" s="63">
        <v>29994.707022833591</v>
      </c>
      <c r="O26" s="63">
        <v>32011.425891947838</v>
      </c>
      <c r="P26" s="63">
        <v>34129.673408907925</v>
      </c>
      <c r="Q26" s="63">
        <v>36251.576659394232</v>
      </c>
      <c r="R26" s="63">
        <v>38482.292306296302</v>
      </c>
      <c r="S26" s="63">
        <v>40781.781464548454</v>
      </c>
      <c r="T26" s="63">
        <v>43190.558793671822</v>
      </c>
      <c r="U26" s="63">
        <v>45461.093625999209</v>
      </c>
      <c r="V26" s="63">
        <v>47797.3220414936</v>
      </c>
      <c r="W26" s="63">
        <v>50173.624201748113</v>
      </c>
      <c r="X26" s="63">
        <v>52592.349260380004</v>
      </c>
      <c r="Y26" s="63">
        <v>54724.640759363763</v>
      </c>
      <c r="Z26" s="63">
        <v>56841.019364768887</v>
      </c>
      <c r="AA26" s="63">
        <v>58943.942312909749</v>
      </c>
      <c r="AB26" s="63">
        <v>61028.040642711028</v>
      </c>
      <c r="AC26" s="63">
        <v>62640.533299633396</v>
      </c>
      <c r="AD26" s="63">
        <v>64144.755021935125</v>
      </c>
    </row>
    <row r="27" spans="1:30" s="82" customFormat="1" x14ac:dyDescent="0.35">
      <c r="A27" s="88" t="s">
        <v>39</v>
      </c>
      <c r="B27" s="169"/>
      <c r="C27" s="88" t="s">
        <v>171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</row>
    <row r="28" spans="1:30" x14ac:dyDescent="0.35">
      <c r="A28" s="88" t="s">
        <v>39</v>
      </c>
      <c r="B28" s="169"/>
      <c r="C28" s="88" t="s">
        <v>172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/>
      <c r="U28" s="63"/>
      <c r="V28" s="63"/>
      <c r="W28" s="61">
        <f>V28+(($Y28-$V28)/(COLUMN($Y28)-COLUMN($V28)))</f>
        <v>26.066666666666666</v>
      </c>
      <c r="X28" s="61">
        <f>W28+(($Y28-$V28)/(COLUMN($Y28)-COLUMN($V28)))</f>
        <v>52.133333333333333</v>
      </c>
      <c r="Y28" s="63">
        <f>78.2</f>
        <v>78.2</v>
      </c>
      <c r="Z28" s="61">
        <f>Y28+(($AD28-$Y28)/(COLUMN($AD28)-COLUMN($Y28)))</f>
        <v>209.60000000000002</v>
      </c>
      <c r="AA28" s="61">
        <f t="shared" ref="AA28:AC28" si="9">Z28+(($AD28-$Y28)/(COLUMN($AD28)-COLUMN($Y28)))</f>
        <v>341</v>
      </c>
      <c r="AB28" s="61">
        <f t="shared" si="9"/>
        <v>472.4</v>
      </c>
      <c r="AC28" s="61">
        <f t="shared" si="9"/>
        <v>603.79999999999995</v>
      </c>
      <c r="AD28" s="63">
        <f>735.2</f>
        <v>735.2</v>
      </c>
    </row>
    <row r="29" spans="1:30" x14ac:dyDescent="0.35">
      <c r="A29" s="88" t="s">
        <v>39</v>
      </c>
      <c r="B29" s="169"/>
      <c r="C29" s="88" t="s">
        <v>32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1">
        <f t="shared" ref="W29:X29" si="10">V29+(($Y29-$V29)/(COLUMN($Y29)-COLUMN($V29)))</f>
        <v>10</v>
      </c>
      <c r="X29" s="61">
        <f t="shared" si="10"/>
        <v>20</v>
      </c>
      <c r="Y29" s="63">
        <f>30</f>
        <v>30</v>
      </c>
      <c r="Z29" s="61">
        <f t="shared" ref="Z29:AC32" si="11">Y29+(($AD29-$Y29)/(COLUMN($AD29)-COLUMN($Y29)))</f>
        <v>40.64</v>
      </c>
      <c r="AA29" s="61">
        <f t="shared" si="11"/>
        <v>51.28</v>
      </c>
      <c r="AB29" s="61">
        <f t="shared" si="11"/>
        <v>61.92</v>
      </c>
      <c r="AC29" s="61">
        <f t="shared" si="11"/>
        <v>72.56</v>
      </c>
      <c r="AD29" s="63">
        <f>83.2</f>
        <v>83.2</v>
      </c>
    </row>
    <row r="30" spans="1:30" x14ac:dyDescent="0.35">
      <c r="A30" s="88" t="s">
        <v>39</v>
      </c>
      <c r="B30" s="169"/>
      <c r="C30" s="88" t="s">
        <v>33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1">
        <f t="shared" ref="W30:X30" si="12">V30+(($Y30-$V30)/(COLUMN($Y30)-COLUMN($V30)))</f>
        <v>3.6157568516333054E-2</v>
      </c>
      <c r="X30" s="61">
        <f t="shared" si="12"/>
        <v>7.2315137032666107E-2</v>
      </c>
      <c r="Y30" s="63">
        <v>0.10847270554899915</v>
      </c>
      <c r="Z30" s="61">
        <f t="shared" si="11"/>
        <v>0.13286168085112179</v>
      </c>
      <c r="AA30" s="61">
        <f t="shared" si="11"/>
        <v>0.15725065615324443</v>
      </c>
      <c r="AB30" s="61">
        <f t="shared" si="11"/>
        <v>0.18163963145536707</v>
      </c>
      <c r="AC30" s="61">
        <f t="shared" si="11"/>
        <v>0.20602860675748971</v>
      </c>
      <c r="AD30" s="63">
        <v>0.23041758205961235</v>
      </c>
    </row>
    <row r="31" spans="1:30" x14ac:dyDescent="0.35">
      <c r="A31" s="88" t="s">
        <v>39</v>
      </c>
      <c r="B31" s="169"/>
      <c r="C31" s="88" t="s">
        <v>34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1">
        <f t="shared" ref="W31:X31" si="13">V31+(($Y31-$V31)/(COLUMN($Y31)-COLUMN($V31)))</f>
        <v>6.026261419388842E-3</v>
      </c>
      <c r="X31" s="61">
        <f t="shared" si="13"/>
        <v>1.2052522838777684E-2</v>
      </c>
      <c r="Y31" s="63">
        <v>1.8078784258166527E-2</v>
      </c>
      <c r="Z31" s="61">
        <f t="shared" si="11"/>
        <v>1.8652437989435264E-2</v>
      </c>
      <c r="AA31" s="61">
        <f t="shared" si="11"/>
        <v>1.9226091720704001E-2</v>
      </c>
      <c r="AB31" s="61">
        <f t="shared" si="11"/>
        <v>1.9799745451972738E-2</v>
      </c>
      <c r="AC31" s="61">
        <f t="shared" si="11"/>
        <v>2.0373399183241474E-2</v>
      </c>
      <c r="AD31" s="63">
        <v>2.0947052914510215E-2</v>
      </c>
    </row>
    <row r="32" spans="1:30" x14ac:dyDescent="0.35">
      <c r="A32" s="88" t="s">
        <v>39</v>
      </c>
      <c r="B32" s="169"/>
      <c r="C32" s="88" t="s">
        <v>35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1">
        <f t="shared" ref="W32:X32" si="14">V32+(($Y32-$V32)/(COLUMN($Y32)-COLUMN($V32)))</f>
        <v>1.6666666666666667</v>
      </c>
      <c r="X32" s="61">
        <f t="shared" si="14"/>
        <v>3.3333333333333335</v>
      </c>
      <c r="Y32" s="63">
        <f>5</f>
        <v>5</v>
      </c>
      <c r="Z32" s="61">
        <f t="shared" si="11"/>
        <v>7.6</v>
      </c>
      <c r="AA32" s="61">
        <f t="shared" si="11"/>
        <v>10.199999999999999</v>
      </c>
      <c r="AB32" s="61">
        <f t="shared" si="11"/>
        <v>12.799999999999999</v>
      </c>
      <c r="AC32" s="61">
        <f t="shared" si="11"/>
        <v>15.399999999999999</v>
      </c>
      <c r="AD32" s="63">
        <f>18</f>
        <v>18</v>
      </c>
    </row>
    <row r="33" spans="1:30" x14ac:dyDescent="0.35">
      <c r="A33" s="88" t="s">
        <v>143</v>
      </c>
      <c r="B33" s="88" t="s">
        <v>124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59315.904999085193</v>
      </c>
      <c r="X33" s="63">
        <v>227157.82558778144</v>
      </c>
      <c r="Y33" s="63">
        <v>895299.0638413456</v>
      </c>
      <c r="Z33" s="61">
        <v>1529816.1697787698</v>
      </c>
      <c r="AA33" s="61">
        <v>2378063.1342470422</v>
      </c>
      <c r="AB33" s="61">
        <v>3566591.1287023127</v>
      </c>
      <c r="AC33" s="61">
        <v>4441972.6360011399</v>
      </c>
      <c r="AD33" s="63">
        <v>5627016.0610866053</v>
      </c>
    </row>
    <row r="34" spans="1:30" x14ac:dyDescent="0.35">
      <c r="A34" s="88" t="s">
        <v>143</v>
      </c>
      <c r="B34" s="88" t="s">
        <v>145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354851.50347217603</v>
      </c>
      <c r="X34" s="63">
        <v>1288264.5231685278</v>
      </c>
      <c r="Y34" s="63">
        <v>5103596.8357147304</v>
      </c>
      <c r="Z34" s="61">
        <v>8080189.8205121141</v>
      </c>
      <c r="AA34" s="61">
        <v>11394931.202138284</v>
      </c>
      <c r="AB34" s="61">
        <v>16418057.019272478</v>
      </c>
      <c r="AC34" s="61">
        <v>19558779.301377695</v>
      </c>
      <c r="AD34" s="63">
        <v>24759521.039462876</v>
      </c>
    </row>
    <row r="35" spans="1:30" s="62" customFormat="1" x14ac:dyDescent="0.35">
      <c r="A35" s="88" t="s">
        <v>146</v>
      </c>
      <c r="B35" s="88" t="s">
        <v>124</v>
      </c>
      <c r="C35" s="88" t="s">
        <v>144</v>
      </c>
      <c r="D35" s="63">
        <v>1116.2831294930561</v>
      </c>
      <c r="E35" s="63">
        <v>3422.0258454978884</v>
      </c>
      <c r="F35" s="63">
        <v>5727.7685615027203</v>
      </c>
      <c r="G35" s="63">
        <v>8033.5112775075522</v>
      </c>
      <c r="H35" s="63">
        <v>10339.253993512384</v>
      </c>
      <c r="I35" s="63">
        <v>12644.996709517216</v>
      </c>
      <c r="J35" s="63">
        <v>14950.73942552205</v>
      </c>
      <c r="K35" s="63">
        <v>20760.313552074236</v>
      </c>
      <c r="L35" s="63">
        <v>26569.887678626423</v>
      </c>
      <c r="M35" s="63">
        <v>32379.461805178609</v>
      </c>
      <c r="N35" s="63">
        <v>38189.035931730788</v>
      </c>
      <c r="O35" s="63">
        <v>67892.35035811337</v>
      </c>
      <c r="P35" s="63">
        <v>97595.664784495952</v>
      </c>
      <c r="Q35" s="63">
        <v>127298.97921087853</v>
      </c>
      <c r="R35" s="63">
        <v>157002.29363726111</v>
      </c>
      <c r="S35" s="63">
        <v>186705.60806364368</v>
      </c>
      <c r="T35" s="63">
        <v>216408.92249002625</v>
      </c>
      <c r="U35" s="63">
        <v>290960.8254368662</v>
      </c>
      <c r="V35" s="63">
        <v>365512.72838370618</v>
      </c>
      <c r="W35" s="63">
        <v>440064.63133054617</v>
      </c>
      <c r="X35" s="63">
        <v>514616.53427738615</v>
      </c>
      <c r="Y35" s="63">
        <v>589168.43722422607</v>
      </c>
      <c r="Z35" s="63">
        <v>677105.85048352648</v>
      </c>
      <c r="AA35" s="63">
        <v>765043.26374282688</v>
      </c>
      <c r="AB35" s="63">
        <v>852980.67700212728</v>
      </c>
      <c r="AC35" s="63">
        <v>940918.09026142769</v>
      </c>
      <c r="AD35" s="63">
        <v>1028855.503520728</v>
      </c>
    </row>
    <row r="36" spans="1:30" s="62" customFormat="1" x14ac:dyDescent="0.35">
      <c r="A36" s="88" t="s">
        <v>146</v>
      </c>
      <c r="B36" s="88" t="s">
        <v>145</v>
      </c>
      <c r="C36" s="88" t="s">
        <v>144</v>
      </c>
      <c r="D36" s="63">
        <v>4632.0010269207714</v>
      </c>
      <c r="E36" s="63">
        <v>14199.647752173827</v>
      </c>
      <c r="F36" s="63">
        <v>23767.294477426884</v>
      </c>
      <c r="G36" s="63">
        <v>33334.94120267994</v>
      </c>
      <c r="H36" s="63">
        <v>42902.587927932997</v>
      </c>
      <c r="I36" s="63">
        <v>52470.234653186053</v>
      </c>
      <c r="J36" s="63">
        <v>62037.881378439102</v>
      </c>
      <c r="K36" s="63">
        <v>86144.626888767496</v>
      </c>
      <c r="L36" s="63">
        <v>110251.37239909588</v>
      </c>
      <c r="M36" s="63">
        <v>134358.11790942427</v>
      </c>
      <c r="N36" s="63">
        <v>158464.86341975268</v>
      </c>
      <c r="O36" s="63">
        <v>281718.34570469707</v>
      </c>
      <c r="P36" s="63">
        <v>404971.82798964146</v>
      </c>
      <c r="Q36" s="63">
        <v>528225.31027458585</v>
      </c>
      <c r="R36" s="63">
        <v>651478.79255953024</v>
      </c>
      <c r="S36" s="63">
        <v>774732.27484447462</v>
      </c>
      <c r="T36" s="63">
        <v>897985.7571294189</v>
      </c>
      <c r="U36" s="63">
        <v>1207337.8219281449</v>
      </c>
      <c r="V36" s="63">
        <v>1516689.8867268707</v>
      </c>
      <c r="W36" s="63">
        <v>1826041.9515255964</v>
      </c>
      <c r="X36" s="63">
        <v>2135394.0163243222</v>
      </c>
      <c r="Y36" s="63">
        <v>2444746.0811230484</v>
      </c>
      <c r="Z36" s="63">
        <v>2809641.1312765134</v>
      </c>
      <c r="AA36" s="63">
        <v>3174536.1814299785</v>
      </c>
      <c r="AB36" s="63">
        <v>3539431.2315834435</v>
      </c>
      <c r="AC36" s="63">
        <v>3904326.2817369085</v>
      </c>
      <c r="AD36" s="63">
        <v>4269221.3318903726</v>
      </c>
    </row>
    <row r="37" spans="1:30" ht="29" x14ac:dyDescent="0.35">
      <c r="A37" s="3" t="s">
        <v>147</v>
      </c>
      <c r="B37" s="3" t="s">
        <v>148</v>
      </c>
      <c r="C37" s="88" t="s">
        <v>144</v>
      </c>
      <c r="D37" s="63">
        <v>4851900.5486829933</v>
      </c>
      <c r="E37" s="63">
        <v>5548844.3300555516</v>
      </c>
      <c r="F37" s="63">
        <v>5954616.7726334753</v>
      </c>
      <c r="G37" s="63">
        <v>6363779.4526433833</v>
      </c>
      <c r="H37" s="63">
        <v>6862697.0831286758</v>
      </c>
      <c r="I37" s="63">
        <v>7430779.6337906746</v>
      </c>
      <c r="J37" s="63">
        <v>7958090.1696787169</v>
      </c>
      <c r="K37" s="63">
        <v>8741153.0658613946</v>
      </c>
      <c r="L37" s="63">
        <v>9549664.1025375165</v>
      </c>
      <c r="M37" s="63">
        <v>10292607.096280362</v>
      </c>
      <c r="N37" s="63">
        <v>11249460.561061727</v>
      </c>
      <c r="O37" s="63">
        <v>12276853.639271129</v>
      </c>
      <c r="P37" s="63">
        <v>13383547.522738636</v>
      </c>
      <c r="Q37" s="63">
        <v>14497043.817288639</v>
      </c>
      <c r="R37" s="63">
        <v>15635893.67975487</v>
      </c>
      <c r="S37" s="63">
        <v>16957354.939872339</v>
      </c>
      <c r="T37" s="63">
        <v>18318405.619574133</v>
      </c>
      <c r="U37" s="63">
        <v>19745850.774965178</v>
      </c>
      <c r="V37" s="63">
        <v>21095026.297130056</v>
      </c>
      <c r="W37" s="63">
        <v>22704288.873824503</v>
      </c>
      <c r="X37" s="63">
        <v>24150941.08390535</v>
      </c>
      <c r="Y37" s="63">
        <v>25639353.06127708</v>
      </c>
      <c r="Z37" s="63">
        <v>27288113.409484014</v>
      </c>
      <c r="AA37" s="63">
        <v>28930870.886208765</v>
      </c>
      <c r="AB37" s="63">
        <v>30651491.214634936</v>
      </c>
      <c r="AC37" s="63">
        <v>32245235.077421702</v>
      </c>
      <c r="AD37" s="63">
        <v>33779752.513984405</v>
      </c>
    </row>
    <row r="38" spans="1:30" x14ac:dyDescent="0.35">
      <c r="A38" s="88"/>
      <c r="B38" s="88"/>
      <c r="C38" s="88"/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</row>
    <row r="39" spans="1:30" x14ac:dyDescent="0.35">
      <c r="A39" s="88"/>
      <c r="B39" s="88"/>
      <c r="C39" s="88" t="s">
        <v>149</v>
      </c>
      <c r="D39" s="63">
        <f>'Cost Assumptions'!$B$4</f>
        <v>40</v>
      </c>
      <c r="E39" s="63">
        <f>D39*'Cost Assumptions'!$B$5</f>
        <v>41</v>
      </c>
      <c r="F39" s="63">
        <f>E39*'Cost Assumptions'!$B$5</f>
        <v>42.024999999999999</v>
      </c>
      <c r="G39" s="63">
        <f>F39*'Cost Assumptions'!$B$5</f>
        <v>43.075624999999995</v>
      </c>
      <c r="H39" s="10">
        <f>G39*'Cost Assumptions'!$B$5</f>
        <v>44.152515624999992</v>
      </c>
      <c r="I39" s="10">
        <f>H39*'Cost Assumptions'!$B$5</f>
        <v>45.256328515624986</v>
      </c>
      <c r="J39" s="10">
        <f>I39*'Cost Assumptions'!$B$5</f>
        <v>46.387736728515605</v>
      </c>
      <c r="K39" s="10">
        <f>J39*'Cost Assumptions'!$B$5</f>
        <v>47.547430146728495</v>
      </c>
      <c r="L39" s="10">
        <f>K39*'Cost Assumptions'!$B$5</f>
        <v>48.736115900396705</v>
      </c>
      <c r="M39" s="10">
        <f>L39*'Cost Assumptions'!$B$5</f>
        <v>49.954518797906616</v>
      </c>
      <c r="N39" s="10">
        <f>M39*'Cost Assumptions'!$B$5</f>
        <v>51.203381767854275</v>
      </c>
      <c r="O39" s="10">
        <f>N39*'Cost Assumptions'!$B$5</f>
        <v>52.483466312050624</v>
      </c>
      <c r="P39" s="10">
        <f>O39*'Cost Assumptions'!$B$5</f>
        <v>53.795552969851883</v>
      </c>
      <c r="Q39" s="10">
        <f>P39*'Cost Assumptions'!$B$5</f>
        <v>55.140441794098173</v>
      </c>
      <c r="R39" s="10">
        <f>Q39*'Cost Assumptions'!$B$5</f>
        <v>56.518952838950625</v>
      </c>
      <c r="S39" s="10">
        <f>R39*'Cost Assumptions'!$B$5</f>
        <v>57.931926659924386</v>
      </c>
      <c r="T39" s="10">
        <f>S39*'Cost Assumptions'!$B$5</f>
        <v>59.380224826422491</v>
      </c>
      <c r="U39" s="10">
        <f>T39*'Cost Assumptions'!$B$5</f>
        <v>60.864730447083048</v>
      </c>
      <c r="V39" s="10">
        <f>U39*'Cost Assumptions'!$B$5</f>
        <v>62.386348708260115</v>
      </c>
      <c r="W39" s="10">
        <f>V39*'Cost Assumptions'!$B$5</f>
        <v>63.946007425966613</v>
      </c>
      <c r="X39" s="10">
        <f>W39*'Cost Assumptions'!$B$5</f>
        <v>65.544657611615776</v>
      </c>
      <c r="Y39" s="10">
        <f>X39*'Cost Assumptions'!$B$5</f>
        <v>67.183274051906167</v>
      </c>
      <c r="Z39" s="10">
        <f>Y39*'Cost Assumptions'!$B$5</f>
        <v>68.862855903203823</v>
      </c>
      <c r="AA39" s="10">
        <f>Z39*'Cost Assumptions'!$B$5</f>
        <v>70.584427300783915</v>
      </c>
      <c r="AB39" s="10">
        <f>AA39*'Cost Assumptions'!$B$5</f>
        <v>72.349037983303504</v>
      </c>
      <c r="AC39" s="10">
        <f>AB39*'Cost Assumptions'!$B$5</f>
        <v>74.157763932886084</v>
      </c>
      <c r="AD39" s="10">
        <f>AC39*'Cost Assumptions'!$B$5</f>
        <v>76.011708031208229</v>
      </c>
    </row>
    <row r="40" spans="1:30" x14ac:dyDescent="0.35">
      <c r="A40" s="88"/>
      <c r="B40" s="88"/>
      <c r="C40" s="8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x14ac:dyDescent="0.35">
      <c r="A41" s="88"/>
      <c r="B41" s="88"/>
      <c r="C41" s="88"/>
      <c r="D41" s="88"/>
      <c r="E41" s="88"/>
      <c r="F41" s="88"/>
      <c r="G41" s="63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20" thickBot="1" x14ac:dyDescent="0.5">
      <c r="A42" s="117"/>
      <c r="B42" s="128" t="s">
        <v>151</v>
      </c>
      <c r="C42" s="117" t="s">
        <v>118</v>
      </c>
      <c r="D42" s="117">
        <v>2022</v>
      </c>
      <c r="E42" s="117">
        <v>2023</v>
      </c>
      <c r="F42" s="117">
        <v>2024</v>
      </c>
      <c r="G42" s="117">
        <v>2025</v>
      </c>
      <c r="H42" s="117">
        <v>2026</v>
      </c>
      <c r="I42" s="117">
        <v>2027</v>
      </c>
      <c r="J42" s="117">
        <v>2028</v>
      </c>
      <c r="K42" s="117">
        <v>2029</v>
      </c>
      <c r="L42" s="117">
        <v>2030</v>
      </c>
      <c r="M42" s="117">
        <v>2031</v>
      </c>
      <c r="N42" s="117">
        <v>2032</v>
      </c>
      <c r="O42" s="117">
        <v>2033</v>
      </c>
      <c r="P42" s="117">
        <v>2034</v>
      </c>
      <c r="Q42" s="117">
        <v>2035</v>
      </c>
      <c r="R42" s="117">
        <v>2036</v>
      </c>
      <c r="S42" s="117">
        <v>2037</v>
      </c>
      <c r="T42" s="117">
        <v>2038</v>
      </c>
      <c r="U42" s="117">
        <v>2039</v>
      </c>
      <c r="V42" s="117">
        <v>2040</v>
      </c>
      <c r="W42" s="117">
        <v>2041</v>
      </c>
      <c r="X42" s="117">
        <v>2042</v>
      </c>
      <c r="Y42" s="117">
        <v>2043</v>
      </c>
      <c r="Z42" s="117">
        <v>2044</v>
      </c>
      <c r="AA42" s="117">
        <v>2045</v>
      </c>
      <c r="AB42" s="117">
        <v>2046</v>
      </c>
      <c r="AC42" s="117">
        <v>2047</v>
      </c>
      <c r="AD42" s="117">
        <v>2048</v>
      </c>
    </row>
    <row r="43" spans="1:30" ht="15" thickTop="1" x14ac:dyDescent="0.35">
      <c r="A43" s="5">
        <f t="shared" ref="A43:A57" si="15">SUM(D43:AD43)/1000</f>
        <v>19.3215874999932</v>
      </c>
      <c r="B43" s="11">
        <f>NPV('Cost Assumptions'!$B$3,'VS to VN to VST &amp; Cen BESS VS'!D43:'VS to VN to VST &amp; Cen BESS VS'!AD43)</f>
        <v>5198.5999987055902</v>
      </c>
      <c r="C43" s="88" t="s">
        <v>120</v>
      </c>
      <c r="D43" s="63">
        <f t="shared" ref="D43:AD43" si="16">D2-D18</f>
        <v>338.7999999991298</v>
      </c>
      <c r="E43" s="63">
        <f t="shared" si="16"/>
        <v>367.49903846071538</v>
      </c>
      <c r="F43" s="63">
        <f t="shared" si="16"/>
        <v>396.19807692230097</v>
      </c>
      <c r="G43" s="63">
        <f t="shared" si="16"/>
        <v>424.89711538388656</v>
      </c>
      <c r="H43" s="63">
        <f t="shared" si="16"/>
        <v>453.59615384547214</v>
      </c>
      <c r="I43" s="63">
        <f t="shared" si="16"/>
        <v>482.29519230705773</v>
      </c>
      <c r="J43" s="63">
        <f t="shared" si="16"/>
        <v>510.99423076864332</v>
      </c>
      <c r="K43" s="63">
        <f t="shared" si="16"/>
        <v>539.69326923022891</v>
      </c>
      <c r="L43" s="63">
        <f t="shared" si="16"/>
        <v>568.39230769181449</v>
      </c>
      <c r="M43" s="63">
        <f t="shared" si="16"/>
        <v>597.09134615340008</v>
      </c>
      <c r="N43" s="63">
        <f t="shared" si="16"/>
        <v>625.79038461498567</v>
      </c>
      <c r="O43" s="63">
        <f t="shared" si="16"/>
        <v>654.48942307657126</v>
      </c>
      <c r="P43" s="63">
        <f t="shared" si="16"/>
        <v>683.18846153815684</v>
      </c>
      <c r="Q43" s="63">
        <f t="shared" si="16"/>
        <v>711.88749999974243</v>
      </c>
      <c r="R43" s="63">
        <f t="shared" si="16"/>
        <v>740.58653846132802</v>
      </c>
      <c r="S43" s="63">
        <f t="shared" si="16"/>
        <v>769.28557692291361</v>
      </c>
      <c r="T43" s="63">
        <f t="shared" si="16"/>
        <v>797.98461538449919</v>
      </c>
      <c r="U43" s="63">
        <f t="shared" si="16"/>
        <v>826.68365384608478</v>
      </c>
      <c r="V43" s="63">
        <f t="shared" si="16"/>
        <v>855.38269230767037</v>
      </c>
      <c r="W43" s="63">
        <f t="shared" si="16"/>
        <v>884.08173076925596</v>
      </c>
      <c r="X43" s="63">
        <f t="shared" si="16"/>
        <v>912.78076923084154</v>
      </c>
      <c r="Y43" s="63">
        <f t="shared" si="16"/>
        <v>946.27147435909865</v>
      </c>
      <c r="Z43" s="63">
        <f t="shared" si="16"/>
        <v>979.76217948735575</v>
      </c>
      <c r="AA43" s="63">
        <f t="shared" si="16"/>
        <v>1013.2528846156129</v>
      </c>
      <c r="AB43" s="63">
        <f t="shared" si="16"/>
        <v>1046.74358974387</v>
      </c>
      <c r="AC43" s="63">
        <f t="shared" si="16"/>
        <v>1080.2342948721271</v>
      </c>
      <c r="AD43" s="63">
        <f t="shared" si="16"/>
        <v>1113.7250000004351</v>
      </c>
    </row>
    <row r="44" spans="1:30" x14ac:dyDescent="0.35">
      <c r="A44" s="5">
        <f t="shared" si="15"/>
        <v>1151.6258634756384</v>
      </c>
      <c r="B44" s="11">
        <f>NPV('Cost Assumptions'!$B$3,'VS to VN to VST &amp; Cen BESS VS'!D44:'VS to VN to VST &amp; Cen BESS VS'!AD44)</f>
        <v>271211.45397926512</v>
      </c>
      <c r="C44" s="88" t="s">
        <v>152</v>
      </c>
      <c r="D44" s="63">
        <f t="shared" ref="D44:AD44" si="17">D43*D39</f>
        <v>13551.999999965192</v>
      </c>
      <c r="E44" s="63">
        <f t="shared" si="17"/>
        <v>15067.460576889331</v>
      </c>
      <c r="F44" s="63">
        <f t="shared" si="17"/>
        <v>16650.224182659698</v>
      </c>
      <c r="G44" s="63">
        <f t="shared" si="17"/>
        <v>18302.708805858027</v>
      </c>
      <c r="H44" s="63">
        <f t="shared" si="17"/>
        <v>20027.411270102108</v>
      </c>
      <c r="I44" s="63">
        <f t="shared" si="17"/>
        <v>21826.909664554732</v>
      </c>
      <c r="J44" s="63">
        <f t="shared" si="17"/>
        <v>23703.865846686174</v>
      </c>
      <c r="K44" s="63">
        <f t="shared" si="17"/>
        <v>25661.028019383844</v>
      </c>
      <c r="L44" s="63">
        <f t="shared" si="17"/>
        <v>27701.233384562216</v>
      </c>
      <c r="M44" s="63">
        <f t="shared" si="17"/>
        <v>29827.410875487389</v>
      </c>
      <c r="N44" s="63">
        <f t="shared" si="17"/>
        <v>32042.58397009347</v>
      </c>
      <c r="O44" s="63">
        <f t="shared" si="17"/>
        <v>34349.873587632675</v>
      </c>
      <c r="P44" s="63">
        <f t="shared" si="17"/>
        <v>36752.501071067534</v>
      </c>
      <c r="Q44" s="63">
        <f t="shared" si="17"/>
        <v>39253.791257681863</v>
      </c>
      <c r="R44" s="63">
        <f t="shared" si="17"/>
        <v>41857.175640457492</v>
      </c>
      <c r="S44" s="63">
        <f t="shared" si="17"/>
        <v>44566.195622835854</v>
      </c>
      <c r="T44" s="63">
        <f t="shared" si="17"/>
        <v>47384.505869557841</v>
      </c>
      <c r="U44" s="63">
        <f t="shared" si="17"/>
        <v>50315.877756351656</v>
      </c>
      <c r="V44" s="63">
        <f t="shared" si="17"/>
        <v>53364.20292131669</v>
      </c>
      <c r="W44" s="63">
        <f t="shared" si="17"/>
        <v>56533.496920932259</v>
      </c>
      <c r="X44" s="63">
        <f t="shared" si="17"/>
        <v>59827.902993702781</v>
      </c>
      <c r="Y44" s="63">
        <f t="shared" si="17"/>
        <v>63573.615789368625</v>
      </c>
      <c r="Z44" s="63">
        <f t="shared" si="17"/>
        <v>67469.221785446702</v>
      </c>
      <c r="AA44" s="63">
        <f t="shared" si="17"/>
        <v>71519.874571460314</v>
      </c>
      <c r="AB44" s="63">
        <f t="shared" si="17"/>
        <v>75730.891733158714</v>
      </c>
      <c r="AC44" s="63">
        <f t="shared" si="17"/>
        <v>80107.759831334857</v>
      </c>
      <c r="AD44" s="63">
        <f t="shared" si="17"/>
        <v>84656.139527090461</v>
      </c>
    </row>
    <row r="45" spans="1:30" x14ac:dyDescent="0.35">
      <c r="A45" s="5">
        <f t="shared" si="15"/>
        <v>5.3189499999999992</v>
      </c>
      <c r="B45" s="11">
        <f>NPV('Cost Assumptions'!$B$3,'VS to VN to VST &amp; Cen BESS VS'!D45:'VS to VN to VST &amp; Cen BESS VS'!AD45)</f>
        <v>673.16156827418615</v>
      </c>
      <c r="C45" s="88" t="s">
        <v>31</v>
      </c>
      <c r="D45" s="63">
        <f t="shared" ref="D45:AD45" si="18">D3-D19</f>
        <v>4.9000000000000057</v>
      </c>
      <c r="E45" s="63">
        <f t="shared" si="18"/>
        <v>6.4333333333333371</v>
      </c>
      <c r="F45" s="63">
        <f t="shared" si="18"/>
        <v>6.846666666666664</v>
      </c>
      <c r="G45" s="63">
        <f t="shared" si="18"/>
        <v>7.2599999999999909</v>
      </c>
      <c r="H45" s="63">
        <f t="shared" si="18"/>
        <v>7.6733333333333178</v>
      </c>
      <c r="I45" s="63">
        <f t="shared" si="18"/>
        <v>8.0866666666666447</v>
      </c>
      <c r="J45" s="63">
        <f t="shared" si="18"/>
        <v>8.4999999999999716</v>
      </c>
      <c r="K45" s="63">
        <f t="shared" si="18"/>
        <v>10.674999999999983</v>
      </c>
      <c r="L45" s="63">
        <f t="shared" si="18"/>
        <v>12.849999999999994</v>
      </c>
      <c r="M45" s="63">
        <f t="shared" si="18"/>
        <v>15.025000000000006</v>
      </c>
      <c r="N45" s="63">
        <f t="shared" si="18"/>
        <v>17.19999999999996</v>
      </c>
      <c r="O45" s="63">
        <f t="shared" si="18"/>
        <v>58.366666666666731</v>
      </c>
      <c r="P45" s="63">
        <f t="shared" si="18"/>
        <v>67.883333333333383</v>
      </c>
      <c r="Q45" s="63">
        <f t="shared" si="18"/>
        <v>77.400000000000034</v>
      </c>
      <c r="R45" s="63">
        <f t="shared" si="18"/>
        <v>86.916666666666686</v>
      </c>
      <c r="S45" s="63">
        <f t="shared" si="18"/>
        <v>96.433333333333337</v>
      </c>
      <c r="T45" s="63">
        <f t="shared" si="18"/>
        <v>74.299999999999955</v>
      </c>
      <c r="U45" s="63">
        <f t="shared" si="18"/>
        <v>150.61999999999989</v>
      </c>
      <c r="V45" s="63">
        <f t="shared" si="18"/>
        <v>226.93999999999983</v>
      </c>
      <c r="W45" s="63">
        <f t="shared" si="18"/>
        <v>303.25999999999988</v>
      </c>
      <c r="X45" s="63">
        <f t="shared" si="18"/>
        <v>379.57999999999993</v>
      </c>
      <c r="Y45" s="63">
        <f t="shared" si="18"/>
        <v>300.59999999999968</v>
      </c>
      <c r="Z45" s="63">
        <f t="shared" si="18"/>
        <v>426.47999999999979</v>
      </c>
      <c r="AA45" s="63">
        <f t="shared" si="18"/>
        <v>552.3599999999999</v>
      </c>
      <c r="AB45" s="63">
        <f t="shared" si="18"/>
        <v>678.24</v>
      </c>
      <c r="AC45" s="63">
        <f t="shared" si="18"/>
        <v>804.12000000000012</v>
      </c>
      <c r="AD45" s="63">
        <f t="shared" si="18"/>
        <v>930.00000000000045</v>
      </c>
    </row>
    <row r="46" spans="1:30" x14ac:dyDescent="0.35">
      <c r="A46" s="5">
        <f t="shared" si="15"/>
        <v>-0.11211666666666663</v>
      </c>
      <c r="B46" s="11">
        <f>NPV('Cost Assumptions'!$B$3,'VS to VN to VST &amp; Cen BESS VS'!D46:'VS to VN to VST &amp; Cen BESS VS'!AD46)</f>
        <v>-30.522975022622681</v>
      </c>
      <c r="C46" s="88" t="s">
        <v>32</v>
      </c>
      <c r="D46" s="63">
        <f t="shared" ref="D46:AD46" si="19">D4-D20</f>
        <v>-1</v>
      </c>
      <c r="E46" s="63">
        <f t="shared" si="19"/>
        <v>-1.8833333333333355</v>
      </c>
      <c r="F46" s="63">
        <f t="shared" si="19"/>
        <v>-2.0866666666666758</v>
      </c>
      <c r="G46" s="63">
        <f t="shared" si="19"/>
        <v>-2.2900000000000151</v>
      </c>
      <c r="H46" s="63">
        <f t="shared" si="19"/>
        <v>-2.4933333333333536</v>
      </c>
      <c r="I46" s="63">
        <f t="shared" si="19"/>
        <v>-2.6966666666666921</v>
      </c>
      <c r="J46" s="63">
        <f t="shared" si="19"/>
        <v>-2.9000000000000341</v>
      </c>
      <c r="K46" s="63">
        <f t="shared" si="19"/>
        <v>-3.5750000000000171</v>
      </c>
      <c r="L46" s="63">
        <f t="shared" si="19"/>
        <v>-4.25</v>
      </c>
      <c r="M46" s="63">
        <f t="shared" si="19"/>
        <v>-4.9249999999999829</v>
      </c>
      <c r="N46" s="63">
        <f t="shared" si="19"/>
        <v>-5.5999999999999659</v>
      </c>
      <c r="O46" s="63">
        <f t="shared" si="19"/>
        <v>-6.3499999999999659</v>
      </c>
      <c r="P46" s="63">
        <f t="shared" si="19"/>
        <v>-5.9166666666666394</v>
      </c>
      <c r="Q46" s="63">
        <f t="shared" si="19"/>
        <v>-5.483333333333313</v>
      </c>
      <c r="R46" s="63">
        <f t="shared" si="19"/>
        <v>-5.0499999999999829</v>
      </c>
      <c r="S46" s="63">
        <f t="shared" si="19"/>
        <v>-4.6166666666666529</v>
      </c>
      <c r="T46" s="63">
        <f t="shared" si="19"/>
        <v>-3</v>
      </c>
      <c r="U46" s="63">
        <f t="shared" si="19"/>
        <v>-2.8200000000000003</v>
      </c>
      <c r="V46" s="63">
        <f t="shared" si="19"/>
        <v>-2.6400000000000006</v>
      </c>
      <c r="W46" s="63">
        <f t="shared" si="19"/>
        <v>-2.4600000000000009</v>
      </c>
      <c r="X46" s="63">
        <f t="shared" si="19"/>
        <v>-2.2800000000000011</v>
      </c>
      <c r="Y46" s="63">
        <f t="shared" si="19"/>
        <v>-2.0999999999999801</v>
      </c>
      <c r="Z46" s="63">
        <f t="shared" si="19"/>
        <v>-3.7799999999999869</v>
      </c>
      <c r="AA46" s="63">
        <f t="shared" si="19"/>
        <v>-5.4599999999999937</v>
      </c>
      <c r="AB46" s="63">
        <f t="shared" si="19"/>
        <v>-7.1400000000000006</v>
      </c>
      <c r="AC46" s="63">
        <f t="shared" si="19"/>
        <v>-8.8200000000000074</v>
      </c>
      <c r="AD46" s="63">
        <f t="shared" si="19"/>
        <v>-10.500000000000028</v>
      </c>
    </row>
    <row r="47" spans="1:30" x14ac:dyDescent="0.35">
      <c r="A47" s="5">
        <f t="shared" si="15"/>
        <v>0.48558549019356978</v>
      </c>
      <c r="B47" s="11">
        <f>NPV('Cost Assumptions'!$B$3,'VS to VN to VST &amp; Cen BESS VS'!D47:'VS to VN to VST &amp; Cen BESS VS'!AD47)</f>
        <v>52.609350081803619</v>
      </c>
      <c r="C47" s="88" t="s">
        <v>33</v>
      </c>
      <c r="D47" s="63">
        <f t="shared" ref="D47:AD47" si="20">D5-D21</f>
        <v>7.08362391362444E-2</v>
      </c>
      <c r="E47" s="63">
        <f t="shared" si="20"/>
        <v>0.15945042592125219</v>
      </c>
      <c r="F47" s="63">
        <f t="shared" si="20"/>
        <v>0.18767206111921694</v>
      </c>
      <c r="G47" s="63">
        <f t="shared" si="20"/>
        <v>0.21589369631718167</v>
      </c>
      <c r="H47" s="63">
        <f t="shared" si="20"/>
        <v>0.24411533151514642</v>
      </c>
      <c r="I47" s="63">
        <f t="shared" si="20"/>
        <v>0.27233696671311119</v>
      </c>
      <c r="J47" s="63">
        <f t="shared" si="20"/>
        <v>0.30055860191107586</v>
      </c>
      <c r="K47" s="63">
        <f t="shared" si="20"/>
        <v>0.37458306356981796</v>
      </c>
      <c r="L47" s="63">
        <f t="shared" si="20"/>
        <v>0.44860752522855996</v>
      </c>
      <c r="M47" s="63">
        <f t="shared" si="20"/>
        <v>0.52263198688730172</v>
      </c>
      <c r="N47" s="63">
        <f t="shared" si="20"/>
        <v>0.59665644854604416</v>
      </c>
      <c r="O47" s="63">
        <f t="shared" si="20"/>
        <v>2.8562717941184852</v>
      </c>
      <c r="P47" s="63">
        <f t="shared" si="20"/>
        <v>3.4137508991910614</v>
      </c>
      <c r="Q47" s="63">
        <f t="shared" si="20"/>
        <v>3.9712300042636386</v>
      </c>
      <c r="R47" s="63">
        <f t="shared" si="20"/>
        <v>4.5287091093362157</v>
      </c>
      <c r="S47" s="63">
        <f t="shared" si="20"/>
        <v>5.0861882144087947</v>
      </c>
      <c r="T47" s="63">
        <f t="shared" si="20"/>
        <v>3.9415310789815052</v>
      </c>
      <c r="U47" s="63">
        <f t="shared" si="20"/>
        <v>7.7774323404504884</v>
      </c>
      <c r="V47" s="63">
        <f t="shared" si="20"/>
        <v>11.613333601919472</v>
      </c>
      <c r="W47" s="63">
        <f t="shared" si="20"/>
        <v>15.449234863388455</v>
      </c>
      <c r="X47" s="63">
        <f t="shared" si="20"/>
        <v>19.285136124857438</v>
      </c>
      <c r="Y47" s="63">
        <f t="shared" si="20"/>
        <v>23.121037386326421</v>
      </c>
      <c r="Z47" s="63">
        <f t="shared" si="20"/>
        <v>40.823911086181809</v>
      </c>
      <c r="AA47" s="63">
        <f t="shared" si="20"/>
        <v>58.526784786037197</v>
      </c>
      <c r="AB47" s="63">
        <f t="shared" si="20"/>
        <v>76.229658485892571</v>
      </c>
      <c r="AC47" s="63">
        <f t="shared" si="20"/>
        <v>93.932532185747974</v>
      </c>
      <c r="AD47" s="63">
        <f t="shared" si="20"/>
        <v>111.63540588560335</v>
      </c>
    </row>
    <row r="48" spans="1:30" x14ac:dyDescent="0.35">
      <c r="A48" s="5">
        <f t="shared" si="15"/>
        <v>3.7017647833557164E-3</v>
      </c>
      <c r="B48" s="11">
        <f>NPV('Cost Assumptions'!$B$3,'VS to VN to VST &amp; Cen BESS VS'!D48:'VS to VN to VST &amp; Cen BESS VS'!AD48)</f>
        <v>0.42183026101000315</v>
      </c>
      <c r="C48" s="88" t="s">
        <v>34</v>
      </c>
      <c r="D48" s="63">
        <f t="shared" ref="D48:AD48" si="21">D6-D22</f>
        <v>1.3993836614470201E-3</v>
      </c>
      <c r="E48" s="63">
        <f t="shared" si="21"/>
        <v>4.9224786109266505E-3</v>
      </c>
      <c r="F48" s="63">
        <f t="shared" si="21"/>
        <v>4.0068469485473289E-3</v>
      </c>
      <c r="G48" s="63">
        <f t="shared" si="21"/>
        <v>3.0912152861680003E-3</v>
      </c>
      <c r="H48" s="63">
        <f t="shared" si="21"/>
        <v>2.1755836237886753E-3</v>
      </c>
      <c r="I48" s="63">
        <f t="shared" si="21"/>
        <v>1.2599519614093502E-3</v>
      </c>
      <c r="J48" s="63">
        <f t="shared" si="21"/>
        <v>3.4432029903003203E-4</v>
      </c>
      <c r="K48" s="63">
        <f t="shared" si="21"/>
        <v>1.441179295574857E-5</v>
      </c>
      <c r="L48" s="63">
        <f t="shared" si="21"/>
        <v>-3.1549671311853489E-4</v>
      </c>
      <c r="M48" s="63">
        <f t="shared" si="21"/>
        <v>-6.4540521919281835E-4</v>
      </c>
      <c r="N48" s="63">
        <f t="shared" si="21"/>
        <v>-9.7531372526710181E-4</v>
      </c>
      <c r="O48" s="63">
        <f t="shared" si="21"/>
        <v>3.469719757715628E-2</v>
      </c>
      <c r="P48" s="63">
        <f t="shared" si="21"/>
        <v>4.0496703449462879E-2</v>
      </c>
      <c r="Q48" s="63">
        <f t="shared" si="21"/>
        <v>4.6296209321769477E-2</v>
      </c>
      <c r="R48" s="63">
        <f t="shared" si="21"/>
        <v>5.2095715194076075E-2</v>
      </c>
      <c r="S48" s="63">
        <f t="shared" si="21"/>
        <v>5.7895221066382618E-2</v>
      </c>
      <c r="T48" s="63">
        <f t="shared" si="21"/>
        <v>3.3821721508572433E-2</v>
      </c>
      <c r="U48" s="63">
        <f t="shared" si="21"/>
        <v>6.8723708713954279E-2</v>
      </c>
      <c r="V48" s="63">
        <f t="shared" si="21"/>
        <v>0.10362569591933624</v>
      </c>
      <c r="W48" s="63">
        <f t="shared" si="21"/>
        <v>0.13852768312471819</v>
      </c>
      <c r="X48" s="63">
        <f t="shared" si="21"/>
        <v>0.17342967033010015</v>
      </c>
      <c r="Y48" s="63">
        <f t="shared" si="21"/>
        <v>0.20833165753548188</v>
      </c>
      <c r="Z48" s="63">
        <f t="shared" si="21"/>
        <v>0.32079081322952208</v>
      </c>
      <c r="AA48" s="63">
        <f t="shared" si="21"/>
        <v>0.43324996892356227</v>
      </c>
      <c r="AB48" s="63">
        <f t="shared" si="21"/>
        <v>0.54570912461760224</v>
      </c>
      <c r="AC48" s="63">
        <f t="shared" si="21"/>
        <v>0.65816828031164243</v>
      </c>
      <c r="AD48" s="63">
        <f t="shared" si="21"/>
        <v>0.77062743600568284</v>
      </c>
    </row>
    <row r="49" spans="1:30" x14ac:dyDescent="0.35">
      <c r="A49" s="5">
        <f t="shared" si="15"/>
        <v>1.0974999999999999</v>
      </c>
      <c r="B49" s="11">
        <f>NPV('Cost Assumptions'!$B$3,'VS to VN to VST &amp; Cen BESS VS'!D49:'VS to VN to VST &amp; Cen BESS VS'!AD49)</f>
        <v>270.87690837466926</v>
      </c>
      <c r="C49" s="88" t="s">
        <v>35</v>
      </c>
      <c r="D49" s="63">
        <f t="shared" ref="D49:AD49" si="22">D7-D23</f>
        <v>11</v>
      </c>
      <c r="E49" s="63">
        <f t="shared" si="22"/>
        <v>17.166666666666668</v>
      </c>
      <c r="F49" s="63">
        <f t="shared" si="22"/>
        <v>18.533333333333331</v>
      </c>
      <c r="G49" s="63">
        <f t="shared" si="22"/>
        <v>19.899999999999999</v>
      </c>
      <c r="H49" s="63">
        <f t="shared" si="22"/>
        <v>21.266666666666666</v>
      </c>
      <c r="I49" s="63">
        <f t="shared" si="22"/>
        <v>22.633333333333333</v>
      </c>
      <c r="J49" s="63">
        <f t="shared" si="22"/>
        <v>24</v>
      </c>
      <c r="K49" s="63">
        <f t="shared" si="22"/>
        <v>26.25</v>
      </c>
      <c r="L49" s="63">
        <f t="shared" si="22"/>
        <v>28.5</v>
      </c>
      <c r="M49" s="63">
        <f t="shared" si="22"/>
        <v>30.75</v>
      </c>
      <c r="N49" s="63">
        <f t="shared" si="22"/>
        <v>33</v>
      </c>
      <c r="O49" s="63">
        <f t="shared" si="22"/>
        <v>34.833333333333336</v>
      </c>
      <c r="P49" s="63">
        <f t="shared" si="22"/>
        <v>37.666666666666671</v>
      </c>
      <c r="Q49" s="63">
        <f t="shared" si="22"/>
        <v>40.5</v>
      </c>
      <c r="R49" s="63">
        <f t="shared" si="22"/>
        <v>43.333333333333329</v>
      </c>
      <c r="S49" s="63">
        <f t="shared" si="22"/>
        <v>46.166666666666657</v>
      </c>
      <c r="T49" s="63">
        <f t="shared" si="22"/>
        <v>50</v>
      </c>
      <c r="U49" s="63">
        <f t="shared" si="22"/>
        <v>51.400000000000006</v>
      </c>
      <c r="V49" s="63">
        <f t="shared" si="22"/>
        <v>52.800000000000011</v>
      </c>
      <c r="W49" s="63">
        <f t="shared" si="22"/>
        <v>54.200000000000017</v>
      </c>
      <c r="X49" s="63">
        <f t="shared" si="22"/>
        <v>55.600000000000023</v>
      </c>
      <c r="Y49" s="63">
        <f t="shared" si="22"/>
        <v>57</v>
      </c>
      <c r="Z49" s="63">
        <f t="shared" si="22"/>
        <v>59.399999999999991</v>
      </c>
      <c r="AA49" s="63">
        <f t="shared" si="22"/>
        <v>61.799999999999983</v>
      </c>
      <c r="AB49" s="63">
        <f t="shared" si="22"/>
        <v>64.199999999999974</v>
      </c>
      <c r="AC49" s="63">
        <f t="shared" si="22"/>
        <v>66.599999999999966</v>
      </c>
      <c r="AD49" s="63">
        <f t="shared" si="22"/>
        <v>69</v>
      </c>
    </row>
    <row r="50" spans="1:30" s="62" customFormat="1" x14ac:dyDescent="0.35">
      <c r="A50" s="5">
        <f t="shared" si="15"/>
        <v>278.47349338319282</v>
      </c>
      <c r="B50" s="11">
        <f>NPV('Cost Assumptions'!$B$3,'VS to VN to VST &amp; Cen BESS VS'!D50:'VS to VN to VST &amp; Cen BESS VS'!AD50)</f>
        <v>57953.567729287279</v>
      </c>
      <c r="C50" s="86" t="s">
        <v>153</v>
      </c>
      <c r="D50" s="63">
        <f>D13-D24</f>
        <v>1637.4650100268436</v>
      </c>
      <c r="E50" s="63">
        <f t="shared" ref="E50:AD50" si="23">E13-E24</f>
        <v>2177.3309561137412</v>
      </c>
      <c r="F50" s="63">
        <f t="shared" si="23"/>
        <v>2717.1969022006379</v>
      </c>
      <c r="G50" s="63">
        <f t="shared" si="23"/>
        <v>3257.0628482875345</v>
      </c>
      <c r="H50" s="63">
        <f t="shared" si="23"/>
        <v>3796.928794374433</v>
      </c>
      <c r="I50" s="63">
        <f t="shared" si="23"/>
        <v>4336.7947404613296</v>
      </c>
      <c r="J50" s="63">
        <f t="shared" si="23"/>
        <v>4876.6606865482263</v>
      </c>
      <c r="K50" s="63">
        <f t="shared" si="23"/>
        <v>5416.526632635123</v>
      </c>
      <c r="L50" s="63">
        <f t="shared" si="23"/>
        <v>6056.3925787219796</v>
      </c>
      <c r="M50" s="63">
        <f t="shared" si="23"/>
        <v>6496.2585248089163</v>
      </c>
      <c r="N50" s="63">
        <f t="shared" si="23"/>
        <v>7036.1244708958129</v>
      </c>
      <c r="O50" s="63">
        <f t="shared" si="23"/>
        <v>7575.9904169827096</v>
      </c>
      <c r="P50" s="63">
        <f t="shared" si="23"/>
        <v>8115.8563630696081</v>
      </c>
      <c r="Q50" s="63">
        <f t="shared" si="23"/>
        <v>8655.7223091565029</v>
      </c>
      <c r="R50" s="63">
        <f t="shared" si="23"/>
        <v>9195.5882552433977</v>
      </c>
      <c r="S50" s="63">
        <f t="shared" si="23"/>
        <v>9735.4542013302962</v>
      </c>
      <c r="T50" s="63">
        <f t="shared" si="23"/>
        <v>10275.320147417195</v>
      </c>
      <c r="U50" s="63">
        <f t="shared" si="23"/>
        <v>10815.18609350409</v>
      </c>
      <c r="V50" s="63">
        <f t="shared" si="23"/>
        <v>11355.052039590984</v>
      </c>
      <c r="W50" s="63">
        <f t="shared" si="23"/>
        <v>11894.917985677883</v>
      </c>
      <c r="X50" s="63">
        <f t="shared" si="23"/>
        <v>12434.783931764781</v>
      </c>
      <c r="Y50" s="63">
        <f t="shared" si="23"/>
        <v>15101.744689088213</v>
      </c>
      <c r="Z50" s="63">
        <f t="shared" si="23"/>
        <v>17768.705446411652</v>
      </c>
      <c r="AA50" s="63">
        <f t="shared" si="23"/>
        <v>20435.666203735087</v>
      </c>
      <c r="AB50" s="63">
        <f t="shared" si="23"/>
        <v>23102.626961058522</v>
      </c>
      <c r="AC50" s="63">
        <f t="shared" si="23"/>
        <v>25769.587718381958</v>
      </c>
      <c r="AD50" s="63">
        <f t="shared" si="23"/>
        <v>28436.548475705393</v>
      </c>
    </row>
    <row r="51" spans="1:30" s="62" customFormat="1" x14ac:dyDescent="0.35">
      <c r="A51" s="5">
        <f t="shared" si="15"/>
        <v>0</v>
      </c>
      <c r="B51" s="11">
        <f>NPV('Cost Assumptions'!$B$3,'VS to VN to VST &amp; Cen BESS VS'!D51:'VS to VN to VST &amp; Cen BESS VS'!AD51)</f>
        <v>0</v>
      </c>
      <c r="C51" s="86" t="s">
        <v>154</v>
      </c>
      <c r="D51" s="63">
        <f>D14-D25</f>
        <v>0</v>
      </c>
      <c r="E51" s="63">
        <f t="shared" ref="E51:AD51" si="24">E14-E25</f>
        <v>0</v>
      </c>
      <c r="F51" s="63">
        <f t="shared" si="24"/>
        <v>0</v>
      </c>
      <c r="G51" s="63">
        <f t="shared" si="24"/>
        <v>0</v>
      </c>
      <c r="H51" s="63">
        <f t="shared" si="24"/>
        <v>0</v>
      </c>
      <c r="I51" s="63">
        <f t="shared" si="24"/>
        <v>0</v>
      </c>
      <c r="J51" s="63">
        <f t="shared" si="24"/>
        <v>0</v>
      </c>
      <c r="K51" s="63">
        <f t="shared" si="24"/>
        <v>0</v>
      </c>
      <c r="L51" s="63">
        <f t="shared" si="24"/>
        <v>0</v>
      </c>
      <c r="M51" s="63">
        <f t="shared" si="24"/>
        <v>0</v>
      </c>
      <c r="N51" s="63">
        <f t="shared" si="24"/>
        <v>0</v>
      </c>
      <c r="O51" s="63">
        <f t="shared" si="24"/>
        <v>0</v>
      </c>
      <c r="P51" s="63">
        <f t="shared" si="24"/>
        <v>0</v>
      </c>
      <c r="Q51" s="63">
        <f t="shared" si="24"/>
        <v>0</v>
      </c>
      <c r="R51" s="63">
        <f t="shared" si="24"/>
        <v>0</v>
      </c>
      <c r="S51" s="63">
        <f t="shared" si="24"/>
        <v>0</v>
      </c>
      <c r="T51" s="63">
        <f t="shared" si="24"/>
        <v>0</v>
      </c>
      <c r="U51" s="63">
        <f t="shared" si="24"/>
        <v>0</v>
      </c>
      <c r="V51" s="63">
        <f t="shared" si="24"/>
        <v>0</v>
      </c>
      <c r="W51" s="63">
        <f t="shared" si="24"/>
        <v>0</v>
      </c>
      <c r="X51" s="63">
        <f t="shared" si="24"/>
        <v>0</v>
      </c>
      <c r="Y51" s="63">
        <f t="shared" si="24"/>
        <v>0</v>
      </c>
      <c r="Z51" s="63">
        <f t="shared" si="24"/>
        <v>0</v>
      </c>
      <c r="AA51" s="63">
        <f t="shared" si="24"/>
        <v>0</v>
      </c>
      <c r="AB51" s="63">
        <f t="shared" si="24"/>
        <v>0</v>
      </c>
      <c r="AC51" s="63">
        <f t="shared" si="24"/>
        <v>0</v>
      </c>
      <c r="AD51" s="63">
        <f t="shared" si="24"/>
        <v>0</v>
      </c>
    </row>
    <row r="52" spans="1:30" s="82" customFormat="1" x14ac:dyDescent="0.35">
      <c r="A52" s="5">
        <f t="shared" si="15"/>
        <v>1848.6795152685604</v>
      </c>
      <c r="B52" s="11">
        <f>NPV('Cost Assumptions'!$B$3,'VS to VN to VST &amp; Cen BESS VS'!D52:'VS to VN to VST &amp; Cen BESS VS'!AD52)</f>
        <v>528242.25788535213</v>
      </c>
      <c r="C52" s="86" t="s">
        <v>155</v>
      </c>
      <c r="D52" s="63">
        <f>D15-D26</f>
        <v>41950.270664950898</v>
      </c>
      <c r="E52" s="63">
        <f t="shared" ref="E52:AD52" si="25">E15-E26</f>
        <v>44543.511863020707</v>
      </c>
      <c r="F52" s="63">
        <f t="shared" si="25"/>
        <v>45828.868549568069</v>
      </c>
      <c r="G52" s="63">
        <f t="shared" si="25"/>
        <v>47153.388319177473</v>
      </c>
      <c r="H52" s="63">
        <f t="shared" si="25"/>
        <v>48574.508171559806</v>
      </c>
      <c r="I52" s="63">
        <f t="shared" si="25"/>
        <v>50215.756740615325</v>
      </c>
      <c r="J52" s="63">
        <f t="shared" si="25"/>
        <v>51874.628505256784</v>
      </c>
      <c r="K52" s="63">
        <f t="shared" si="25"/>
        <v>53948.57443924679</v>
      </c>
      <c r="L52" s="63">
        <f t="shared" si="25"/>
        <v>56088.226650565055</v>
      </c>
      <c r="M52" s="63">
        <f t="shared" si="25"/>
        <v>58289.349617770917</v>
      </c>
      <c r="N52" s="63">
        <f t="shared" si="25"/>
        <v>60550.041456789753</v>
      </c>
      <c r="O52" s="63">
        <f t="shared" si="25"/>
        <v>62901.781122832261</v>
      </c>
      <c r="P52" s="63">
        <f t="shared" si="25"/>
        <v>65336.06110877014</v>
      </c>
      <c r="Q52" s="63">
        <f t="shared" si="25"/>
        <v>67785.831116802379</v>
      </c>
      <c r="R52" s="63">
        <f t="shared" si="25"/>
        <v>70278.290238368936</v>
      </c>
      <c r="S52" s="63">
        <f t="shared" si="25"/>
        <v>72822.215885590063</v>
      </c>
      <c r="T52" s="63">
        <f t="shared" si="25"/>
        <v>75385.324227160687</v>
      </c>
      <c r="U52" s="63">
        <f t="shared" si="25"/>
        <v>77761.621420701849</v>
      </c>
      <c r="V52" s="63">
        <f t="shared" si="25"/>
        <v>80141.816348201392</v>
      </c>
      <c r="W52" s="63">
        <f t="shared" si="25"/>
        <v>82517.070702119643</v>
      </c>
      <c r="X52" s="63">
        <f t="shared" si="25"/>
        <v>84916.872847499122</v>
      </c>
      <c r="Y52" s="63">
        <f t="shared" si="25"/>
        <v>86971.905972220906</v>
      </c>
      <c r="Z52" s="63">
        <f t="shared" si="25"/>
        <v>88998.405281233674</v>
      </c>
      <c r="AA52" s="63">
        <f t="shared" si="25"/>
        <v>90953.831853152718</v>
      </c>
      <c r="AB52" s="63">
        <f t="shared" si="25"/>
        <v>92867.123730712905</v>
      </c>
      <c r="AC52" s="63">
        <f t="shared" si="25"/>
        <v>94346.487141184916</v>
      </c>
      <c r="AD52" s="63">
        <f t="shared" si="25"/>
        <v>95677.751293487672</v>
      </c>
    </row>
    <row r="53" spans="1:30" x14ac:dyDescent="0.35">
      <c r="A53" s="5">
        <f t="shared" si="15"/>
        <v>54.062300000000008</v>
      </c>
      <c r="B53" s="11">
        <f>NPV('Cost Assumptions'!$B$3,'VS to VN to VST &amp; Cen BESS VS'!D53:'VS to VN to VST &amp; Cen BESS VS'!AD53)</f>
        <v>8428.6491804225825</v>
      </c>
      <c r="C53" s="88" t="s">
        <v>31</v>
      </c>
      <c r="D53" s="63">
        <f>D8-SUM(D28,D27)</f>
        <v>22.2</v>
      </c>
      <c r="E53" s="63">
        <f t="shared" ref="E53:AD53" si="26">E8-SUM(E28,E27)</f>
        <v>65.8</v>
      </c>
      <c r="F53" s="63">
        <f t="shared" si="26"/>
        <v>102.72</v>
      </c>
      <c r="G53" s="63">
        <f t="shared" si="26"/>
        <v>139.63999999999999</v>
      </c>
      <c r="H53" s="63">
        <f t="shared" si="26"/>
        <v>176.56</v>
      </c>
      <c r="I53" s="63">
        <f t="shared" si="26"/>
        <v>213.48000000000002</v>
      </c>
      <c r="J53" s="63">
        <f t="shared" si="26"/>
        <v>250.4</v>
      </c>
      <c r="K53" s="63">
        <f t="shared" si="26"/>
        <v>348.67500000000001</v>
      </c>
      <c r="L53" s="63">
        <f t="shared" si="26"/>
        <v>446.95000000000005</v>
      </c>
      <c r="M53" s="63">
        <f t="shared" si="26"/>
        <v>545.22500000000002</v>
      </c>
      <c r="N53" s="63">
        <f t="shared" si="26"/>
        <v>643.5</v>
      </c>
      <c r="O53" s="63">
        <f t="shared" si="26"/>
        <v>904.91666666666674</v>
      </c>
      <c r="P53" s="63">
        <f t="shared" si="26"/>
        <v>1166.3333333333335</v>
      </c>
      <c r="Q53" s="63">
        <f t="shared" si="26"/>
        <v>1427.7500000000002</v>
      </c>
      <c r="R53" s="63">
        <f t="shared" si="26"/>
        <v>1689.166666666667</v>
      </c>
      <c r="S53" s="63">
        <f t="shared" si="26"/>
        <v>1950.5833333333337</v>
      </c>
      <c r="T53" s="63">
        <f t="shared" si="26"/>
        <v>2212</v>
      </c>
      <c r="U53" s="63">
        <f t="shared" si="26"/>
        <v>2606.48</v>
      </c>
      <c r="V53" s="63">
        <f t="shared" si="26"/>
        <v>3000.96</v>
      </c>
      <c r="W53" s="63">
        <f t="shared" si="26"/>
        <v>3369.3733333333334</v>
      </c>
      <c r="X53" s="63">
        <f t="shared" si="26"/>
        <v>3737.7866666666669</v>
      </c>
      <c r="Y53" s="63">
        <f t="shared" si="26"/>
        <v>4106.2000000000007</v>
      </c>
      <c r="Z53" s="63">
        <f t="shared" si="26"/>
        <v>4399.84</v>
      </c>
      <c r="AA53" s="63">
        <f t="shared" si="26"/>
        <v>4693.4800000000005</v>
      </c>
      <c r="AB53" s="63">
        <f t="shared" si="26"/>
        <v>4987.1200000000008</v>
      </c>
      <c r="AC53" s="63">
        <f t="shared" si="26"/>
        <v>5280.76</v>
      </c>
      <c r="AD53" s="63">
        <f t="shared" si="26"/>
        <v>5574.3999999999987</v>
      </c>
    </row>
    <row r="54" spans="1:30" x14ac:dyDescent="0.35">
      <c r="A54" s="5">
        <f t="shared" si="15"/>
        <v>3.6868000000000003</v>
      </c>
      <c r="B54" s="11">
        <f>NPV('Cost Assumptions'!$B$3,'VS to VN to VST &amp; Cen BESS VS'!D54:'VS to VN to VST &amp; Cen BESS VS'!AD54)</f>
        <v>817.28387237435788</v>
      </c>
      <c r="C54" s="88" t="s">
        <v>32</v>
      </c>
      <c r="D54" s="63">
        <f t="shared" ref="D54:AD54" si="27">D9-D29</f>
        <v>13</v>
      </c>
      <c r="E54" s="63">
        <f t="shared" si="27"/>
        <v>27</v>
      </c>
      <c r="F54" s="63">
        <f t="shared" si="27"/>
        <v>34.519999999999982</v>
      </c>
      <c r="G54" s="63">
        <f t="shared" si="27"/>
        <v>42.039999999999964</v>
      </c>
      <c r="H54" s="63">
        <f t="shared" si="27"/>
        <v>49.559999999999945</v>
      </c>
      <c r="I54" s="63">
        <f t="shared" si="27"/>
        <v>57.079999999999927</v>
      </c>
      <c r="J54" s="63">
        <f t="shared" si="27"/>
        <v>64.599999999999909</v>
      </c>
      <c r="K54" s="63">
        <f t="shared" si="27"/>
        <v>75.024999999999935</v>
      </c>
      <c r="L54" s="63">
        <f t="shared" si="27"/>
        <v>85.44999999999996</v>
      </c>
      <c r="M54" s="63">
        <f t="shared" si="27"/>
        <v>95.874999999999986</v>
      </c>
      <c r="N54" s="63">
        <f t="shared" si="27"/>
        <v>106.3</v>
      </c>
      <c r="O54" s="63">
        <f t="shared" si="27"/>
        <v>120.25</v>
      </c>
      <c r="P54" s="63">
        <f t="shared" si="27"/>
        <v>134.19999999999999</v>
      </c>
      <c r="Q54" s="63">
        <f t="shared" si="27"/>
        <v>148.14999999999998</v>
      </c>
      <c r="R54" s="63">
        <f t="shared" si="27"/>
        <v>162.09999999999997</v>
      </c>
      <c r="S54" s="63">
        <f t="shared" si="27"/>
        <v>176.04999999999995</v>
      </c>
      <c r="T54" s="63">
        <f t="shared" si="27"/>
        <v>190</v>
      </c>
      <c r="U54" s="63">
        <f t="shared" si="27"/>
        <v>201.2</v>
      </c>
      <c r="V54" s="63">
        <f t="shared" si="27"/>
        <v>212.39999999999998</v>
      </c>
      <c r="W54" s="63">
        <f t="shared" si="27"/>
        <v>213.59999999999997</v>
      </c>
      <c r="X54" s="63">
        <f t="shared" si="27"/>
        <v>214.79999999999995</v>
      </c>
      <c r="Y54" s="63">
        <f t="shared" si="27"/>
        <v>216</v>
      </c>
      <c r="Z54" s="63">
        <f t="shared" si="27"/>
        <v>213.84000000000003</v>
      </c>
      <c r="AA54" s="63">
        <f t="shared" si="27"/>
        <v>211.68000000000004</v>
      </c>
      <c r="AB54" s="63">
        <f t="shared" si="27"/>
        <v>209.52000000000004</v>
      </c>
      <c r="AC54" s="63">
        <f t="shared" si="27"/>
        <v>207.36000000000007</v>
      </c>
      <c r="AD54" s="63">
        <f t="shared" si="27"/>
        <v>205.2000000000001</v>
      </c>
    </row>
    <row r="55" spans="1:30" x14ac:dyDescent="0.35">
      <c r="A55" s="5">
        <f t="shared" si="15"/>
        <v>3.2664907173552327</v>
      </c>
      <c r="B55" s="11">
        <f>NPV('Cost Assumptions'!$B$3,'VS to VN to VST &amp; Cen BESS VS'!D55:'VS to VN to VST &amp; Cen BESS VS'!AD55)</f>
        <v>404.12083984884094</v>
      </c>
      <c r="C55" s="88" t="s">
        <v>33</v>
      </c>
      <c r="D55" s="63">
        <f t="shared" ref="D55:AD55" si="28">D10-D30</f>
        <v>4.7253529883901121E-2</v>
      </c>
      <c r="E55" s="63">
        <f t="shared" si="28"/>
        <v>0.28011551949195379</v>
      </c>
      <c r="F55" s="63">
        <f t="shared" si="28"/>
        <v>0.59718244793816533</v>
      </c>
      <c r="G55" s="63">
        <f t="shared" si="28"/>
        <v>0.91424937638437687</v>
      </c>
      <c r="H55" s="63">
        <f t="shared" si="28"/>
        <v>1.2313163048305884</v>
      </c>
      <c r="I55" s="63">
        <f t="shared" si="28"/>
        <v>1.5483832332767999</v>
      </c>
      <c r="J55" s="63">
        <f t="shared" si="28"/>
        <v>1.8654501617230115</v>
      </c>
      <c r="K55" s="63">
        <f t="shared" si="28"/>
        <v>3.796086780774603</v>
      </c>
      <c r="L55" s="63">
        <f t="shared" si="28"/>
        <v>5.726723399826195</v>
      </c>
      <c r="M55" s="63">
        <f t="shared" si="28"/>
        <v>7.6573600188777871</v>
      </c>
      <c r="N55" s="63">
        <f t="shared" si="28"/>
        <v>9.5879966379293773</v>
      </c>
      <c r="O55" s="63">
        <f t="shared" si="28"/>
        <v>22.507331657050738</v>
      </c>
      <c r="P55" s="63">
        <f t="shared" si="28"/>
        <v>35.426666676172097</v>
      </c>
      <c r="Q55" s="63">
        <f t="shared" si="28"/>
        <v>48.346001695293459</v>
      </c>
      <c r="R55" s="63">
        <f t="shared" si="28"/>
        <v>61.265336714414822</v>
      </c>
      <c r="S55" s="63">
        <f t="shared" si="28"/>
        <v>74.184671733536177</v>
      </c>
      <c r="T55" s="63">
        <f t="shared" si="28"/>
        <v>87.10400675265754</v>
      </c>
      <c r="U55" s="63">
        <f t="shared" si="28"/>
        <v>116.88846005819971</v>
      </c>
      <c r="V55" s="63">
        <f t="shared" si="28"/>
        <v>146.67291336374188</v>
      </c>
      <c r="W55" s="63">
        <f t="shared" si="28"/>
        <v>176.42120910076773</v>
      </c>
      <c r="X55" s="63">
        <f t="shared" si="28"/>
        <v>206.16950483779357</v>
      </c>
      <c r="Y55" s="63">
        <f t="shared" si="28"/>
        <v>235.91780057481944</v>
      </c>
      <c r="Z55" s="63">
        <f t="shared" si="28"/>
        <v>292.1008468352029</v>
      </c>
      <c r="AA55" s="63">
        <f t="shared" si="28"/>
        <v>348.28389309558639</v>
      </c>
      <c r="AB55" s="63">
        <f t="shared" si="28"/>
        <v>404.46693935596983</v>
      </c>
      <c r="AC55" s="63">
        <f t="shared" si="28"/>
        <v>460.64998561635326</v>
      </c>
      <c r="AD55" s="63">
        <f t="shared" si="28"/>
        <v>516.83303187673675</v>
      </c>
    </row>
    <row r="56" spans="1:30" x14ac:dyDescent="0.35">
      <c r="A56" s="5">
        <f t="shared" si="15"/>
        <v>6.0081911233548987E-2</v>
      </c>
      <c r="B56" s="11">
        <f>NPV('Cost Assumptions'!$B$3,'VS to VN to VST &amp; Cen BESS VS'!D56:'VS to VN to VST &amp; Cen BESS VS'!AD56)</f>
        <v>9.2000393391799342</v>
      </c>
      <c r="C56" s="88" t="s">
        <v>34</v>
      </c>
      <c r="D56" s="63">
        <f t="shared" ref="D56:AD56" si="29">D11-D31</f>
        <v>2.3626764941950561E-2</v>
      </c>
      <c r="E56" s="63">
        <f t="shared" si="29"/>
        <v>7.0028879872988448E-2</v>
      </c>
      <c r="F56" s="63">
        <f t="shared" si="29"/>
        <v>0.10932167994761965</v>
      </c>
      <c r="G56" s="63">
        <f t="shared" si="29"/>
        <v>0.14861448002225086</v>
      </c>
      <c r="H56" s="63">
        <f t="shared" si="29"/>
        <v>0.18790728009688207</v>
      </c>
      <c r="I56" s="63">
        <f t="shared" si="29"/>
        <v>0.22720008017151327</v>
      </c>
      <c r="J56" s="63">
        <f t="shared" si="29"/>
        <v>0.26649288024614448</v>
      </c>
      <c r="K56" s="63">
        <f t="shared" si="29"/>
        <v>0.37108388586191865</v>
      </c>
      <c r="L56" s="63">
        <f t="shared" si="29"/>
        <v>0.47567489147769282</v>
      </c>
      <c r="M56" s="63">
        <f t="shared" si="29"/>
        <v>0.58026589709346699</v>
      </c>
      <c r="N56" s="63">
        <f t="shared" si="29"/>
        <v>0.68485690270924116</v>
      </c>
      <c r="O56" s="63">
        <f t="shared" si="29"/>
        <v>0.96307447636877097</v>
      </c>
      <c r="P56" s="63">
        <f t="shared" si="29"/>
        <v>1.2412920500283007</v>
      </c>
      <c r="Q56" s="63">
        <f t="shared" si="29"/>
        <v>1.5195096236878305</v>
      </c>
      <c r="R56" s="63">
        <f t="shared" si="29"/>
        <v>1.7977271973473603</v>
      </c>
      <c r="S56" s="63">
        <f t="shared" si="29"/>
        <v>2.0759447710068901</v>
      </c>
      <c r="T56" s="63">
        <f t="shared" si="29"/>
        <v>2.3541623446664199</v>
      </c>
      <c r="U56" s="63">
        <f t="shared" si="29"/>
        <v>2.7739950579232056</v>
      </c>
      <c r="V56" s="63">
        <f t="shared" si="29"/>
        <v>3.1938277711799912</v>
      </c>
      <c r="W56" s="63">
        <f t="shared" si="29"/>
        <v>3.6076342230173881</v>
      </c>
      <c r="X56" s="63">
        <f t="shared" si="29"/>
        <v>4.0214406748547855</v>
      </c>
      <c r="Y56" s="63">
        <f t="shared" si="29"/>
        <v>4.4352471266921816</v>
      </c>
      <c r="Z56" s="63">
        <f t="shared" si="29"/>
        <v>4.8870302374170675</v>
      </c>
      <c r="AA56" s="63">
        <f t="shared" si="29"/>
        <v>5.3388133481419535</v>
      </c>
      <c r="AB56" s="63">
        <f t="shared" si="29"/>
        <v>5.7905964588668386</v>
      </c>
      <c r="AC56" s="63">
        <f t="shared" si="29"/>
        <v>6.2423795695917246</v>
      </c>
      <c r="AD56" s="63">
        <f t="shared" si="29"/>
        <v>6.6941626803166114</v>
      </c>
    </row>
    <row r="57" spans="1:30" x14ac:dyDescent="0.35">
      <c r="A57" s="5">
        <f t="shared" si="15"/>
        <v>0.74099999999999999</v>
      </c>
      <c r="B57" s="11">
        <f>NPV('Cost Assumptions'!$B$3,'VS to VN to VST &amp; Cen BESS VS'!D57:'VS to VN to VST &amp; Cen BESS VS'!AD57)</f>
        <v>139.74932100114651</v>
      </c>
      <c r="C57" s="88" t="s">
        <v>35</v>
      </c>
      <c r="D57" s="63">
        <f t="shared" ref="D57:AD57" si="30">D12-D32</f>
        <v>2</v>
      </c>
      <c r="E57" s="63">
        <f t="shared" si="30"/>
        <v>4</v>
      </c>
      <c r="F57" s="63">
        <f t="shared" si="30"/>
        <v>4.5999999999999996</v>
      </c>
      <c r="G57" s="63">
        <f t="shared" si="30"/>
        <v>5.1999999999999993</v>
      </c>
      <c r="H57" s="63">
        <f t="shared" si="30"/>
        <v>5.7999999999999989</v>
      </c>
      <c r="I57" s="63">
        <f t="shared" si="30"/>
        <v>6.3999999999999986</v>
      </c>
      <c r="J57" s="63">
        <f t="shared" si="30"/>
        <v>7</v>
      </c>
      <c r="K57" s="63">
        <f t="shared" si="30"/>
        <v>8.75</v>
      </c>
      <c r="L57" s="63">
        <f t="shared" si="30"/>
        <v>10.5</v>
      </c>
      <c r="M57" s="63">
        <f t="shared" si="30"/>
        <v>12.25</v>
      </c>
      <c r="N57" s="63">
        <f t="shared" si="30"/>
        <v>14</v>
      </c>
      <c r="O57" s="63">
        <f t="shared" si="30"/>
        <v>17.833333333333332</v>
      </c>
      <c r="P57" s="63">
        <f t="shared" si="30"/>
        <v>21.666666666666664</v>
      </c>
      <c r="Q57" s="63">
        <f t="shared" si="30"/>
        <v>25.499999999999996</v>
      </c>
      <c r="R57" s="63">
        <f t="shared" si="30"/>
        <v>29.333333333333329</v>
      </c>
      <c r="S57" s="63">
        <f t="shared" si="30"/>
        <v>33.166666666666664</v>
      </c>
      <c r="T57" s="63">
        <f t="shared" si="30"/>
        <v>37</v>
      </c>
      <c r="U57" s="63">
        <f t="shared" si="30"/>
        <v>40.200000000000003</v>
      </c>
      <c r="V57" s="63">
        <f t="shared" si="30"/>
        <v>43.400000000000006</v>
      </c>
      <c r="W57" s="63">
        <f t="shared" si="30"/>
        <v>44.933333333333344</v>
      </c>
      <c r="X57" s="63">
        <f t="shared" si="30"/>
        <v>46.466666666666676</v>
      </c>
      <c r="Y57" s="63">
        <f t="shared" si="30"/>
        <v>48</v>
      </c>
      <c r="Z57" s="63">
        <f t="shared" si="30"/>
        <v>50.199999999999996</v>
      </c>
      <c r="AA57" s="63">
        <f t="shared" si="30"/>
        <v>52.399999999999991</v>
      </c>
      <c r="AB57" s="63">
        <f t="shared" si="30"/>
        <v>54.599999999999994</v>
      </c>
      <c r="AC57" s="63">
        <f t="shared" si="30"/>
        <v>56.79999999999999</v>
      </c>
      <c r="AD57" s="63">
        <f t="shared" si="30"/>
        <v>59</v>
      </c>
    </row>
    <row r="59" spans="1:30" ht="15" thickBot="1" x14ac:dyDescent="0.4">
      <c r="A59" s="166" t="s">
        <v>156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.5" thickTop="1" thickBot="1" x14ac:dyDescent="0.4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</row>
    <row r="61" spans="1:30" ht="15" thickTop="1" x14ac:dyDescent="0.35">
      <c r="A61" s="88" t="str">
        <f>'Baseline System Analysis'!A17</f>
        <v>Residential</v>
      </c>
      <c r="B61" s="88" t="str">
        <f>'Baseline System Analysis'!B17</f>
        <v>Cost of Reliability (N-1)</v>
      </c>
      <c r="C61" s="88" t="str">
        <f>'Baseline System Analysis'!C17</f>
        <v>$/kWh</v>
      </c>
      <c r="D61" s="5">
        <f>'Baseline System Analysis'!D17</f>
        <v>4.4933261328125003</v>
      </c>
      <c r="E61" s="5">
        <f>'Baseline System Analysis'!E17</f>
        <v>4.6056592861328127</v>
      </c>
      <c r="F61" s="5">
        <f>'Baseline System Analysis'!F17</f>
        <v>4.720800768286133</v>
      </c>
      <c r="G61" s="5">
        <f>'Baseline System Analysis'!G17</f>
        <v>4.8388207874932858</v>
      </c>
      <c r="H61" s="5">
        <f>'Baseline System Analysis'!H17</f>
        <v>4.9597913071806179</v>
      </c>
      <c r="I61" s="5">
        <f>'Baseline System Analysis'!I17</f>
        <v>5.0837860898601326</v>
      </c>
      <c r="J61" s="5">
        <f>'Baseline System Analysis'!J17</f>
        <v>5.2108807421066352</v>
      </c>
      <c r="K61" s="5">
        <f>'Baseline System Analysis'!K17</f>
        <v>5.341152760659301</v>
      </c>
      <c r="L61" s="5">
        <f>'Baseline System Analysis'!L17</f>
        <v>5.4746815796757833</v>
      </c>
      <c r="M61" s="5">
        <f>'Baseline System Analysis'!M17</f>
        <v>5.6115486191676771</v>
      </c>
      <c r="N61" s="5">
        <f>'Baseline System Analysis'!N17</f>
        <v>5.7518373346468685</v>
      </c>
      <c r="O61" s="5">
        <f>'Baseline System Analysis'!O17</f>
        <v>5.8956332680130394</v>
      </c>
      <c r="P61" s="5">
        <f>'Baseline System Analysis'!P17</f>
        <v>6.0430240997133646</v>
      </c>
      <c r="Q61" s="5">
        <f>'Baseline System Analysis'!Q17</f>
        <v>6.1940997022061985</v>
      </c>
      <c r="R61" s="5">
        <f>'Baseline System Analysis'!R17</f>
        <v>6.3489521947613525</v>
      </c>
      <c r="S61" s="5">
        <f>'Baseline System Analysis'!S17</f>
        <v>6.5076759996303855</v>
      </c>
      <c r="T61" s="5">
        <f>'Baseline System Analysis'!T17</f>
        <v>6.6703678996211444</v>
      </c>
      <c r="U61" s="5">
        <f>'Baseline System Analysis'!U17</f>
        <v>6.8371270971116722</v>
      </c>
      <c r="V61" s="5">
        <f>'Baseline System Analysis'!V17</f>
        <v>7.0080552745394638</v>
      </c>
      <c r="W61" s="5">
        <f>'Baseline System Analysis'!W17</f>
        <v>7.1832566564029499</v>
      </c>
      <c r="X61" s="5">
        <f>'Baseline System Analysis'!X17</f>
        <v>7.3628380728130232</v>
      </c>
      <c r="Y61" s="5">
        <f>'Baseline System Analysis'!Y17</f>
        <v>7.5469090246333481</v>
      </c>
      <c r="Z61" s="5">
        <f>'Baseline System Analysis'!Z17</f>
        <v>7.7355817502491808</v>
      </c>
      <c r="AA61" s="5">
        <f>'Baseline System Analysis'!AA17</f>
        <v>7.92897129400541</v>
      </c>
      <c r="AB61" s="5">
        <f>'Baseline System Analysis'!AB17</f>
        <v>8.127195576355545</v>
      </c>
      <c r="AC61" s="5">
        <f>'Baseline System Analysis'!AC17</f>
        <v>8.3303754657644333</v>
      </c>
      <c r="AD61" s="5">
        <f>'Baseline System Analysis'!AD17</f>
        <v>8.5386348524085438</v>
      </c>
    </row>
    <row r="62" spans="1:30" x14ac:dyDescent="0.35">
      <c r="A62" s="88" t="str">
        <f>'Baseline System Analysis'!A18</f>
        <v>Residential</v>
      </c>
      <c r="B62" s="88" t="str">
        <f>'Baseline System Analysis'!B18</f>
        <v>Cost of Reliability (N-0)</v>
      </c>
      <c r="C62" s="88" t="str">
        <f>'Baseline System Analysis'!C18</f>
        <v>$/kWh</v>
      </c>
      <c r="D62" s="5">
        <f>'Baseline System Analysis'!D18</f>
        <v>3.7920011132812492</v>
      </c>
      <c r="E62" s="5">
        <f>'Baseline System Analysis'!E18</f>
        <v>3.8868011411132799</v>
      </c>
      <c r="F62" s="5">
        <f>'Baseline System Analysis'!F18</f>
        <v>3.9839711696411118</v>
      </c>
      <c r="G62" s="5">
        <f>'Baseline System Analysis'!G18</f>
        <v>4.0835704488821394</v>
      </c>
      <c r="H62" s="5">
        <f>'Baseline System Analysis'!H18</f>
        <v>4.1856597101041926</v>
      </c>
      <c r="I62" s="5">
        <f>'Baseline System Analysis'!I18</f>
        <v>4.2903012028567966</v>
      </c>
      <c r="J62" s="5">
        <f>'Baseline System Analysis'!J18</f>
        <v>4.397558732928216</v>
      </c>
      <c r="K62" s="5">
        <f>'Baseline System Analysis'!K18</f>
        <v>4.5074977012514212</v>
      </c>
      <c r="L62" s="5">
        <f>'Baseline System Analysis'!L18</f>
        <v>4.6201851437827059</v>
      </c>
      <c r="M62" s="5">
        <f>'Baseline System Analysis'!M18</f>
        <v>4.7356897723772731</v>
      </c>
      <c r="N62" s="5">
        <f>'Baseline System Analysis'!N18</f>
        <v>4.8540820166867045</v>
      </c>
      <c r="O62" s="5">
        <f>'Baseline System Analysis'!O18</f>
        <v>4.9754340671038717</v>
      </c>
      <c r="P62" s="5">
        <f>'Baseline System Analysis'!P18</f>
        <v>5.0998199187814679</v>
      </c>
      <c r="Q62" s="5">
        <f>'Baseline System Analysis'!Q18</f>
        <v>5.2273154167510043</v>
      </c>
      <c r="R62" s="5">
        <f>'Baseline System Analysis'!R18</f>
        <v>5.3579983021697792</v>
      </c>
      <c r="S62" s="5">
        <f>'Baseline System Analysis'!S18</f>
        <v>5.4919482597240235</v>
      </c>
      <c r="T62" s="5">
        <f>'Baseline System Analysis'!T18</f>
        <v>5.6292469662171234</v>
      </c>
      <c r="U62" s="5">
        <f>'Baseline System Analysis'!U18</f>
        <v>5.769978140372551</v>
      </c>
      <c r="V62" s="5">
        <f>'Baseline System Analysis'!V18</f>
        <v>5.914227593881864</v>
      </c>
      <c r="W62" s="5">
        <f>'Baseline System Analysis'!W18</f>
        <v>6.06208328372891</v>
      </c>
      <c r="X62" s="5">
        <f>'Baseline System Analysis'!X18</f>
        <v>6.2136353658221326</v>
      </c>
      <c r="Y62" s="5">
        <f>'Baseline System Analysis'!Y18</f>
        <v>6.3689762499676856</v>
      </c>
      <c r="Z62" s="5">
        <f>'Baseline System Analysis'!Z18</f>
        <v>6.5282006562168773</v>
      </c>
      <c r="AA62" s="5">
        <f>'Baseline System Analysis'!AA18</f>
        <v>6.6914056726222988</v>
      </c>
      <c r="AB62" s="5">
        <f>'Baseline System Analysis'!AB18</f>
        <v>6.858690814437856</v>
      </c>
      <c r="AC62" s="5">
        <f>'Baseline System Analysis'!AC18</f>
        <v>7.0301580847988019</v>
      </c>
      <c r="AD62" s="5">
        <f>'Baseline System Analysis'!AD18</f>
        <v>7.2059120369187717</v>
      </c>
    </row>
    <row r="63" spans="1:30" x14ac:dyDescent="0.35">
      <c r="A63" s="88" t="str">
        <f>'Baseline System Analysis'!A19</f>
        <v>Commerical</v>
      </c>
      <c r="B63" s="88" t="str">
        <f>'Baseline System Analysis'!B19</f>
        <v>Cost of Reliability (N-1)</v>
      </c>
      <c r="C63" s="88" t="str">
        <f>'Baseline System Analysis'!C19</f>
        <v>$/kWh</v>
      </c>
      <c r="D63" s="5">
        <f>'Baseline System Analysis'!D19</f>
        <v>166.59767191406246</v>
      </c>
      <c r="E63" s="5">
        <f>'Baseline System Analysis'!E19</f>
        <v>170.76261371191401</v>
      </c>
      <c r="F63" s="5">
        <f>'Baseline System Analysis'!F19</f>
        <v>175.03167905471184</v>
      </c>
      <c r="G63" s="5">
        <f>'Baseline System Analysis'!G19</f>
        <v>179.40747103107964</v>
      </c>
      <c r="H63" s="5">
        <f>'Baseline System Analysis'!H19</f>
        <v>183.89265780685662</v>
      </c>
      <c r="I63" s="5">
        <f>'Baseline System Analysis'!I19</f>
        <v>188.48997425202802</v>
      </c>
      <c r="J63" s="5">
        <f>'Baseline System Analysis'!J19</f>
        <v>193.20222360832869</v>
      </c>
      <c r="K63" s="5">
        <f>'Baseline System Analysis'!K19</f>
        <v>198.03227919853688</v>
      </c>
      <c r="L63" s="5">
        <f>'Baseline System Analysis'!L19</f>
        <v>202.98308617850029</v>
      </c>
      <c r="M63" s="5">
        <f>'Baseline System Analysis'!M19</f>
        <v>208.05766333296279</v>
      </c>
      <c r="N63" s="5">
        <f>'Baseline System Analysis'!N19</f>
        <v>213.25910491628684</v>
      </c>
      <c r="O63" s="5">
        <f>'Baseline System Analysis'!O19</f>
        <v>218.590582539194</v>
      </c>
      <c r="P63" s="5">
        <f>'Baseline System Analysis'!P19</f>
        <v>224.05534710267384</v>
      </c>
      <c r="Q63" s="5">
        <f>'Baseline System Analysis'!Q19</f>
        <v>229.65673078024065</v>
      </c>
      <c r="R63" s="5">
        <f>'Baseline System Analysis'!R19</f>
        <v>235.39814904974665</v>
      </c>
      <c r="S63" s="5">
        <f>'Baseline System Analysis'!S19</f>
        <v>241.2831027759903</v>
      </c>
      <c r="T63" s="5">
        <f>'Baseline System Analysis'!T19</f>
        <v>247.31518034539005</v>
      </c>
      <c r="U63" s="5">
        <f>'Baseline System Analysis'!U19</f>
        <v>253.49805985402477</v>
      </c>
      <c r="V63" s="5">
        <f>'Baseline System Analysis'!V19</f>
        <v>259.83551135037538</v>
      </c>
      <c r="W63" s="5">
        <f>'Baseline System Analysis'!W19</f>
        <v>266.33139913413476</v>
      </c>
      <c r="X63" s="5">
        <f>'Baseline System Analysis'!X19</f>
        <v>272.98968411248808</v>
      </c>
      <c r="Y63" s="5">
        <f>'Baseline System Analysis'!Y19</f>
        <v>279.81442621530027</v>
      </c>
      <c r="Z63" s="5">
        <f>'Baseline System Analysis'!Z19</f>
        <v>286.80978687068273</v>
      </c>
      <c r="AA63" s="5">
        <f>'Baseline System Analysis'!AA19</f>
        <v>293.98003154244975</v>
      </c>
      <c r="AB63" s="5">
        <f>'Baseline System Analysis'!AB19</f>
        <v>301.32953233101097</v>
      </c>
      <c r="AC63" s="5">
        <f>'Baseline System Analysis'!AC19</f>
        <v>308.86277063928623</v>
      </c>
      <c r="AD63" s="5">
        <f>'Baseline System Analysis'!AD19</f>
        <v>316.58433990526834</v>
      </c>
    </row>
    <row r="64" spans="1:30" x14ac:dyDescent="0.35">
      <c r="A64" s="88" t="str">
        <f>'Baseline System Analysis'!A20</f>
        <v>Commerical</v>
      </c>
      <c r="B64" s="88" t="str">
        <f>'Baseline System Analysis'!B20</f>
        <v>Cost of Reliability (N-0)</v>
      </c>
      <c r="C64" s="88" t="str">
        <f>'Baseline System Analysis'!C20</f>
        <v>$/kWh</v>
      </c>
      <c r="D64" s="5">
        <f>'Baseline System Analysis'!D20</f>
        <v>153.83719106445315</v>
      </c>
      <c r="E64" s="5">
        <f>'Baseline System Analysis'!E20</f>
        <v>157.68312084106446</v>
      </c>
      <c r="F64" s="5">
        <f>'Baseline System Analysis'!F20</f>
        <v>161.62519886209105</v>
      </c>
      <c r="G64" s="5">
        <f>'Baseline System Analysis'!G20</f>
        <v>165.6658288336433</v>
      </c>
      <c r="H64" s="5">
        <f>'Baseline System Analysis'!H20</f>
        <v>169.80747455448437</v>
      </c>
      <c r="I64" s="5">
        <f>'Baseline System Analysis'!I20</f>
        <v>174.05266141834647</v>
      </c>
      <c r="J64" s="5">
        <f>'Baseline System Analysis'!J20</f>
        <v>178.40397795380511</v>
      </c>
      <c r="K64" s="5">
        <f>'Baseline System Analysis'!K20</f>
        <v>182.86407740265022</v>
      </c>
      <c r="L64" s="5">
        <f>'Baseline System Analysis'!L20</f>
        <v>187.43567933771646</v>
      </c>
      <c r="M64" s="5">
        <f>'Baseline System Analysis'!M20</f>
        <v>192.12157132115937</v>
      </c>
      <c r="N64" s="5">
        <f>'Baseline System Analysis'!N20</f>
        <v>196.92461060418833</v>
      </c>
      <c r="O64" s="5">
        <f>'Baseline System Analysis'!O20</f>
        <v>201.84772586929301</v>
      </c>
      <c r="P64" s="5">
        <f>'Baseline System Analysis'!P20</f>
        <v>206.89391901602534</v>
      </c>
      <c r="Q64" s="5">
        <f>'Baseline System Analysis'!Q20</f>
        <v>212.06626699142595</v>
      </c>
      <c r="R64" s="5">
        <f>'Baseline System Analysis'!R20</f>
        <v>217.36792366621157</v>
      </c>
      <c r="S64" s="5">
        <f>'Baseline System Analysis'!S20</f>
        <v>222.80212175786684</v>
      </c>
      <c r="T64" s="5">
        <f>'Baseline System Analysis'!T20</f>
        <v>228.37217480181349</v>
      </c>
      <c r="U64" s="5">
        <f>'Baseline System Analysis'!U20</f>
        <v>234.0814791718588</v>
      </c>
      <c r="V64" s="5">
        <f>'Baseline System Analysis'!V20</f>
        <v>239.93351615115526</v>
      </c>
      <c r="W64" s="5">
        <f>'Baseline System Analysis'!W20</f>
        <v>245.93185405493412</v>
      </c>
      <c r="X64" s="5">
        <f>'Baseline System Analysis'!X20</f>
        <v>252.08015040630744</v>
      </c>
      <c r="Y64" s="5">
        <f>'Baseline System Analysis'!Y20</f>
        <v>258.38215416646511</v>
      </c>
      <c r="Z64" s="5">
        <f>'Baseline System Analysis'!Z20</f>
        <v>264.8417080206267</v>
      </c>
      <c r="AA64" s="5">
        <f>'Baseline System Analysis'!AA20</f>
        <v>271.46275072114236</v>
      </c>
      <c r="AB64" s="5">
        <f>'Baseline System Analysis'!AB20</f>
        <v>278.24931948917089</v>
      </c>
      <c r="AC64" s="5">
        <f>'Baseline System Analysis'!AC20</f>
        <v>285.20555247640016</v>
      </c>
      <c r="AD64" s="5">
        <f>'Baseline System Analysis'!AD20</f>
        <v>292.33569128831016</v>
      </c>
    </row>
    <row r="66" spans="1:30" x14ac:dyDescent="0.35">
      <c r="A66" s="88" t="s">
        <v>130</v>
      </c>
      <c r="B66" s="88" t="s">
        <v>31</v>
      </c>
      <c r="C66" s="20">
        <f>NPV('Cost Assumptions'!$B$3,D66:AD66)</f>
        <v>368578.64154750004</v>
      </c>
      <c r="D66" s="5">
        <f>'Baseline System Analysis'!D24-D35</f>
        <v>238.68238716518363</v>
      </c>
      <c r="E66" s="5">
        <f>'Baseline System Analysis'!E24-E35</f>
        <v>46.803891017348633</v>
      </c>
      <c r="F66" s="5">
        <f>'Baseline System Analysis'!F24-F35</f>
        <v>-145.07460513048591</v>
      </c>
      <c r="G66" s="5">
        <f>'Baseline System Analysis'!G24-G35</f>
        <v>-336.9531012783209</v>
      </c>
      <c r="H66" s="5">
        <f>'Baseline System Analysis'!H24-H35</f>
        <v>-528.83159742615499</v>
      </c>
      <c r="I66" s="5">
        <f>'Baseline System Analysis'!I24-I35</f>
        <v>-720.71009357398907</v>
      </c>
      <c r="J66" s="5">
        <f>'Baseline System Analysis'!J24-J35</f>
        <v>-912.58858972182497</v>
      </c>
      <c r="K66" s="5">
        <f>'Baseline System Analysis'!K24-K35</f>
        <v>-458.2931842321741</v>
      </c>
      <c r="L66" s="5">
        <f>'Baseline System Analysis'!L24-L35</f>
        <v>-3.9977787425232236</v>
      </c>
      <c r="M66" s="5">
        <f>'Baseline System Analysis'!M24-M35</f>
        <v>450.29762674712401</v>
      </c>
      <c r="N66" s="5">
        <f>'Baseline System Analysis'!N24-N35</f>
        <v>904.5930322367858</v>
      </c>
      <c r="O66" s="5">
        <f>'Baseline System Analysis'!O24-O35</f>
        <v>10846.188220497614</v>
      </c>
      <c r="P66" s="5">
        <f>'Baseline System Analysis'!P24-P35</f>
        <v>20787.783408758434</v>
      </c>
      <c r="Q66" s="5">
        <f>'Baseline System Analysis'!Q24-Q35</f>
        <v>30729.378597019255</v>
      </c>
      <c r="R66" s="5">
        <f>'Baseline System Analysis'!R24-R35</f>
        <v>40670.973785280075</v>
      </c>
      <c r="S66" s="5">
        <f>'Baseline System Analysis'!S24-S35</f>
        <v>50612.568973540911</v>
      </c>
      <c r="T66" s="5">
        <f>'Baseline System Analysis'!T24-T35</f>
        <v>60554.164161801775</v>
      </c>
      <c r="U66" s="5">
        <f>'Baseline System Analysis'!U24-U35</f>
        <v>89975.648361093714</v>
      </c>
      <c r="V66" s="5">
        <f>'Baseline System Analysis'!V24-V35</f>
        <v>119397.13256038562</v>
      </c>
      <c r="W66" s="5">
        <f>'Baseline System Analysis'!W24-W35</f>
        <v>148818.61675967759</v>
      </c>
      <c r="X66" s="5">
        <f>'Baseline System Analysis'!X24-X35</f>
        <v>178240.10095896956</v>
      </c>
      <c r="Y66" s="5">
        <f>'Baseline System Analysis'!Y24-Y35</f>
        <v>207661.58515826147</v>
      </c>
      <c r="Z66" s="5">
        <f>'Baseline System Analysis'!Z24-Z35</f>
        <v>295664.36256967427</v>
      </c>
      <c r="AA66" s="5">
        <f>'Baseline System Analysis'!AA24-AA35</f>
        <v>383667.13998108706</v>
      </c>
      <c r="AB66" s="5">
        <f>'Baseline System Analysis'!AB24-AB35</f>
        <v>471669.91739249998</v>
      </c>
      <c r="AC66" s="5">
        <f>'Baseline System Analysis'!AC24-AC35</f>
        <v>559672.69480391289</v>
      </c>
      <c r="AD66" s="5">
        <f>'Baseline System Analysis'!AD24-AD35</f>
        <v>647675.47221532569</v>
      </c>
    </row>
    <row r="67" spans="1:30" x14ac:dyDescent="0.35">
      <c r="A67" s="88" t="s">
        <v>132</v>
      </c>
      <c r="B67" s="88" t="s">
        <v>31</v>
      </c>
      <c r="C67" s="20">
        <f>NPV('Cost Assumptions'!$B$3,D67:AD67)</f>
        <v>1529411.8499528065</v>
      </c>
      <c r="D67" s="5">
        <f>'Baseline System Analysis'!D25-D36</f>
        <v>990.40918316047009</v>
      </c>
      <c r="E67" s="5">
        <f>'Baseline System Analysis'!E25-E36</f>
        <v>194.21208251593271</v>
      </c>
      <c r="F67" s="5">
        <f>'Baseline System Analysis'!F25-F36</f>
        <v>-601.98501812860559</v>
      </c>
      <c r="G67" s="5">
        <f>'Baseline System Analysis'!G25-G36</f>
        <v>-1398.1821187731439</v>
      </c>
      <c r="H67" s="5">
        <f>'Baseline System Analysis'!H25-H36</f>
        <v>-2194.3792194176785</v>
      </c>
      <c r="I67" s="5">
        <f>'Baseline System Analysis'!I25-I36</f>
        <v>-2990.5763200622168</v>
      </c>
      <c r="J67" s="5">
        <f>'Baseline System Analysis'!J25-J36</f>
        <v>-3786.7734207067551</v>
      </c>
      <c r="K67" s="5">
        <f>'Baseline System Analysis'!K25-K36</f>
        <v>-1901.6810734730389</v>
      </c>
      <c r="L67" s="5">
        <f>'Baseline System Analysis'!L25-L36</f>
        <v>-16.588726239322568</v>
      </c>
      <c r="M67" s="5">
        <f>'Baseline System Analysis'!M25-M36</f>
        <v>1868.5036209943937</v>
      </c>
      <c r="N67" s="5">
        <f>'Baseline System Analysis'!N25-N36</f>
        <v>3753.5959682280663</v>
      </c>
      <c r="O67" s="5">
        <f>'Baseline System Analysis'!O25-O36</f>
        <v>45006.104319014936</v>
      </c>
      <c r="P67" s="5">
        <f>'Baseline System Analysis'!P25-P36</f>
        <v>86258.612669801805</v>
      </c>
      <c r="Q67" s="5">
        <f>'Baseline System Analysis'!Q25-Q36</f>
        <v>127511.12102058867</v>
      </c>
      <c r="R67" s="5">
        <f>'Baseline System Analysis'!R25-R36</f>
        <v>168763.62937137554</v>
      </c>
      <c r="S67" s="5">
        <f>'Baseline System Analysis'!S25-S36</f>
        <v>210016.13772216241</v>
      </c>
      <c r="T67" s="5">
        <f>'Baseline System Analysis'!T25-T36</f>
        <v>251268.64607294928</v>
      </c>
      <c r="U67" s="5">
        <f>'Baseline System Analysis'!U25-U36</f>
        <v>373352.67782441294</v>
      </c>
      <c r="V67" s="5">
        <f>'Baseline System Analysis'!V25-V36</f>
        <v>495436.70957587659</v>
      </c>
      <c r="W67" s="5">
        <f>'Baseline System Analysis'!W25-W36</f>
        <v>617520.74132734025</v>
      </c>
      <c r="X67" s="5">
        <f>'Baseline System Analysis'!X25-X36</f>
        <v>739604.7730788039</v>
      </c>
      <c r="Y67" s="5">
        <f>'Baseline System Analysis'!Y25-Y36</f>
        <v>861688.80483026756</v>
      </c>
      <c r="Z67" s="5">
        <f>'Baseline System Analysis'!Z25-Z36</f>
        <v>1226855.0826066444</v>
      </c>
      <c r="AA67" s="5">
        <f>'Baseline System Analysis'!AA25-AA36</f>
        <v>1592021.3603830207</v>
      </c>
      <c r="AB67" s="5">
        <f>'Baseline System Analysis'!AB25-AB36</f>
        <v>1957187.6381593971</v>
      </c>
      <c r="AC67" s="5">
        <f>'Baseline System Analysis'!AC25-AC36</f>
        <v>2322353.9159357734</v>
      </c>
      <c r="AD67" s="5">
        <f>'Baseline System Analysis'!AD25-AD36</f>
        <v>2687520.1937121525</v>
      </c>
    </row>
    <row r="68" spans="1:30" x14ac:dyDescent="0.35">
      <c r="A68" s="88" t="s">
        <v>24</v>
      </c>
      <c r="B68" s="88" t="s">
        <v>31</v>
      </c>
      <c r="C68" s="20">
        <f>NPV('Cost Assumptions'!$B$3,D68:AD68)</f>
        <v>1897990.4915003066</v>
      </c>
      <c r="D68" s="5">
        <f>SUM(D66:D67)</f>
        <v>1229.0915703256537</v>
      </c>
      <c r="E68" s="5">
        <f t="shared" ref="E68:AD68" si="31">SUM(E66:E67)</f>
        <v>241.01597353328134</v>
      </c>
      <c r="F68" s="5">
        <f t="shared" si="31"/>
        <v>-747.0596232590915</v>
      </c>
      <c r="G68" s="5">
        <f t="shared" si="31"/>
        <v>-1735.1352200514648</v>
      </c>
      <c r="H68" s="5">
        <f t="shared" si="31"/>
        <v>-2723.2108168438335</v>
      </c>
      <c r="I68" s="5">
        <f t="shared" si="31"/>
        <v>-3711.2864136362059</v>
      </c>
      <c r="J68" s="5">
        <f t="shared" si="31"/>
        <v>-4699.3620104285801</v>
      </c>
      <c r="K68" s="5">
        <f t="shared" si="31"/>
        <v>-2359.9742577052129</v>
      </c>
      <c r="L68" s="5">
        <f t="shared" si="31"/>
        <v>-20.586504981845792</v>
      </c>
      <c r="M68" s="5">
        <f t="shared" si="31"/>
        <v>2318.8012477415177</v>
      </c>
      <c r="N68" s="5">
        <f t="shared" si="31"/>
        <v>4658.1890004648521</v>
      </c>
      <c r="O68" s="5">
        <f t="shared" si="31"/>
        <v>55852.292539512549</v>
      </c>
      <c r="P68" s="5">
        <f t="shared" si="31"/>
        <v>107046.39607856024</v>
      </c>
      <c r="Q68" s="5">
        <f t="shared" si="31"/>
        <v>158240.49961760791</v>
      </c>
      <c r="R68" s="5">
        <f t="shared" si="31"/>
        <v>209434.60315665562</v>
      </c>
      <c r="S68" s="5">
        <f t="shared" si="31"/>
        <v>260628.70669570332</v>
      </c>
      <c r="T68" s="5">
        <f t="shared" si="31"/>
        <v>311822.81023475109</v>
      </c>
      <c r="U68" s="5">
        <f t="shared" si="31"/>
        <v>463328.32618550665</v>
      </c>
      <c r="V68" s="5">
        <f t="shared" si="31"/>
        <v>614833.84213626222</v>
      </c>
      <c r="W68" s="5">
        <f t="shared" si="31"/>
        <v>766339.3580870179</v>
      </c>
      <c r="X68" s="5">
        <f t="shared" si="31"/>
        <v>917844.87403777346</v>
      </c>
      <c r="Y68" s="5">
        <f t="shared" si="31"/>
        <v>1069350.389988529</v>
      </c>
      <c r="Z68" s="5">
        <f t="shared" si="31"/>
        <v>1522519.4451763188</v>
      </c>
      <c r="AA68" s="5">
        <f t="shared" si="31"/>
        <v>1975688.5003641078</v>
      </c>
      <c r="AB68" s="5">
        <f t="shared" si="31"/>
        <v>2428857.5555518968</v>
      </c>
      <c r="AC68" s="5">
        <f t="shared" si="31"/>
        <v>2882026.6107396865</v>
      </c>
      <c r="AD68" s="5">
        <f t="shared" si="31"/>
        <v>3335195.6659274781</v>
      </c>
    </row>
    <row r="69" spans="1:30" x14ac:dyDescent="0.35">
      <c r="A69" s="88"/>
      <c r="B69" s="88"/>
      <c r="C69" s="8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x14ac:dyDescent="0.35">
      <c r="A70" s="88" t="s">
        <v>133</v>
      </c>
      <c r="B70" s="88" t="s">
        <v>31</v>
      </c>
      <c r="C70" s="20">
        <f>NPV('Cost Assumptions'!$B$3,D70:AD70)</f>
        <v>53332648.866875529</v>
      </c>
      <c r="D70" s="5">
        <f>'Baseline System Analysis'!D28-D33</f>
        <v>160316.96625268596</v>
      </c>
      <c r="E70" s="5">
        <f>'Baseline System Analysis'!E28-E33</f>
        <v>426669.25690772623</v>
      </c>
      <c r="F70" s="5">
        <f>'Baseline System Analysis'!F28-F33</f>
        <v>622795.96524369309</v>
      </c>
      <c r="G70" s="5">
        <f>'Baseline System Analysis'!G28-G33</f>
        <v>833703.43870740035</v>
      </c>
      <c r="H70" s="5">
        <f>'Baseline System Analysis'!H28-H33</f>
        <v>1064554.7712044911</v>
      </c>
      <c r="I70" s="5">
        <f>'Baseline System Analysis'!I28-I33</f>
        <v>1155250.6032801536</v>
      </c>
      <c r="J70" s="5">
        <f>'Baseline System Analysis'!J28-J33</f>
        <v>1567814.7930424134</v>
      </c>
      <c r="K70" s="5">
        <f>'Baseline System Analysis'!K28-K33</f>
        <v>2064587.6916558424</v>
      </c>
      <c r="L70" s="5">
        <f>'Baseline System Analysis'!L28-L33</f>
        <v>2485972.1963254735</v>
      </c>
      <c r="M70" s="5">
        <f>'Baseline System Analysis'!M28-M33</f>
        <v>2907214.7827229644</v>
      </c>
      <c r="N70" s="5">
        <f>'Baseline System Analysis'!N28-N33</f>
        <v>3653487.05439856</v>
      </c>
      <c r="O70" s="5">
        <f>'Baseline System Analysis'!O28-O33</f>
        <v>4512360.7012723647</v>
      </c>
      <c r="P70" s="5">
        <f>'Baseline System Analysis'!P28-P33</f>
        <v>5845712.9395959051</v>
      </c>
      <c r="Q70" s="5">
        <f>'Baseline System Analysis'!Q28-Q33</f>
        <v>7145234.3901076168</v>
      </c>
      <c r="R70" s="5">
        <f>'Baseline System Analysis'!R28-R33</f>
        <v>9104342.6872677077</v>
      </c>
      <c r="S70" s="5">
        <f>'Baseline System Analysis'!S28-S33</f>
        <v>11402628.544698209</v>
      </c>
      <c r="T70" s="5">
        <f>'Baseline System Analysis'!T28-T33</f>
        <v>14095767.66157037</v>
      </c>
      <c r="U70" s="5">
        <f>'Baseline System Analysis'!U28-U33</f>
        <v>17191903.011561129</v>
      </c>
      <c r="V70" s="5">
        <f>'Baseline System Analysis'!V28-V33</f>
        <v>19393249.568390317</v>
      </c>
      <c r="W70" s="5">
        <f>'Baseline System Analysis'!W28-W33</f>
        <v>22144861.018501792</v>
      </c>
      <c r="X70" s="5">
        <f>'Baseline System Analysis'!X28-X33</f>
        <v>25073328.891869467</v>
      </c>
      <c r="Y70" s="5">
        <f>'Baseline System Analysis'!Y28-Y33</f>
        <v>27521768.351031177</v>
      </c>
      <c r="Z70" s="5">
        <f>'Baseline System Analysis'!Z28-Z33</f>
        <v>30222236.379774362</v>
      </c>
      <c r="AA70" s="5">
        <f>'Baseline System Analysis'!AA28-AA33</f>
        <v>33168881.347968444</v>
      </c>
      <c r="AB70" s="5">
        <f>'Baseline System Analysis'!AB28-AB33</f>
        <v>36336961.468923084</v>
      </c>
      <c r="AC70" s="5">
        <f>'Baseline System Analysis'!AC28-AC33</f>
        <v>38811194.041574068</v>
      </c>
      <c r="AD70" s="5">
        <f>'Baseline System Analysis'!AD28-AD33</f>
        <v>40919657.178837143</v>
      </c>
    </row>
    <row r="71" spans="1:30" x14ac:dyDescent="0.35">
      <c r="A71" s="88" t="s">
        <v>134</v>
      </c>
      <c r="B71" s="88" t="s">
        <v>31</v>
      </c>
      <c r="C71" s="20">
        <f>NPV('Cost Assumptions'!$B$3,D71:AD71)</f>
        <v>234778919.59445947</v>
      </c>
      <c r="D71" s="5">
        <f>'Baseline System Analysis'!D29-D34</f>
        <v>903378.82566768141</v>
      </c>
      <c r="E71" s="5">
        <f>'Baseline System Analysis'!E29-E34</f>
        <v>2253314.5961599764</v>
      </c>
      <c r="F71" s="5">
        <f>'Baseline System Analysis'!F29-F34</f>
        <v>3310509.516156707</v>
      </c>
      <c r="G71" s="5">
        <f>'Baseline System Analysis'!G29-G34</f>
        <v>4447440.2170750583</v>
      </c>
      <c r="H71" s="5">
        <f>'Baseline System Analysis'!H29-H34</f>
        <v>5587242.1815372296</v>
      </c>
      <c r="I71" s="5">
        <f>'Baseline System Analysis'!I29-I34</f>
        <v>5454561.6522228802</v>
      </c>
      <c r="J71" s="5">
        <f>'Baseline System Analysis'!J29-J34</f>
        <v>7543245.1947770724</v>
      </c>
      <c r="K71" s="5">
        <f>'Baseline System Analysis'!K29-K34</f>
        <v>10054559.779896669</v>
      </c>
      <c r="L71" s="5">
        <f>'Baseline System Analysis'!L29-L34</f>
        <v>11610814.214658689</v>
      </c>
      <c r="M71" s="5">
        <f>'Baseline System Analysis'!M29-M34</f>
        <v>12826351.057208685</v>
      </c>
      <c r="N71" s="5">
        <f>'Baseline System Analysis'!N29-N34</f>
        <v>16062284.122916382</v>
      </c>
      <c r="O71" s="5">
        <f>'Baseline System Analysis'!O29-O34</f>
        <v>19403643.120637149</v>
      </c>
      <c r="P71" s="5">
        <f>'Baseline System Analysis'!P29-P34</f>
        <v>25219740.504592769</v>
      </c>
      <c r="Q71" s="5">
        <f>'Baseline System Analysis'!Q29-Q34</f>
        <v>31071411.196852271</v>
      </c>
      <c r="R71" s="5">
        <f>'Baseline System Analysis'!R29-R34</f>
        <v>39644741.256940469</v>
      </c>
      <c r="S71" s="5">
        <f>'Baseline System Analysis'!S29-S34</f>
        <v>50251518.164887004</v>
      </c>
      <c r="T71" s="5">
        <f>'Baseline System Analysis'!T29-T34</f>
        <v>62975375.307628401</v>
      </c>
      <c r="U71" s="5">
        <f>'Baseline System Analysis'!U29-U34</f>
        <v>77967536.623126328</v>
      </c>
      <c r="V71" s="5">
        <f>'Baseline System Analysis'!V29-V34</f>
        <v>85493629.625678569</v>
      </c>
      <c r="W71" s="5">
        <f>'Baseline System Analysis'!W29-W34</f>
        <v>96535091.760798052</v>
      </c>
      <c r="X71" s="5">
        <f>'Baseline System Analysis'!X29-X34</f>
        <v>107756667.948807</v>
      </c>
      <c r="Y71" s="5">
        <f>'Baseline System Analysis'!Y29-Y34</f>
        <v>117430555.70280778</v>
      </c>
      <c r="Z71" s="5">
        <f>'Baseline System Analysis'!Z29-Z34</f>
        <v>128436359.4006137</v>
      </c>
      <c r="AA71" s="5">
        <f>'Baseline System Analysis'!AA29-AA34</f>
        <v>140917587.37921163</v>
      </c>
      <c r="AB71" s="5">
        <f>'Baseline System Analysis'!AB29-AB34</f>
        <v>154248370.49856171</v>
      </c>
      <c r="AC71" s="5">
        <f>'Baseline System Analysis'!AC29-AC34</f>
        <v>166202416.65693757</v>
      </c>
      <c r="AD71" s="5">
        <f>'Baseline System Analysis'!AD29-AD34</f>
        <v>173515049.2458806</v>
      </c>
    </row>
    <row r="72" spans="1:30" x14ac:dyDescent="0.35">
      <c r="A72" s="88" t="s">
        <v>24</v>
      </c>
      <c r="B72" s="88" t="s">
        <v>31</v>
      </c>
      <c r="C72" s="20">
        <f>NPV('Cost Assumptions'!$B$3,D72:AD72)</f>
        <v>288111568.46133494</v>
      </c>
      <c r="D72" s="5">
        <f>SUM(D70:D71)</f>
        <v>1063695.7919203674</v>
      </c>
      <c r="E72" s="5">
        <f t="shared" ref="E72:AD72" si="32">SUM(E70:E71)</f>
        <v>2679983.8530677026</v>
      </c>
      <c r="F72" s="5">
        <f t="shared" si="32"/>
        <v>3933305.4814003999</v>
      </c>
      <c r="G72" s="5">
        <f t="shared" si="32"/>
        <v>5281143.6557824584</v>
      </c>
      <c r="H72" s="5">
        <f t="shared" si="32"/>
        <v>6651796.9527417207</v>
      </c>
      <c r="I72" s="5">
        <f t="shared" si="32"/>
        <v>6609812.2555030342</v>
      </c>
      <c r="J72" s="5">
        <f t="shared" si="32"/>
        <v>9111059.9878194854</v>
      </c>
      <c r="K72" s="5">
        <f t="shared" si="32"/>
        <v>12119147.471552512</v>
      </c>
      <c r="L72" s="5">
        <f t="shared" si="32"/>
        <v>14096786.410984162</v>
      </c>
      <c r="M72" s="5">
        <f t="shared" si="32"/>
        <v>15733565.83993165</v>
      </c>
      <c r="N72" s="5">
        <f t="shared" si="32"/>
        <v>19715771.177314941</v>
      </c>
      <c r="O72" s="5">
        <f t="shared" si="32"/>
        <v>23916003.821909513</v>
      </c>
      <c r="P72" s="5">
        <f t="shared" si="32"/>
        <v>31065453.444188673</v>
      </c>
      <c r="Q72" s="5">
        <f t="shared" si="32"/>
        <v>38216645.586959884</v>
      </c>
      <c r="R72" s="5">
        <f t="shared" si="32"/>
        <v>48749083.944208175</v>
      </c>
      <c r="S72" s="5">
        <f t="shared" si="32"/>
        <v>61654146.709585212</v>
      </c>
      <c r="T72" s="5">
        <f t="shared" si="32"/>
        <v>77071142.969198763</v>
      </c>
      <c r="U72" s="5">
        <f t="shared" si="32"/>
        <v>95159439.634687454</v>
      </c>
      <c r="V72" s="5">
        <f t="shared" si="32"/>
        <v>104886879.19406888</v>
      </c>
      <c r="W72" s="5">
        <f t="shared" si="32"/>
        <v>118679952.77929984</v>
      </c>
      <c r="X72" s="5">
        <f t="shared" si="32"/>
        <v>132829996.84067647</v>
      </c>
      <c r="Y72" s="5">
        <f t="shared" si="32"/>
        <v>144952324.05383897</v>
      </c>
      <c r="Z72" s="5">
        <f t="shared" si="32"/>
        <v>158658595.78038806</v>
      </c>
      <c r="AA72" s="5">
        <f t="shared" si="32"/>
        <v>174086468.72718006</v>
      </c>
      <c r="AB72" s="5">
        <f t="shared" si="32"/>
        <v>190585331.9674848</v>
      </c>
      <c r="AC72" s="5">
        <f t="shared" si="32"/>
        <v>205013610.69851163</v>
      </c>
      <c r="AD72" s="5">
        <f t="shared" si="32"/>
        <v>214434706.42471775</v>
      </c>
    </row>
    <row r="74" spans="1:30" x14ac:dyDescent="0.35">
      <c r="A74" s="88" t="s">
        <v>130</v>
      </c>
      <c r="B74" s="88" t="s">
        <v>157</v>
      </c>
      <c r="C74" s="20">
        <f>NPV('Cost Assumptions'!$B$3,D74:AD74)</f>
        <v>326954842.63667375</v>
      </c>
      <c r="D74" s="63">
        <f>ABS((D50*D61*1000*'Cost Assumptions'!$B$6)/'Cost Assumptions'!$B$14)</f>
        <v>6621897.8890077285</v>
      </c>
      <c r="E74" s="63">
        <f>ABS((E50*E61*1000*'Cost Assumptions'!$B$6)/'Cost Assumptions'!$B$14)</f>
        <v>9025240.0833087191</v>
      </c>
      <c r="F74" s="63">
        <f>ABS((F50*F61*1000*'Cost Assumptions'!$B$6)/'Cost Assumptions'!$B$14)</f>
        <v>11544610.701144125</v>
      </c>
      <c r="G74" s="63">
        <f>ABS((G50*G61*1000*'Cost Assumptions'!$B$6)/'Cost Assumptions'!$B$14)</f>
        <v>14184309.074819231</v>
      </c>
      <c r="H74" s="63">
        <f>ABS((H50*H61*1000*'Cost Assumptions'!$B$6)/'Cost Assumptions'!$B$14)</f>
        <v>16948776.985489886</v>
      </c>
      <c r="I74" s="63">
        <f>ABS((I50*I61*1000*'Cost Assumptions'!$B$6)/'Cost Assumptions'!$B$14)</f>
        <v>19842603.098522302</v>
      </c>
      <c r="J74" s="63">
        <f>ABS((J50*J61*1000*'Cost Assumptions'!$B$6)/'Cost Assumptions'!$B$14)</f>
        <v>22870527.531590406</v>
      </c>
      <c r="K74" s="63">
        <f>ABS((K50*K61*1000*'Cost Assumptions'!$B$6)/'Cost Assumptions'!$B$14)</f>
        <v>26037446.559375346</v>
      </c>
      <c r="L74" s="63">
        <f>ABS((L50*L61*1000*'Cost Assumptions'!$B$6)/'Cost Assumptions'!$B$14)</f>
        <v>29841138.801012903</v>
      </c>
      <c r="M74" s="63">
        <f>ABS((M50*M61*1000*'Cost Assumptions'!$B$6)/'Cost Assumptions'!$B$14)</f>
        <v>32808663.499182958</v>
      </c>
      <c r="N74" s="63">
        <f>ABS((N50*N61*1000*'Cost Assumptions'!$B$6)/'Cost Assumptions'!$B$14)</f>
        <v>36423579.080628879</v>
      </c>
      <c r="O74" s="63">
        <f>ABS((O50*O61*1000*'Cost Assumptions'!$B$6)/'Cost Assumptions'!$B$14)</f>
        <v>40198735.026460111</v>
      </c>
      <c r="P74" s="63">
        <f>ABS((P50*P61*1000*'Cost Assumptions'!$B$6)/'Cost Assumptions'!$B$14)</f>
        <v>44139884.032657534</v>
      </c>
      <c r="Q74" s="63">
        <f>ABS((Q50*Q61*1000*'Cost Assumptions'!$B$6)/'Cost Assumptions'!$B$14)</f>
        <v>48252966.279773265</v>
      </c>
      <c r="R74" s="63">
        <f>ABS((R50*R61*1000*'Cost Assumptions'!$B$6)/'Cost Assumptions'!$B$14)</f>
        <v>52544115.211724363</v>
      </c>
      <c r="S74" s="63">
        <f>ABS((S50*S61*1000*'Cost Assumptions'!$B$6)/'Cost Assumptions'!$B$14)</f>
        <v>57019663.486348182</v>
      </c>
      <c r="T74" s="63">
        <f>ABS((T50*T61*1000*'Cost Assumptions'!$B$6)/'Cost Assumptions'!$B$14)</f>
        <v>61686149.102695853</v>
      </c>
      <c r="U74" s="63">
        <f>ABS((U50*U61*1000*'Cost Assumptions'!$B$6)/'Cost Assumptions'!$B$14)</f>
        <v>66550321.710181929</v>
      </c>
      <c r="V74" s="63">
        <f>ABS((V50*V61*1000*'Cost Assumptions'!$B$6)/'Cost Assumptions'!$B$14)</f>
        <v>71619149.104853138</v>
      </c>
      <c r="W74" s="63">
        <f>ABS((W50*W61*1000*'Cost Assumptions'!$B$6)/'Cost Assumptions'!$B$14)</f>
        <v>76899823.918189034</v>
      </c>
      <c r="X74" s="63">
        <f>ABS((X50*X61*1000*'Cost Assumptions'!$B$6)/'Cost Assumptions'!$B$14)</f>
        <v>82399770.504001215</v>
      </c>
      <c r="Y74" s="63">
        <f>ABS((Y50*Y61*1000*'Cost Assumptions'!$B$6)/'Cost Assumptions'!$B$14)</f>
        <v>102574343.95360972</v>
      </c>
      <c r="Z74" s="63">
        <f>ABS((Z50*Z61*1000*'Cost Assumptions'!$B$6)/'Cost Assumptions'!$B$14)</f>
        <v>123706146.2191337</v>
      </c>
      <c r="AA74" s="63">
        <f>ABS((AA50*AA61*1000*'Cost Assumptions'!$B$6)/'Cost Assumptions'!$B$14)</f>
        <v>145830429.63296282</v>
      </c>
      <c r="AB74" s="63">
        <f>ABS((AB50*AB61*1000*'Cost Assumptions'!$B$6)/'Cost Assumptions'!$B$14)</f>
        <v>168983610.87609646</v>
      </c>
      <c r="AC74" s="63">
        <f>ABS((AC50*AC61*1000*'Cost Assumptions'!$B$6)/'Cost Assumptions'!$B$14)</f>
        <v>193203307.16286618</v>
      </c>
      <c r="AD74" s="63">
        <f>ABS((AD50*AD61*1000*'Cost Assumptions'!$B$6)/'Cost Assumptions'!$B$14)</f>
        <v>218528373.50717682</v>
      </c>
    </row>
    <row r="75" spans="1:30" x14ac:dyDescent="0.35">
      <c r="A75" s="88" t="s">
        <v>132</v>
      </c>
      <c r="B75" s="88" t="s">
        <v>157</v>
      </c>
      <c r="C75" s="20">
        <f>NPV('Cost Assumptions'!$B$3,D75:AD75)</f>
        <v>1346933800.4926438</v>
      </c>
      <c r="D75" s="63">
        <f>ABS((D50*D63*1000*'Cost Assumptions'!$B$7)/'Cost Assumptions'!$B$14)</f>
        <v>27279785.8511209</v>
      </c>
      <c r="E75" s="63">
        <f>ABS((E50*E63*1000*'Cost Assumptions'!$B$7)/'Cost Assumptions'!$B$14)</f>
        <v>37180672.498184308</v>
      </c>
      <c r="F75" s="63">
        <f>ABS((F50*F63*1000*'Cost Assumptions'!$B$7)/'Cost Assumptions'!$B$14)</f>
        <v>47559553.611443922</v>
      </c>
      <c r="G75" s="63">
        <f>ABS((G50*G63*1000*'Cost Assumptions'!$B$7)/'Cost Assumptions'!$B$14)</f>
        <v>58434140.860055134</v>
      </c>
      <c r="H75" s="63">
        <f>ABS((H50*H63*1000*'Cost Assumptions'!$B$7)/'Cost Assumptions'!$B$14)</f>
        <v>69822732.750089809</v>
      </c>
      <c r="I75" s="63">
        <f>ABS((I50*I63*1000*'Cost Assumptions'!$B$7)/'Cost Assumptions'!$B$14)</f>
        <v>81744232.896588638</v>
      </c>
      <c r="J75" s="63">
        <f>ABS((J50*J63*1000*'Cost Assumptions'!$B$7)/'Cost Assumptions'!$B$14)</f>
        <v>94218168.842443585</v>
      </c>
      <c r="K75" s="63">
        <f>ABS((K50*K63*1000*'Cost Assumptions'!$B$7)/'Cost Assumptions'!$B$14)</f>
        <v>107264711.44003093</v>
      </c>
      <c r="L75" s="63">
        <f>ABS((L50*L63*1000*'Cost Assumptions'!$B$7)/'Cost Assumptions'!$B$14)</f>
        <v>122934525.67375529</v>
      </c>
      <c r="M75" s="63">
        <f>ABS((M50*M63*1000*'Cost Assumptions'!$B$7)/'Cost Assumptions'!$B$14)</f>
        <v>135159636.90785828</v>
      </c>
      <c r="N75" s="63">
        <f>ABS((N50*N63*1000*'Cost Assumptions'!$B$7)/'Cost Assumptions'!$B$14)</f>
        <v>150051760.67428231</v>
      </c>
      <c r="O75" s="63">
        <f>ABS((O50*O63*1000*'Cost Assumptions'!$B$7)/'Cost Assumptions'!$B$14)</f>
        <v>165604015.85596013</v>
      </c>
      <c r="P75" s="63">
        <f>ABS((P50*P63*1000*'Cost Assumptions'!$B$7)/'Cost Assumptions'!$B$14)</f>
        <v>181840101.44630048</v>
      </c>
      <c r="Q75" s="63">
        <f>ABS((Q50*Q63*1000*'Cost Assumptions'!$B$7)/'Cost Assumptions'!$B$14)</f>
        <v>198784488.80624774</v>
      </c>
      <c r="R75" s="63">
        <f>ABS((R50*R63*1000*'Cost Assumptions'!$B$7)/'Cost Assumptions'!$B$14)</f>
        <v>216462445.47078848</v>
      </c>
      <c r="S75" s="63">
        <f>ABS((S50*S63*1000*'Cost Assumptions'!$B$7)/'Cost Assumptions'!$B$14)</f>
        <v>234900059.66305235</v>
      </c>
      <c r="T75" s="63">
        <f>ABS((T50*T63*1000*'Cost Assumptions'!$B$7)/'Cost Assumptions'!$B$14)</f>
        <v>254124265.53651026</v>
      </c>
      <c r="U75" s="63">
        <f>ABS((U50*U63*1000*'Cost Assumptions'!$B$7)/'Cost Assumptions'!$B$14)</f>
        <v>274162869.16635156</v>
      </c>
      <c r="V75" s="63">
        <f>ABS((V50*V63*1000*'Cost Assumptions'!$B$7)/'Cost Assumptions'!$B$14)</f>
        <v>295044575.3117246</v>
      </c>
      <c r="W75" s="63">
        <f>ABS((W50*W63*1000*'Cost Assumptions'!$B$7)/'Cost Assumptions'!$B$14)</f>
        <v>316799014.97113734</v>
      </c>
      <c r="X75" s="63">
        <f>ABS((X50*X63*1000*'Cost Assumptions'!$B$7)/'Cost Assumptions'!$B$14)</f>
        <v>339456773.75395095</v>
      </c>
      <c r="Y75" s="63">
        <f>ABS((Y50*Y63*1000*'Cost Assumptions'!$B$7)/'Cost Assumptions'!$B$14)</f>
        <v>422568602.50271755</v>
      </c>
      <c r="Z75" s="63">
        <f>ABS((Z50*Z63*1000*'Cost Assumptions'!$B$7)/'Cost Assumptions'!$B$14)</f>
        <v>509623862.20532644</v>
      </c>
      <c r="AA75" s="63">
        <f>ABS((AA50*AA63*1000*'Cost Assumptions'!$B$7)/'Cost Assumptions'!$B$14)</f>
        <v>600767779.51650143</v>
      </c>
      <c r="AB75" s="63">
        <f>ABS((AB50*AB63*1000*'Cost Assumptions'!$B$7)/'Cost Assumptions'!$B$14)</f>
        <v>696150377.77935684</v>
      </c>
      <c r="AC75" s="63">
        <f>ABS((AC50*AC63*1000*'Cost Assumptions'!$B$7)/'Cost Assumptions'!$B$14)</f>
        <v>795926626.09315717</v>
      </c>
      <c r="AD75" s="63">
        <f>ABS((AD50*AD63*1000*'Cost Assumptions'!$B$7)/'Cost Assumptions'!$B$14)</f>
        <v>900256592.83653522</v>
      </c>
    </row>
    <row r="76" spans="1:30" x14ac:dyDescent="0.35">
      <c r="A76" s="88" t="s">
        <v>24</v>
      </c>
      <c r="B76" s="88" t="s">
        <v>157</v>
      </c>
      <c r="C76" s="20">
        <f>NPV('Cost Assumptions'!$B$3,D76:AD76)</f>
        <v>1673888643.129317</v>
      </c>
      <c r="D76" s="63">
        <f>SUM(D74:D75)</f>
        <v>33901683.740128629</v>
      </c>
      <c r="E76" s="63">
        <f t="shared" ref="E76:AD76" si="33">SUM(E74:E75)</f>
        <v>46205912.581493028</v>
      </c>
      <c r="F76" s="63">
        <f t="shared" si="33"/>
        <v>59104164.312588051</v>
      </c>
      <c r="G76" s="63">
        <f t="shared" si="33"/>
        <v>72618449.934874371</v>
      </c>
      <c r="H76" s="63">
        <f t="shared" si="33"/>
        <v>86771509.735579699</v>
      </c>
      <c r="I76" s="63">
        <f t="shared" si="33"/>
        <v>101586835.99511094</v>
      </c>
      <c r="J76" s="63">
        <f t="shared" si="33"/>
        <v>117088696.37403399</v>
      </c>
      <c r="K76" s="63">
        <f t="shared" si="33"/>
        <v>133302157.99940628</v>
      </c>
      <c r="L76" s="63">
        <f t="shared" si="33"/>
        <v>152775664.47476819</v>
      </c>
      <c r="M76" s="63">
        <f t="shared" si="33"/>
        <v>167968300.40704125</v>
      </c>
      <c r="N76" s="63">
        <f t="shared" si="33"/>
        <v>186475339.75491118</v>
      </c>
      <c r="O76" s="63">
        <f t="shared" si="33"/>
        <v>205802750.88242024</v>
      </c>
      <c r="P76" s="63">
        <f t="shared" si="33"/>
        <v>225979985.47895801</v>
      </c>
      <c r="Q76" s="63">
        <f t="shared" si="33"/>
        <v>247037455.08602101</v>
      </c>
      <c r="R76" s="63">
        <f t="shared" si="33"/>
        <v>269006560.68251282</v>
      </c>
      <c r="S76" s="63">
        <f t="shared" si="33"/>
        <v>291919723.14940053</v>
      </c>
      <c r="T76" s="63">
        <f t="shared" si="33"/>
        <v>315810414.63920611</v>
      </c>
      <c r="U76" s="63">
        <f t="shared" si="33"/>
        <v>340713190.87653351</v>
      </c>
      <c r="V76" s="63">
        <f t="shared" si="33"/>
        <v>366663724.41657776</v>
      </c>
      <c r="W76" s="63">
        <f t="shared" si="33"/>
        <v>393698838.88932639</v>
      </c>
      <c r="X76" s="63">
        <f t="shared" si="33"/>
        <v>421856544.25795215</v>
      </c>
      <c r="Y76" s="63">
        <f t="shared" si="33"/>
        <v>525142946.45632726</v>
      </c>
      <c r="Z76" s="63">
        <f t="shared" si="33"/>
        <v>633330008.42446017</v>
      </c>
      <c r="AA76" s="63">
        <f t="shared" si="33"/>
        <v>746598209.14946425</v>
      </c>
      <c r="AB76" s="63">
        <f t="shared" si="33"/>
        <v>865133988.65545332</v>
      </c>
      <c r="AC76" s="63">
        <f t="shared" si="33"/>
        <v>989129933.25602341</v>
      </c>
      <c r="AD76" s="63">
        <f t="shared" si="33"/>
        <v>1118784966.3437121</v>
      </c>
    </row>
    <row r="77" spans="1:30" x14ac:dyDescent="0.35">
      <c r="A77" s="88"/>
      <c r="B77" s="88"/>
      <c r="C77" s="20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x14ac:dyDescent="0.35">
      <c r="A78" s="88" t="s">
        <v>130</v>
      </c>
      <c r="B78" s="88" t="s">
        <v>164</v>
      </c>
      <c r="C78" s="20">
        <f>NPV('Cost Assumptions'!$B$3,D78:AD78)</f>
        <v>0</v>
      </c>
      <c r="D78" s="63">
        <f>ABS(((MIN(ABS(D51),'Baseline System Analysis'!D14)*D62*1000*'Cost Assumptions'!$B$6)*'Cost Assumptions'!$B$13))</f>
        <v>0</v>
      </c>
      <c r="E78" s="63">
        <f>ABS(((MIN(ABS(E51),'Baseline System Analysis'!E14)*E62*1000*'Cost Assumptions'!$B$6)*'Cost Assumptions'!$B$13))</f>
        <v>0</v>
      </c>
      <c r="F78" s="63">
        <f>ABS(((MIN(ABS(F51),'Baseline System Analysis'!F14)*F62*1000*'Cost Assumptions'!$B$6)*'Cost Assumptions'!$B$13))</f>
        <v>0</v>
      </c>
      <c r="G78" s="63">
        <f>ABS(((MIN(ABS(G51),'Baseline System Analysis'!G14)*G62*1000*'Cost Assumptions'!$B$6)*'Cost Assumptions'!$B$13))</f>
        <v>0</v>
      </c>
      <c r="H78" s="63">
        <f>ABS(((MIN(ABS(H51),'Baseline System Analysis'!H14)*H62*1000*'Cost Assumptions'!$B$6)*'Cost Assumptions'!$B$13))</f>
        <v>0</v>
      </c>
      <c r="I78" s="63">
        <f>ABS(((MIN(ABS(I51),'Baseline System Analysis'!I14)*I62*1000*'Cost Assumptions'!$B$6)*'Cost Assumptions'!$B$13))</f>
        <v>0</v>
      </c>
      <c r="J78" s="63">
        <f>ABS(((MIN(ABS(J51),'Baseline System Analysis'!J14)*J62*1000*'Cost Assumptions'!$B$6)*'Cost Assumptions'!$B$13))</f>
        <v>0</v>
      </c>
      <c r="K78" s="63">
        <f>ABS(((MIN(ABS(K51),'Baseline System Analysis'!K14)*K62*1000*'Cost Assumptions'!$B$6)*'Cost Assumptions'!$B$13))</f>
        <v>0</v>
      </c>
      <c r="L78" s="63">
        <f>ABS(((MIN(ABS(L51),'Baseline System Analysis'!L14)*L62*1000*'Cost Assumptions'!$B$6)*'Cost Assumptions'!$B$13))</f>
        <v>0</v>
      </c>
      <c r="M78" s="63">
        <f>ABS(((MIN(ABS(M51),'Baseline System Analysis'!M14)*M62*1000*'Cost Assumptions'!$B$6)*'Cost Assumptions'!$B$13))</f>
        <v>0</v>
      </c>
      <c r="N78" s="63">
        <f>ABS(((MIN(ABS(N51),'Baseline System Analysis'!N14)*N62*1000*'Cost Assumptions'!$B$6)*'Cost Assumptions'!$B$13))</f>
        <v>0</v>
      </c>
      <c r="O78" s="63">
        <f>ABS(((MIN(ABS(O51),'Baseline System Analysis'!O14)*O62*1000*'Cost Assumptions'!$B$6)*'Cost Assumptions'!$B$13))</f>
        <v>0</v>
      </c>
      <c r="P78" s="63">
        <f>ABS(((MIN(ABS(P51),'Baseline System Analysis'!P14)*P62*1000*'Cost Assumptions'!$B$6)*'Cost Assumptions'!$B$13))</f>
        <v>0</v>
      </c>
      <c r="Q78" s="63">
        <f>ABS(((MIN(ABS(Q51),'Baseline System Analysis'!Q14)*Q62*1000*'Cost Assumptions'!$B$6)*'Cost Assumptions'!$B$13))</f>
        <v>0</v>
      </c>
      <c r="R78" s="63">
        <f>ABS(((MIN(ABS(R51),'Baseline System Analysis'!R14)*R62*1000*'Cost Assumptions'!$B$6)*'Cost Assumptions'!$B$13))</f>
        <v>0</v>
      </c>
      <c r="S78" s="63">
        <f>ABS(((MIN(ABS(S51),'Baseline System Analysis'!S14)*S62*1000*'Cost Assumptions'!$B$6)*'Cost Assumptions'!$B$13))</f>
        <v>0</v>
      </c>
      <c r="T78" s="63">
        <f>ABS(((MIN(ABS(T51),'Baseline System Analysis'!T14)*T62*1000*'Cost Assumptions'!$B$6)*'Cost Assumptions'!$B$13))</f>
        <v>0</v>
      </c>
      <c r="U78" s="63">
        <f>ABS(((MIN(ABS(U51),'Baseline System Analysis'!U14)*U62*1000*'Cost Assumptions'!$B$6)*'Cost Assumptions'!$B$13))</f>
        <v>0</v>
      </c>
      <c r="V78" s="63">
        <f>ABS(((MIN(ABS(V51),'Baseline System Analysis'!V14)*V62*1000*'Cost Assumptions'!$B$6)*'Cost Assumptions'!$B$13))</f>
        <v>0</v>
      </c>
      <c r="W78" s="63">
        <f>ABS(((MIN(ABS(W51),'Baseline System Analysis'!W14)*W62*1000*'Cost Assumptions'!$B$6)*'Cost Assumptions'!$B$13))</f>
        <v>0</v>
      </c>
      <c r="X78" s="63">
        <f>ABS(((MIN(ABS(X51),'Baseline System Analysis'!X14)*X62*1000*'Cost Assumptions'!$B$6)*'Cost Assumptions'!$B$13))</f>
        <v>0</v>
      </c>
      <c r="Y78" s="63">
        <f>ABS(((MIN(ABS(Y51),'Baseline System Analysis'!Y14)*Y62*1000*'Cost Assumptions'!$B$6)*'Cost Assumptions'!$B$13))</f>
        <v>0</v>
      </c>
      <c r="Z78" s="63">
        <f>ABS(((MIN(ABS(Z51),'Baseline System Analysis'!Z14)*Z62*1000*'Cost Assumptions'!$B$6)*'Cost Assumptions'!$B$13))</f>
        <v>0</v>
      </c>
      <c r="AA78" s="63">
        <f>ABS(((MIN(ABS(AA51),'Baseline System Analysis'!AA14)*AA62*1000*'Cost Assumptions'!$B$6)*'Cost Assumptions'!$B$13))</f>
        <v>0</v>
      </c>
      <c r="AB78" s="63">
        <f>ABS(((MIN(ABS(AB51),'Baseline System Analysis'!AB14)*AB62*1000*'Cost Assumptions'!$B$6)*'Cost Assumptions'!$B$13))</f>
        <v>0</v>
      </c>
      <c r="AC78" s="63">
        <f>ABS(((MIN(ABS(AC51),'Baseline System Analysis'!AC14)*AC62*1000*'Cost Assumptions'!$B$6)*'Cost Assumptions'!$B$13))</f>
        <v>0</v>
      </c>
      <c r="AD78" s="63">
        <f>ABS(((MIN(ABS(AD51),'Baseline System Analysis'!AD14)*AD62*1000*'Cost Assumptions'!$B$6)*'Cost Assumptions'!$B$13))</f>
        <v>0</v>
      </c>
    </row>
    <row r="79" spans="1:30" x14ac:dyDescent="0.35">
      <c r="A79" s="88" t="s">
        <v>132</v>
      </c>
      <c r="B79" s="88" t="s">
        <v>164</v>
      </c>
      <c r="C79" s="20">
        <f>NPV('Cost Assumptions'!$B$3,D79:AD79)</f>
        <v>0</v>
      </c>
      <c r="D79" s="63">
        <f>ABS(((MIN(ABS(D51),'Baseline System Analysis'!D14)*D64*1000*'Cost Assumptions'!$B$6)*'Cost Assumptions'!$B$13))</f>
        <v>0</v>
      </c>
      <c r="E79" s="63">
        <f>ABS(((MIN(ABS(E51),'Baseline System Analysis'!E14)*E64*1000*'Cost Assumptions'!$B$6)*'Cost Assumptions'!$B$13))</f>
        <v>0</v>
      </c>
      <c r="F79" s="63">
        <f>ABS(((MIN(ABS(F51),'Baseline System Analysis'!F14)*F64*1000*'Cost Assumptions'!$B$6)*'Cost Assumptions'!$B$13))</f>
        <v>0</v>
      </c>
      <c r="G79" s="63">
        <f>ABS(((MIN(ABS(G51),'Baseline System Analysis'!G14)*G64*1000*'Cost Assumptions'!$B$6)*'Cost Assumptions'!$B$13))</f>
        <v>0</v>
      </c>
      <c r="H79" s="63">
        <f>ABS(((MIN(ABS(H51),'Baseline System Analysis'!H14)*H64*1000*'Cost Assumptions'!$B$6)*'Cost Assumptions'!$B$13))</f>
        <v>0</v>
      </c>
      <c r="I79" s="63">
        <f>ABS(((MIN(ABS(I51),'Baseline System Analysis'!I14)*I64*1000*'Cost Assumptions'!$B$6)*'Cost Assumptions'!$B$13))</f>
        <v>0</v>
      </c>
      <c r="J79" s="63">
        <f>ABS(((MIN(ABS(J51),'Baseline System Analysis'!J14)*J64*1000*'Cost Assumptions'!$B$6)*'Cost Assumptions'!$B$13))</f>
        <v>0</v>
      </c>
      <c r="K79" s="63">
        <f>ABS(((MIN(ABS(K51),'Baseline System Analysis'!K14)*K64*1000*'Cost Assumptions'!$B$6)*'Cost Assumptions'!$B$13))</f>
        <v>0</v>
      </c>
      <c r="L79" s="63">
        <f>ABS(((MIN(ABS(L51),'Baseline System Analysis'!L14)*L64*1000*'Cost Assumptions'!$B$6)*'Cost Assumptions'!$B$13))</f>
        <v>0</v>
      </c>
      <c r="M79" s="63">
        <f>ABS(((MIN(ABS(M51),'Baseline System Analysis'!M14)*M64*1000*'Cost Assumptions'!$B$6)*'Cost Assumptions'!$B$13))</f>
        <v>0</v>
      </c>
      <c r="N79" s="63">
        <f>ABS(((MIN(ABS(N51),'Baseline System Analysis'!N14)*N64*1000*'Cost Assumptions'!$B$6)*'Cost Assumptions'!$B$13))</f>
        <v>0</v>
      </c>
      <c r="O79" s="63">
        <f>ABS(((MIN(ABS(O51),'Baseline System Analysis'!O14)*O64*1000*'Cost Assumptions'!$B$6)*'Cost Assumptions'!$B$13))</f>
        <v>0</v>
      </c>
      <c r="P79" s="63">
        <f>ABS(((MIN(ABS(P51),'Baseline System Analysis'!P14)*P64*1000*'Cost Assumptions'!$B$6)*'Cost Assumptions'!$B$13))</f>
        <v>0</v>
      </c>
      <c r="Q79" s="63">
        <f>ABS(((MIN(ABS(Q51),'Baseline System Analysis'!Q14)*Q64*1000*'Cost Assumptions'!$B$6)*'Cost Assumptions'!$B$13))</f>
        <v>0</v>
      </c>
      <c r="R79" s="63">
        <f>ABS(((MIN(ABS(R51),'Baseline System Analysis'!R14)*R64*1000*'Cost Assumptions'!$B$6)*'Cost Assumptions'!$B$13))</f>
        <v>0</v>
      </c>
      <c r="S79" s="63">
        <f>ABS(((MIN(ABS(S51),'Baseline System Analysis'!S14)*S64*1000*'Cost Assumptions'!$B$6)*'Cost Assumptions'!$B$13))</f>
        <v>0</v>
      </c>
      <c r="T79" s="63">
        <f>ABS(((MIN(ABS(T51),'Baseline System Analysis'!T14)*T64*1000*'Cost Assumptions'!$B$6)*'Cost Assumptions'!$B$13))</f>
        <v>0</v>
      </c>
      <c r="U79" s="63">
        <f>ABS(((MIN(ABS(U51),'Baseline System Analysis'!U14)*U64*1000*'Cost Assumptions'!$B$6)*'Cost Assumptions'!$B$13))</f>
        <v>0</v>
      </c>
      <c r="V79" s="63">
        <f>ABS(((MIN(ABS(V51),'Baseline System Analysis'!V14)*V64*1000*'Cost Assumptions'!$B$6)*'Cost Assumptions'!$B$13))</f>
        <v>0</v>
      </c>
      <c r="W79" s="63">
        <f>ABS(((MIN(ABS(W51),'Baseline System Analysis'!W14)*W64*1000*'Cost Assumptions'!$B$6)*'Cost Assumptions'!$B$13))</f>
        <v>0</v>
      </c>
      <c r="X79" s="63">
        <f>ABS(((MIN(ABS(X51),'Baseline System Analysis'!X14)*X64*1000*'Cost Assumptions'!$B$6)*'Cost Assumptions'!$B$13))</f>
        <v>0</v>
      </c>
      <c r="Y79" s="63">
        <f>ABS(((MIN(ABS(Y51),'Baseline System Analysis'!Y14)*Y64*1000*'Cost Assumptions'!$B$6)*'Cost Assumptions'!$B$13))</f>
        <v>0</v>
      </c>
      <c r="Z79" s="63">
        <f>ABS(((MIN(ABS(Z51),'Baseline System Analysis'!Z14)*Z64*1000*'Cost Assumptions'!$B$6)*'Cost Assumptions'!$B$13))</f>
        <v>0</v>
      </c>
      <c r="AA79" s="63">
        <f>ABS(((MIN(ABS(AA51),'Baseline System Analysis'!AA14)*AA64*1000*'Cost Assumptions'!$B$6)*'Cost Assumptions'!$B$13))</f>
        <v>0</v>
      </c>
      <c r="AB79" s="63">
        <f>ABS(((MIN(ABS(AB51),'Baseline System Analysis'!AB14)*AB64*1000*'Cost Assumptions'!$B$6)*'Cost Assumptions'!$B$13))</f>
        <v>0</v>
      </c>
      <c r="AC79" s="63">
        <f>ABS(((MIN(ABS(AC51),'Baseline System Analysis'!AC14)*AC64*1000*'Cost Assumptions'!$B$6)*'Cost Assumptions'!$B$13))</f>
        <v>0</v>
      </c>
      <c r="AD79" s="63">
        <f>ABS(((MIN(ABS(AD51),'Baseline System Analysis'!AD14)*AD64*1000*'Cost Assumptions'!$B$6)*'Cost Assumptions'!$B$13))</f>
        <v>0</v>
      </c>
    </row>
    <row r="80" spans="1:30" s="62" customFormat="1" ht="29" x14ac:dyDescent="0.35">
      <c r="A80" s="3" t="s">
        <v>159</v>
      </c>
      <c r="B80" s="88" t="s">
        <v>164</v>
      </c>
      <c r="C80" s="20">
        <f>NPV('Cost Assumptions'!$B$3,D80:AD80)</f>
        <v>0</v>
      </c>
      <c r="D80" s="63">
        <f>SUM(D78:D79)</f>
        <v>0</v>
      </c>
      <c r="E80" s="63">
        <f t="shared" ref="E80:AD80" si="34">SUM(E78:E79)</f>
        <v>0</v>
      </c>
      <c r="F80" s="63">
        <f t="shared" si="34"/>
        <v>0</v>
      </c>
      <c r="G80" s="63">
        <f t="shared" si="34"/>
        <v>0</v>
      </c>
      <c r="H80" s="63">
        <f t="shared" si="34"/>
        <v>0</v>
      </c>
      <c r="I80" s="63">
        <f t="shared" si="34"/>
        <v>0</v>
      </c>
      <c r="J80" s="63">
        <f t="shared" si="34"/>
        <v>0</v>
      </c>
      <c r="K80" s="63">
        <f t="shared" si="34"/>
        <v>0</v>
      </c>
      <c r="L80" s="63">
        <f t="shared" si="34"/>
        <v>0</v>
      </c>
      <c r="M80" s="63">
        <f t="shared" si="34"/>
        <v>0</v>
      </c>
      <c r="N80" s="63">
        <f t="shared" si="34"/>
        <v>0</v>
      </c>
      <c r="O80" s="63">
        <f t="shared" si="34"/>
        <v>0</v>
      </c>
      <c r="P80" s="63">
        <f t="shared" si="34"/>
        <v>0</v>
      </c>
      <c r="Q80" s="63">
        <f t="shared" si="34"/>
        <v>0</v>
      </c>
      <c r="R80" s="63">
        <f t="shared" si="34"/>
        <v>0</v>
      </c>
      <c r="S80" s="63">
        <f t="shared" si="34"/>
        <v>0</v>
      </c>
      <c r="T80" s="63">
        <f t="shared" si="34"/>
        <v>0</v>
      </c>
      <c r="U80" s="63">
        <f t="shared" si="34"/>
        <v>0</v>
      </c>
      <c r="V80" s="63">
        <f t="shared" si="34"/>
        <v>0</v>
      </c>
      <c r="W80" s="63">
        <f t="shared" si="34"/>
        <v>0</v>
      </c>
      <c r="X80" s="63">
        <f t="shared" si="34"/>
        <v>0</v>
      </c>
      <c r="Y80" s="63">
        <f t="shared" si="34"/>
        <v>0</v>
      </c>
      <c r="Z80" s="63">
        <f t="shared" si="34"/>
        <v>0</v>
      </c>
      <c r="AA80" s="63">
        <f t="shared" si="34"/>
        <v>0</v>
      </c>
      <c r="AB80" s="63">
        <f t="shared" si="34"/>
        <v>0</v>
      </c>
      <c r="AC80" s="63">
        <f t="shared" si="34"/>
        <v>0</v>
      </c>
      <c r="AD80" s="63">
        <f t="shared" si="34"/>
        <v>0</v>
      </c>
    </row>
    <row r="81" spans="1:30" s="62" customFormat="1" x14ac:dyDescent="0.35">
      <c r="A81" s="3"/>
      <c r="B81" s="88"/>
      <c r="C81" s="20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2" customFormat="1" ht="29" x14ac:dyDescent="0.35">
      <c r="A82" s="3" t="s">
        <v>160</v>
      </c>
      <c r="B82" s="88" t="s">
        <v>161</v>
      </c>
      <c r="C82" s="20">
        <f>NPV('Cost Assumptions'!$B$3,D82:AD82)</f>
        <v>175568847.88828719</v>
      </c>
      <c r="D82" s="63">
        <f>('Baseline System Analysis'!D42-D37)</f>
        <v>11220653.292733105</v>
      </c>
      <c r="E82" s="63">
        <f>('Baseline System Analysis'!E42-E37)</f>
        <v>12144894.242926663</v>
      </c>
      <c r="F82" s="63">
        <f>('Baseline System Analysis'!F42-F37)</f>
        <v>12786906.835430916</v>
      </c>
      <c r="G82" s="63">
        <f>('Baseline System Analysis'!G42-G37)</f>
        <v>13548988.63648127</v>
      </c>
      <c r="H82" s="63">
        <f>('Baseline System Analysis'!H42-H37)</f>
        <v>14198598.168851539</v>
      </c>
      <c r="I82" s="63">
        <f>('Baseline System Analysis'!I42-I37)</f>
        <v>15000919.041780714</v>
      </c>
      <c r="J82" s="63">
        <f>('Baseline System Analysis'!J42-J37)</f>
        <v>15909040.459199362</v>
      </c>
      <c r="K82" s="63">
        <f>('Baseline System Analysis'!K42-K37)</f>
        <v>16834711.499928072</v>
      </c>
      <c r="L82" s="63">
        <f>('Baseline System Analysis'!L42-L37)</f>
        <v>17913721.538628906</v>
      </c>
      <c r="M82" s="63">
        <f>('Baseline System Analysis'!M42-M37)</f>
        <v>19199934.429166906</v>
      </c>
      <c r="N82" s="63">
        <f>('Baseline System Analysis'!N42-N37)</f>
        <v>20113909.105925448</v>
      </c>
      <c r="O82" s="63">
        <f>('Baseline System Analysis'!O42-O37)</f>
        <v>21304230.047225248</v>
      </c>
      <c r="P82" s="63">
        <f>('Baseline System Analysis'!P42-P37)</f>
        <v>22569755.278816275</v>
      </c>
      <c r="Q82" s="63">
        <f>('Baseline System Analysis'!Q42-Q37)</f>
        <v>23956380.495810196</v>
      </c>
      <c r="R82" s="63">
        <f>('Baseline System Analysis'!R42-R37)</f>
        <v>25296897.755682193</v>
      </c>
      <c r="S82" s="63">
        <f>('Baseline System Analysis'!S42-S37)</f>
        <v>26952539.311523363</v>
      </c>
      <c r="T82" s="63">
        <f>('Baseline System Analysis'!T42-T37)</f>
        <v>28393160.81304479</v>
      </c>
      <c r="U82" s="63">
        <f>('Baseline System Analysis'!U42-U37)</f>
        <v>29763730.613962401</v>
      </c>
      <c r="V82" s="63">
        <f>('Baseline System Analysis'!V42-V37)</f>
        <v>31534269.371617243</v>
      </c>
      <c r="W82" s="63">
        <f>('Baseline System Analysis'!W42-W37)</f>
        <v>33150927.659656551</v>
      </c>
      <c r="X82" s="63">
        <f>('Baseline System Analysis'!X42-X37)</f>
        <v>34881141.395379439</v>
      </c>
      <c r="Y82" s="63">
        <f>('Baseline System Analysis'!Y42-Y37)</f>
        <v>36682729.525877863</v>
      </c>
      <c r="Z82" s="63">
        <f>('Baseline System Analysis'!Z42-Z37)</f>
        <v>38269131.449534416</v>
      </c>
      <c r="AA82" s="63">
        <f>('Baseline System Analysis'!AA42-AA37)</f>
        <v>40074160.347676061</v>
      </c>
      <c r="AB82" s="63">
        <f>('Baseline System Analysis'!AB42-AB37)</f>
        <v>41880907.301161543</v>
      </c>
      <c r="AC82" s="63">
        <f>('Baseline System Analysis'!AC42-AC37)</f>
        <v>43418755.626572527</v>
      </c>
      <c r="AD82" s="63">
        <f>('Baseline System Analysis'!AD42-AD37)</f>
        <v>45077255.178914092</v>
      </c>
    </row>
    <row r="83" spans="1:30" s="62" customFormat="1" x14ac:dyDescent="0.35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</row>
    <row r="84" spans="1:30" s="62" customFormat="1" ht="20" thickBot="1" x14ac:dyDescent="0.5">
      <c r="A84" s="142" t="s">
        <v>74</v>
      </c>
      <c r="B84" s="171"/>
      <c r="C84" s="20">
        <f>NPV('Cost Assumptions'!$B$3,D84:AD84)/1000000</f>
        <v>2139.4670499704403</v>
      </c>
      <c r="D84" s="63">
        <f>SUM(D68,D72,D76,D80,D82)</f>
        <v>46187261.916352428</v>
      </c>
      <c r="E84" s="63">
        <f t="shared" ref="E84:AD84" si="35">SUM(E68,E72,E76,E80,E82)</f>
        <v>61031031.693460926</v>
      </c>
      <c r="F84" s="63">
        <f t="shared" si="35"/>
        <v>75823629.569796115</v>
      </c>
      <c r="G84" s="63">
        <f t="shared" si="35"/>
        <v>91446847.091918051</v>
      </c>
      <c r="H84" s="63">
        <f t="shared" si="35"/>
        <v>107619181.64635612</v>
      </c>
      <c r="I84" s="63">
        <f t="shared" si="35"/>
        <v>123193856.00598106</v>
      </c>
      <c r="J84" s="63">
        <f t="shared" si="35"/>
        <v>142104097.4590424</v>
      </c>
      <c r="K84" s="63">
        <f t="shared" si="35"/>
        <v>162253656.99662918</v>
      </c>
      <c r="L84" s="63">
        <f t="shared" si="35"/>
        <v>184786151.83787629</v>
      </c>
      <c r="M84" s="63">
        <f t="shared" si="35"/>
        <v>202904119.47738755</v>
      </c>
      <c r="N84" s="63">
        <f t="shared" si="35"/>
        <v>226309678.22715202</v>
      </c>
      <c r="O84" s="63">
        <f t="shared" si="35"/>
        <v>251078837.0440945</v>
      </c>
      <c r="P84" s="63">
        <f t="shared" si="35"/>
        <v>279722240.59804153</v>
      </c>
      <c r="Q84" s="63">
        <f t="shared" si="35"/>
        <v>309368721.66840869</v>
      </c>
      <c r="R84" s="63">
        <f t="shared" si="35"/>
        <v>343261976.98555982</v>
      </c>
      <c r="S84" s="63">
        <f t="shared" si="35"/>
        <v>380787037.87720484</v>
      </c>
      <c r="T84" s="63">
        <f t="shared" si="35"/>
        <v>421586541.23168445</v>
      </c>
      <c r="U84" s="63">
        <f t="shared" si="35"/>
        <v>466099689.45136887</v>
      </c>
      <c r="V84" s="63">
        <f t="shared" si="35"/>
        <v>503699706.82440013</v>
      </c>
      <c r="W84" s="63">
        <f t="shared" si="35"/>
        <v>546296058.68636978</v>
      </c>
      <c r="X84" s="63">
        <f t="shared" si="35"/>
        <v>590485527.36804581</v>
      </c>
      <c r="Y84" s="63">
        <f t="shared" si="35"/>
        <v>707847350.42603266</v>
      </c>
      <c r="Z84" s="63">
        <f t="shared" si="35"/>
        <v>831780255.09955895</v>
      </c>
      <c r="AA84" s="63">
        <f t="shared" si="35"/>
        <v>962734526.72468448</v>
      </c>
      <c r="AB84" s="63">
        <f t="shared" si="35"/>
        <v>1100029085.4796517</v>
      </c>
      <c r="AC84" s="63">
        <f t="shared" si="35"/>
        <v>1240444326.1918473</v>
      </c>
      <c r="AD84" s="63">
        <f t="shared" si="35"/>
        <v>1381632123.6132715</v>
      </c>
    </row>
    <row r="85" spans="1:30" s="62" customFormat="1" ht="20.5" thickTop="1" thickBot="1" x14ac:dyDescent="0.5">
      <c r="A85" s="142" t="s">
        <v>169</v>
      </c>
      <c r="B85" s="142"/>
      <c r="C85" s="20">
        <f>NPV('Cost Assumptions'!$B$3,D85:AD85)/1000000</f>
        <v>2139.7382614244193</v>
      </c>
      <c r="D85" s="63">
        <f>D84+D44</f>
        <v>46200813.916352391</v>
      </c>
      <c r="E85" s="63">
        <f>E84+E44</f>
        <v>61046099.154037818</v>
      </c>
      <c r="F85" s="63">
        <f t="shared" ref="F85:AD85" si="36">F84+F44</f>
        <v>75840279.793978781</v>
      </c>
      <c r="G85" s="63">
        <f t="shared" si="36"/>
        <v>91465149.80072391</v>
      </c>
      <c r="H85" s="63">
        <f t="shared" si="36"/>
        <v>107639209.05762622</v>
      </c>
      <c r="I85" s="63">
        <f t="shared" si="36"/>
        <v>123215682.91564561</v>
      </c>
      <c r="J85" s="63">
        <f>J84+J44</f>
        <v>142127801.32488909</v>
      </c>
      <c r="K85" s="63">
        <f t="shared" si="36"/>
        <v>162279318.02464858</v>
      </c>
      <c r="L85" s="63">
        <f t="shared" si="36"/>
        <v>184813853.07126084</v>
      </c>
      <c r="M85" s="63">
        <f t="shared" si="36"/>
        <v>202933946.88826305</v>
      </c>
      <c r="N85" s="63">
        <f t="shared" si="36"/>
        <v>226341720.81112212</v>
      </c>
      <c r="O85" s="63">
        <f t="shared" si="36"/>
        <v>251113186.91768214</v>
      </c>
      <c r="P85" s="63">
        <f t="shared" si="36"/>
        <v>279758993.09911263</v>
      </c>
      <c r="Q85" s="63">
        <f t="shared" si="36"/>
        <v>309407975.45966637</v>
      </c>
      <c r="R85" s="63">
        <f t="shared" si="36"/>
        <v>343303834.16120028</v>
      </c>
      <c r="S85" s="63">
        <f t="shared" si="36"/>
        <v>380831604.0728277</v>
      </c>
      <c r="T85" s="63">
        <f t="shared" si="36"/>
        <v>421633925.73755401</v>
      </c>
      <c r="U85" s="63">
        <f t="shared" si="36"/>
        <v>466150005.32912523</v>
      </c>
      <c r="V85" s="63">
        <f t="shared" si="36"/>
        <v>503753071.02732146</v>
      </c>
      <c r="W85" s="63">
        <f t="shared" si="36"/>
        <v>546352592.18329072</v>
      </c>
      <c r="X85" s="63">
        <f t="shared" si="36"/>
        <v>590545355.27103949</v>
      </c>
      <c r="Y85" s="63">
        <f t="shared" si="36"/>
        <v>707910924.04182208</v>
      </c>
      <c r="Z85" s="63">
        <f t="shared" si="36"/>
        <v>831847724.32134438</v>
      </c>
      <c r="AA85" s="63">
        <f t="shared" si="36"/>
        <v>962806046.59925592</v>
      </c>
      <c r="AB85" s="63">
        <f t="shared" si="36"/>
        <v>1100104816.3713849</v>
      </c>
      <c r="AC85" s="63">
        <f t="shared" si="36"/>
        <v>1240524433.9516788</v>
      </c>
      <c r="AD85" s="63">
        <f t="shared" si="36"/>
        <v>1381716779.7527986</v>
      </c>
    </row>
    <row r="86" spans="1:30" ht="15" thickTop="1" x14ac:dyDescent="0.3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20" thickBot="1" x14ac:dyDescent="0.5">
      <c r="A87" s="142" t="s">
        <v>163</v>
      </c>
      <c r="B87" s="142"/>
      <c r="C87" s="20">
        <f>Summary!$D$17</f>
        <v>291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15" thickTop="1" x14ac:dyDescent="0.35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20" thickBot="1" x14ac:dyDescent="0.5">
      <c r="A89" s="142" t="s">
        <v>7</v>
      </c>
      <c r="B89" s="142"/>
      <c r="C89" s="53">
        <f>C85/C87</f>
        <v>7.3530524447574548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ht="15" thickTop="1" x14ac:dyDescent="0.35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</row>
    <row r="91" spans="1:30" s="62" customFormat="1" ht="42.65" customHeight="1" thickBot="1" x14ac:dyDescent="0.5">
      <c r="A91" s="170" t="s">
        <v>168</v>
      </c>
      <c r="B91" s="170"/>
      <c r="C91" s="88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>
        <v>1665.9024124270309</v>
      </c>
      <c r="Z91" s="63">
        <v>1952.3678520472304</v>
      </c>
      <c r="AA91" s="63">
        <v>2238.8332916674299</v>
      </c>
      <c r="AB91" s="63">
        <v>2525.2987312876294</v>
      </c>
      <c r="AC91" s="63">
        <v>2554.1343652293817</v>
      </c>
      <c r="AD91" s="63">
        <v>2582.9699991711341</v>
      </c>
    </row>
    <row r="92" spans="1:30" ht="15" thickTop="1" x14ac:dyDescent="0.35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</row>
    <row r="94" spans="1:30" x14ac:dyDescent="0.35">
      <c r="A94" s="88"/>
      <c r="B94" s="88"/>
      <c r="C94" s="7">
        <v>5.3189499999999992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  <row r="95" spans="1:30" x14ac:dyDescent="0.35">
      <c r="A95" s="88"/>
      <c r="B95" s="88"/>
      <c r="C95" s="7">
        <v>278.47349338319282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</row>
    <row r="96" spans="1:30" x14ac:dyDescent="0.35">
      <c r="A96" s="88"/>
      <c r="B96" s="88"/>
      <c r="C96" s="7">
        <v>0</v>
      </c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</row>
    <row r="97" spans="3:3" x14ac:dyDescent="0.35">
      <c r="C97" s="7">
        <v>1848.6795152685604</v>
      </c>
    </row>
    <row r="98" spans="3:3" x14ac:dyDescent="0.35">
      <c r="C98" s="7">
        <v>54.062300000000008</v>
      </c>
    </row>
  </sheetData>
  <mergeCells count="8">
    <mergeCell ref="B2:B15"/>
    <mergeCell ref="B18:B32"/>
    <mergeCell ref="A91:B91"/>
    <mergeCell ref="A59:AD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D95"/>
  <sheetViews>
    <sheetView zoomScale="84" zoomScaleNormal="84" workbookViewId="0"/>
  </sheetViews>
  <sheetFormatPr defaultRowHeight="14.5" x14ac:dyDescent="0.35"/>
  <cols>
    <col min="1" max="1" width="21" customWidth="1"/>
    <col min="2" max="2" width="26.7265625" bestFit="1" customWidth="1"/>
    <col min="3" max="3" width="22.81640625" customWidth="1"/>
    <col min="4" max="4" width="14.1796875" bestFit="1" customWidth="1"/>
    <col min="5" max="6" width="13" bestFit="1" customWidth="1"/>
    <col min="7" max="7" width="15" bestFit="1" customWidth="1"/>
    <col min="8" max="14" width="13" bestFit="1" customWidth="1"/>
    <col min="15" max="30" width="14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3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5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5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5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5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5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5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5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5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5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5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5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5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5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49.75" customHeight="1" thickTop="1" x14ac:dyDescent="0.35">
      <c r="A18" s="88"/>
      <c r="B18" s="168" t="s">
        <v>17</v>
      </c>
      <c r="C18" s="88" t="s">
        <v>120</v>
      </c>
      <c r="D18" s="63">
        <v>43917.339999999931</v>
      </c>
      <c r="E18" s="63">
        <v>44144.462500000038</v>
      </c>
      <c r="F18" s="63">
        <v>44371.585000000137</v>
      </c>
      <c r="G18" s="63">
        <v>44598.707500000237</v>
      </c>
      <c r="H18" s="63">
        <v>44825.830000000336</v>
      </c>
      <c r="I18" s="63">
        <v>45052.952500000436</v>
      </c>
      <c r="J18" s="63">
        <v>45280.07500000055</v>
      </c>
      <c r="K18" s="63">
        <v>45576.884299763602</v>
      </c>
      <c r="L18" s="63">
        <v>45873.693599526654</v>
      </c>
      <c r="M18" s="63">
        <v>46170.502899289706</v>
      </c>
      <c r="N18" s="63">
        <v>46467.312199052758</v>
      </c>
      <c r="O18" s="63">
        <v>46764.12149881581</v>
      </c>
      <c r="P18" s="63">
        <v>47060.930798578862</v>
      </c>
      <c r="Q18" s="63">
        <v>47357.740098341914</v>
      </c>
      <c r="R18" s="63">
        <v>47654.549398104966</v>
      </c>
      <c r="S18" s="63">
        <v>47951.358697868018</v>
      </c>
      <c r="T18" s="63">
        <v>48248.16799763107</v>
      </c>
      <c r="U18" s="63">
        <v>48544.977297394122</v>
      </c>
      <c r="V18" s="63">
        <f>U18+(($AD18-$U$18)/(COLUMN($AD18)-COLUMN($U$18)))</f>
        <v>48838.074822538954</v>
      </c>
      <c r="W18" s="63">
        <f t="shared" ref="W18:AB18" si="0">V18+(($AD18-$U$18)/(COLUMN($AD18)-COLUMN($U$18)))</f>
        <v>49131.172347683787</v>
      </c>
      <c r="X18" s="63">
        <f t="shared" si="0"/>
        <v>49424.26987282862</v>
      </c>
      <c r="Y18" s="63">
        <f t="shared" si="0"/>
        <v>49717.367397973452</v>
      </c>
      <c r="Z18" s="63">
        <f t="shared" si="0"/>
        <v>50010.464923118285</v>
      </c>
      <c r="AA18" s="63">
        <f t="shared" si="0"/>
        <v>50303.562448263117</v>
      </c>
      <c r="AB18" s="63">
        <f t="shared" si="0"/>
        <v>50596.65997340795</v>
      </c>
      <c r="AC18" s="63">
        <f>AB18+(($AD18-$U$18)/(COLUMN($AD18)-COLUMN($U$18)))</f>
        <v>50889.757498552783</v>
      </c>
      <c r="AD18" s="63">
        <v>51182.855023697637</v>
      </c>
    </row>
    <row r="19" spans="1:30" x14ac:dyDescent="0.35">
      <c r="A19" s="88" t="s">
        <v>30</v>
      </c>
      <c r="B19" s="169"/>
      <c r="C19" s="88" t="s">
        <v>31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</row>
    <row r="20" spans="1:30" x14ac:dyDescent="0.35">
      <c r="A20" s="88" t="s">
        <v>30</v>
      </c>
      <c r="B20" s="169"/>
      <c r="C20" s="88" t="s">
        <v>32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</row>
    <row r="21" spans="1:30" x14ac:dyDescent="0.35">
      <c r="A21" s="88" t="s">
        <v>30</v>
      </c>
      <c r="B21" s="169"/>
      <c r="C21" s="88" t="s">
        <v>33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</row>
    <row r="22" spans="1:30" x14ac:dyDescent="0.35">
      <c r="A22" s="88" t="s">
        <v>30</v>
      </c>
      <c r="B22" s="169"/>
      <c r="C22" s="88" t="s">
        <v>34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</row>
    <row r="23" spans="1:30" x14ac:dyDescent="0.35">
      <c r="A23" s="88" t="s">
        <v>30</v>
      </c>
      <c r="B23" s="169"/>
      <c r="C23" s="88" t="s">
        <v>35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</row>
    <row r="24" spans="1:30" x14ac:dyDescent="0.35">
      <c r="A24" s="88" t="s">
        <v>30</v>
      </c>
      <c r="B24" s="169"/>
      <c r="C24" s="88" t="s">
        <v>121</v>
      </c>
      <c r="D24" s="63">
        <v>1522.8473114437365</v>
      </c>
      <c r="E24" s="63">
        <v>1930.4719110095548</v>
      </c>
      <c r="F24" s="63">
        <v>2338.0965105753721</v>
      </c>
      <c r="G24" s="63">
        <v>2745.7211101411895</v>
      </c>
      <c r="H24" s="63">
        <v>3153.3457097070077</v>
      </c>
      <c r="I24" s="63">
        <v>3560.970309272825</v>
      </c>
      <c r="J24" s="63">
        <v>3968.5949088386424</v>
      </c>
      <c r="K24" s="63">
        <v>4376.2195084044615</v>
      </c>
      <c r="L24" s="63">
        <v>4783.8441079702789</v>
      </c>
      <c r="M24" s="63">
        <v>5191.4687075360962</v>
      </c>
      <c r="N24" s="63">
        <v>5599.0933071019135</v>
      </c>
      <c r="O24" s="63">
        <v>6006.7179066677309</v>
      </c>
      <c r="P24" s="63">
        <v>6414.3425062335482</v>
      </c>
      <c r="Q24" s="63">
        <v>6821.9671057993655</v>
      </c>
      <c r="R24" s="63">
        <v>7229.5917053651829</v>
      </c>
      <c r="S24" s="63">
        <v>7637.2163049310002</v>
      </c>
      <c r="T24" s="63">
        <v>8044.8409044968175</v>
      </c>
      <c r="U24" s="63">
        <v>8452.4655040626385</v>
      </c>
      <c r="V24" s="63">
        <v>10496.399872907652</v>
      </c>
      <c r="W24" s="63">
        <v>12540.334241752666</v>
      </c>
      <c r="X24" s="63">
        <v>14584.268610597679</v>
      </c>
      <c r="Y24" s="63">
        <v>16628.202979442693</v>
      </c>
      <c r="Z24" s="63">
        <v>18672.137348287706</v>
      </c>
      <c r="AA24" s="63">
        <v>20716.07171713272</v>
      </c>
      <c r="AB24" s="63">
        <v>22760.006085977733</v>
      </c>
      <c r="AC24" s="63">
        <v>24803.940454822747</v>
      </c>
      <c r="AD24" s="63">
        <v>26847.874823667753</v>
      </c>
    </row>
    <row r="25" spans="1:30" x14ac:dyDescent="0.35">
      <c r="A25" s="88" t="s">
        <v>30</v>
      </c>
      <c r="B25" s="169"/>
      <c r="C25" s="88" t="s">
        <v>122</v>
      </c>
      <c r="D25" s="63">
        <v>57103.983414732123</v>
      </c>
      <c r="E25" s="63">
        <v>58857.58022999746</v>
      </c>
      <c r="F25" s="63">
        <v>59699.596942620614</v>
      </c>
      <c r="G25" s="63">
        <v>60571.962460466268</v>
      </c>
      <c r="H25" s="63">
        <v>61496.898375218188</v>
      </c>
      <c r="I25" s="63">
        <v>62558.659107198764</v>
      </c>
      <c r="J25" s="63">
        <v>63631.28859293813</v>
      </c>
      <c r="K25" s="63">
        <v>64969.175761906808</v>
      </c>
      <c r="L25" s="63">
        <v>66337.685822816915</v>
      </c>
      <c r="M25" s="63">
        <v>67781.134636030052</v>
      </c>
      <c r="N25" s="63">
        <v>69263.881075746234</v>
      </c>
      <c r="O25" s="63">
        <v>70782.188727667366</v>
      </c>
      <c r="P25" s="63">
        <v>72342.219702484406</v>
      </c>
      <c r="Q25" s="63">
        <v>73878.759748331533</v>
      </c>
      <c r="R25" s="63">
        <v>75444.091313131226</v>
      </c>
      <c r="S25" s="63">
        <v>77029.054912784879</v>
      </c>
      <c r="T25" s="63">
        <v>78642.455925272312</v>
      </c>
      <c r="U25" s="63">
        <v>80129.021564274008</v>
      </c>
      <c r="V25" s="63">
        <v>81620.040881017034</v>
      </c>
      <c r="W25" s="63">
        <v>83106.219343866425</v>
      </c>
      <c r="X25" s="63">
        <v>84594.507661144613</v>
      </c>
      <c r="Y25" s="63">
        <v>85866.134095305359</v>
      </c>
      <c r="Z25" s="63">
        <v>87106.900394339798</v>
      </c>
      <c r="AA25" s="63">
        <v>88307.491980533596</v>
      </c>
      <c r="AB25" s="63">
        <v>89475.711892624677</v>
      </c>
      <c r="AC25" s="63">
        <v>90359.930391828661</v>
      </c>
      <c r="AD25" s="63">
        <v>91166.126288020299</v>
      </c>
    </row>
    <row r="26" spans="1:30" s="82" customFormat="1" x14ac:dyDescent="0.35">
      <c r="A26" s="88" t="s">
        <v>30</v>
      </c>
      <c r="B26" s="169"/>
      <c r="C26" s="88" t="s">
        <v>123</v>
      </c>
      <c r="D26" s="63">
        <v>12005.779662616018</v>
      </c>
      <c r="E26" s="63">
        <v>13453.747567363946</v>
      </c>
      <c r="F26" s="63">
        <v>14178.889103192518</v>
      </c>
      <c r="G26" s="63">
        <v>14937.261617520458</v>
      </c>
      <c r="H26" s="63">
        <v>15757.29160872877</v>
      </c>
      <c r="I26" s="63">
        <v>16749.936384389566</v>
      </c>
      <c r="J26" s="63">
        <v>17791.913206493271</v>
      </c>
      <c r="K26" s="63">
        <v>19124.011341727011</v>
      </c>
      <c r="L26" s="63">
        <v>20543.145368098849</v>
      </c>
      <c r="M26" s="63">
        <v>22091.128877686537</v>
      </c>
      <c r="N26" s="63">
        <v>23727.955643573241</v>
      </c>
      <c r="O26" s="63">
        <v>25447.673579893522</v>
      </c>
      <c r="P26" s="63">
        <v>27260.067091473225</v>
      </c>
      <c r="Q26" s="63">
        <v>29119.060798842365</v>
      </c>
      <c r="R26" s="63">
        <v>31049.64372879377</v>
      </c>
      <c r="S26" s="63">
        <v>33050.616447771819</v>
      </c>
      <c r="T26" s="63">
        <v>35134.189134577544</v>
      </c>
      <c r="U26" s="63">
        <v>37103.751814000905</v>
      </c>
      <c r="V26" s="63">
        <v>39133.950792993543</v>
      </c>
      <c r="W26" s="63">
        <v>41196.043893758018</v>
      </c>
      <c r="X26" s="63">
        <v>43327.740976188783</v>
      </c>
      <c r="Y26" s="63">
        <v>45192.069475430879</v>
      </c>
      <c r="Z26" s="63">
        <v>47054.695319873877</v>
      </c>
      <c r="AA26" s="63">
        <v>48899.768263502745</v>
      </c>
      <c r="AB26" s="63">
        <v>50715.412350973696</v>
      </c>
      <c r="AC26" s="63">
        <v>52106.724357043873</v>
      </c>
      <c r="AD26" s="63">
        <v>53402.50691931419</v>
      </c>
    </row>
    <row r="27" spans="1:30" x14ac:dyDescent="0.35">
      <c r="A27" s="88" t="s">
        <v>39</v>
      </c>
      <c r="B27" s="169"/>
      <c r="C27" s="88" t="s">
        <v>31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</row>
    <row r="28" spans="1:30" x14ac:dyDescent="0.35">
      <c r="A28" s="88" t="s">
        <v>39</v>
      </c>
      <c r="B28" s="169"/>
      <c r="C28" s="88" t="s">
        <v>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</row>
    <row r="29" spans="1:30" x14ac:dyDescent="0.35">
      <c r="A29" s="88" t="s">
        <v>39</v>
      </c>
      <c r="B29" s="169"/>
      <c r="C29" s="88" t="s">
        <v>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</row>
    <row r="30" spans="1:30" x14ac:dyDescent="0.35">
      <c r="A30" s="88" t="s">
        <v>39</v>
      </c>
      <c r="B30" s="169"/>
      <c r="C30" s="88" t="s">
        <v>34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</row>
    <row r="31" spans="1:30" x14ac:dyDescent="0.35">
      <c r="A31" s="88" t="s">
        <v>39</v>
      </c>
      <c r="B31" s="169"/>
      <c r="C31" s="88" t="s">
        <v>35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</row>
    <row r="32" spans="1:30" x14ac:dyDescent="0.35">
      <c r="A32" s="88" t="s">
        <v>143</v>
      </c>
      <c r="B32" s="88" t="s">
        <v>124</v>
      </c>
      <c r="C32" s="88" t="s">
        <v>144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</row>
    <row r="33" spans="1:30" x14ac:dyDescent="0.35">
      <c r="A33" s="88" t="s">
        <v>143</v>
      </c>
      <c r="B33" s="88" t="s">
        <v>145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</row>
    <row r="34" spans="1:30" s="62" customFormat="1" x14ac:dyDescent="0.35">
      <c r="A34" s="88" t="s">
        <v>146</v>
      </c>
      <c r="B34" s="88" t="s">
        <v>124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</row>
    <row r="35" spans="1:30" s="62" customFormat="1" x14ac:dyDescent="0.35">
      <c r="A35" s="88" t="s">
        <v>146</v>
      </c>
      <c r="B35" s="88" t="s">
        <v>145</v>
      </c>
      <c r="C35" s="88" t="s">
        <v>144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</row>
    <row r="36" spans="1:30" ht="29" x14ac:dyDescent="0.35">
      <c r="A36" s="3" t="s">
        <v>147</v>
      </c>
      <c r="B36" s="3" t="s">
        <v>148</v>
      </c>
      <c r="C36" s="88" t="s">
        <v>144</v>
      </c>
      <c r="D36" s="63">
        <v>3761264.1019426975</v>
      </c>
      <c r="E36" s="63">
        <v>4284468.9844651967</v>
      </c>
      <c r="F36" s="63">
        <v>4606809.457415673</v>
      </c>
      <c r="G36" s="63">
        <v>4995916.7068967419</v>
      </c>
      <c r="H36" s="63">
        <v>5329732.8155049803</v>
      </c>
      <c r="I36" s="63">
        <v>5796909.3143045204</v>
      </c>
      <c r="J36" s="63">
        <v>6339306.0254546404</v>
      </c>
      <c r="K36" s="63">
        <v>6920207.7481979132</v>
      </c>
      <c r="L36" s="63">
        <v>7596461.5360487998</v>
      </c>
      <c r="M36" s="63">
        <v>8346769.2774851266</v>
      </c>
      <c r="N36" s="63">
        <v>9071092.5084369257</v>
      </c>
      <c r="O36" s="63">
        <v>10002224.873200689</v>
      </c>
      <c r="P36" s="63">
        <v>10816199.117163673</v>
      </c>
      <c r="Q36" s="63">
        <v>11750212.177255383</v>
      </c>
      <c r="R36" s="63">
        <v>12812996.305591276</v>
      </c>
      <c r="S36" s="63">
        <v>14011630.438719206</v>
      </c>
      <c r="T36" s="63">
        <v>15155185.001629621</v>
      </c>
      <c r="U36" s="63">
        <v>16252369.160086296</v>
      </c>
      <c r="V36" s="63">
        <v>17557003.331786357</v>
      </c>
      <c r="W36" s="63">
        <v>18885313.670298275</v>
      </c>
      <c r="X36" s="63">
        <v>20270943.389896091</v>
      </c>
      <c r="Y36" s="63">
        <v>21663676.150529634</v>
      </c>
      <c r="Z36" s="63">
        <v>22940276.424123649</v>
      </c>
      <c r="AA36" s="63">
        <v>24374410.358043719</v>
      </c>
      <c r="AB36" s="63">
        <v>25933472.839458369</v>
      </c>
      <c r="AC36" s="63">
        <v>27111136.456483223</v>
      </c>
      <c r="AD36" s="63">
        <v>28364935.2116291</v>
      </c>
    </row>
    <row r="37" spans="1:30" x14ac:dyDescent="0.35">
      <c r="A37" s="88"/>
      <c r="B37" s="88"/>
      <c r="C37" s="88"/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</row>
    <row r="38" spans="1:30" x14ac:dyDescent="0.35">
      <c r="A38" s="88"/>
      <c r="B38" s="88"/>
      <c r="C38" s="88" t="s">
        <v>149</v>
      </c>
      <c r="D38" s="63">
        <f>'Cost Assumptions'!$B$4</f>
        <v>40</v>
      </c>
      <c r="E38" s="63">
        <f>D38*'Cost Assumptions'!$B$5</f>
        <v>41</v>
      </c>
      <c r="F38" s="63">
        <f>E38*'Cost Assumptions'!$B$5</f>
        <v>42.024999999999999</v>
      </c>
      <c r="G38" s="63">
        <f>F38*'Cost Assumptions'!$B$5</f>
        <v>43.075624999999995</v>
      </c>
      <c r="H38" s="10">
        <f>G38*'Cost Assumptions'!$B$5</f>
        <v>44.152515624999992</v>
      </c>
      <c r="I38" s="10">
        <f>H38*'Cost Assumptions'!$B$5</f>
        <v>45.256328515624986</v>
      </c>
      <c r="J38" s="10">
        <f>I38*'Cost Assumptions'!$B$5</f>
        <v>46.387736728515605</v>
      </c>
      <c r="K38" s="10">
        <f>J38*'Cost Assumptions'!$B$5</f>
        <v>47.547430146728495</v>
      </c>
      <c r="L38" s="10">
        <f>K38*'Cost Assumptions'!$B$5</f>
        <v>48.736115900396705</v>
      </c>
      <c r="M38" s="10">
        <f>L38*'Cost Assumptions'!$B$5</f>
        <v>49.954518797906616</v>
      </c>
      <c r="N38" s="10">
        <f>M38*'Cost Assumptions'!$B$5</f>
        <v>51.203381767854275</v>
      </c>
      <c r="O38" s="10">
        <f>N38*'Cost Assumptions'!$B$5</f>
        <v>52.483466312050624</v>
      </c>
      <c r="P38" s="10">
        <f>O38*'Cost Assumptions'!$B$5</f>
        <v>53.795552969851883</v>
      </c>
      <c r="Q38" s="10">
        <f>P38*'Cost Assumptions'!$B$5</f>
        <v>55.140441794098173</v>
      </c>
      <c r="R38" s="10">
        <f>Q38*'Cost Assumptions'!$B$5</f>
        <v>56.518952838950625</v>
      </c>
      <c r="S38" s="10">
        <f>R38*'Cost Assumptions'!$B$5</f>
        <v>57.931926659924386</v>
      </c>
      <c r="T38" s="10">
        <f>S38*'Cost Assumptions'!$B$5</f>
        <v>59.380224826422491</v>
      </c>
      <c r="U38" s="10">
        <f>T38*'Cost Assumptions'!$B$5</f>
        <v>60.864730447083048</v>
      </c>
      <c r="V38" s="10">
        <f>U38*'Cost Assumptions'!$B$5</f>
        <v>62.386348708260115</v>
      </c>
      <c r="W38" s="10">
        <f>V38*'Cost Assumptions'!$B$5</f>
        <v>63.946007425966613</v>
      </c>
      <c r="X38" s="10">
        <f>W38*'Cost Assumptions'!$B$5</f>
        <v>65.544657611615776</v>
      </c>
      <c r="Y38" s="10">
        <f>X38*'Cost Assumptions'!$B$5</f>
        <v>67.183274051906167</v>
      </c>
      <c r="Z38" s="10">
        <f>Y38*'Cost Assumptions'!$B$5</f>
        <v>68.862855903203823</v>
      </c>
      <c r="AA38" s="10">
        <f>Z38*'Cost Assumptions'!$B$5</f>
        <v>70.584427300783915</v>
      </c>
      <c r="AB38" s="10">
        <f>AA38*'Cost Assumptions'!$B$5</f>
        <v>72.349037983303504</v>
      </c>
      <c r="AC38" s="10">
        <f>AB38*'Cost Assumptions'!$B$5</f>
        <v>74.157763932886084</v>
      </c>
      <c r="AD38" s="10">
        <f>AC38*'Cost Assumptions'!$B$5</f>
        <v>76.011708031208229</v>
      </c>
    </row>
    <row r="39" spans="1:30" x14ac:dyDescent="0.35">
      <c r="A39" s="88"/>
      <c r="B39" s="88"/>
      <c r="C39" s="8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3.5" x14ac:dyDescent="0.55000000000000004">
      <c r="A40" s="88"/>
      <c r="B40" s="167" t="s">
        <v>150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</row>
    <row r="41" spans="1:30" ht="20" thickBot="1" x14ac:dyDescent="0.5">
      <c r="A41" s="117"/>
      <c r="B41" s="128" t="s">
        <v>151</v>
      </c>
      <c r="C41" s="117" t="s">
        <v>118</v>
      </c>
      <c r="D41" s="117">
        <v>2022</v>
      </c>
      <c r="E41" s="117">
        <v>2023</v>
      </c>
      <c r="F41" s="117">
        <v>2024</v>
      </c>
      <c r="G41" s="117">
        <v>2025</v>
      </c>
      <c r="H41" s="117">
        <v>2026</v>
      </c>
      <c r="I41" s="117">
        <v>2027</v>
      </c>
      <c r="J41" s="117">
        <v>2028</v>
      </c>
      <c r="K41" s="117">
        <v>2029</v>
      </c>
      <c r="L41" s="117">
        <v>2030</v>
      </c>
      <c r="M41" s="117">
        <v>2031</v>
      </c>
      <c r="N41" s="117">
        <v>2032</v>
      </c>
      <c r="O41" s="117">
        <v>2033</v>
      </c>
      <c r="P41" s="117">
        <v>2034</v>
      </c>
      <c r="Q41" s="117">
        <v>2035</v>
      </c>
      <c r="R41" s="117">
        <v>2036</v>
      </c>
      <c r="S41" s="117">
        <v>2037</v>
      </c>
      <c r="T41" s="117">
        <v>2038</v>
      </c>
      <c r="U41" s="117">
        <v>2039</v>
      </c>
      <c r="V41" s="117">
        <v>2040</v>
      </c>
      <c r="W41" s="117">
        <v>2041</v>
      </c>
      <c r="X41" s="117">
        <v>2042</v>
      </c>
      <c r="Y41" s="117">
        <v>2043</v>
      </c>
      <c r="Z41" s="117">
        <v>2044</v>
      </c>
      <c r="AA41" s="117">
        <v>2045</v>
      </c>
      <c r="AB41" s="117">
        <v>2046</v>
      </c>
      <c r="AC41" s="117">
        <v>2047</v>
      </c>
      <c r="AD41" s="117">
        <v>2048</v>
      </c>
    </row>
    <row r="42" spans="1:30" ht="15" thickTop="1" x14ac:dyDescent="0.35">
      <c r="A42" s="5">
        <f>SUM(D42:AD42)</f>
        <v>214367.04940755927</v>
      </c>
      <c r="B42" s="11">
        <f>NPV('Cost Assumptions'!$B$3,'SDG&amp;E and Central BESS in VS'!D42:'SDG&amp;E and Central BESS in VS'!AD42)</f>
        <v>65891.270063882272</v>
      </c>
      <c r="C42" s="88" t="s">
        <v>120</v>
      </c>
      <c r="D42" s="63">
        <f t="shared" ref="D42:AD42" si="1">D2-D18</f>
        <v>5749.6599999996033</v>
      </c>
      <c r="E42" s="63">
        <f t="shared" si="1"/>
        <v>5959.3278846148969</v>
      </c>
      <c r="F42" s="63">
        <f t="shared" si="1"/>
        <v>6168.9957692301978</v>
      </c>
      <c r="G42" s="63">
        <f t="shared" si="1"/>
        <v>6378.6636538454986</v>
      </c>
      <c r="H42" s="63">
        <f t="shared" si="1"/>
        <v>6588.3315384607995</v>
      </c>
      <c r="I42" s="63">
        <f t="shared" si="1"/>
        <v>6797.9994230761004</v>
      </c>
      <c r="J42" s="63">
        <f t="shared" si="1"/>
        <v>7007.6673076913867</v>
      </c>
      <c r="K42" s="63">
        <f t="shared" si="1"/>
        <v>7147.6483925437351</v>
      </c>
      <c r="L42" s="63">
        <f t="shared" si="1"/>
        <v>7287.6294773960835</v>
      </c>
      <c r="M42" s="63">
        <f t="shared" si="1"/>
        <v>7427.610562248432</v>
      </c>
      <c r="N42" s="63">
        <f t="shared" si="1"/>
        <v>7567.5916471007804</v>
      </c>
      <c r="O42" s="63">
        <f t="shared" si="1"/>
        <v>7707.5727319531288</v>
      </c>
      <c r="P42" s="63">
        <f t="shared" si="1"/>
        <v>7847.5538168054773</v>
      </c>
      <c r="Q42" s="63">
        <f t="shared" si="1"/>
        <v>7987.5349016578257</v>
      </c>
      <c r="R42" s="63">
        <f t="shared" si="1"/>
        <v>8127.5159865101741</v>
      </c>
      <c r="S42" s="63">
        <f t="shared" si="1"/>
        <v>8267.4970713625225</v>
      </c>
      <c r="T42" s="63">
        <f t="shared" si="1"/>
        <v>8407.478156214871</v>
      </c>
      <c r="U42" s="63">
        <f t="shared" si="1"/>
        <v>8547.4592410672194</v>
      </c>
      <c r="V42" s="63">
        <f t="shared" si="1"/>
        <v>8691.1521005377872</v>
      </c>
      <c r="W42" s="63">
        <f t="shared" si="1"/>
        <v>8834.844960008355</v>
      </c>
      <c r="X42" s="63">
        <f t="shared" si="1"/>
        <v>8978.5378194789228</v>
      </c>
      <c r="Y42" s="63">
        <f t="shared" si="1"/>
        <v>9122.2306789494905</v>
      </c>
      <c r="Z42" s="63">
        <f t="shared" si="1"/>
        <v>9265.9235384200583</v>
      </c>
      <c r="AA42" s="63">
        <f t="shared" si="1"/>
        <v>9409.6163978906261</v>
      </c>
      <c r="AB42" s="63">
        <f t="shared" si="1"/>
        <v>9553.3092573611939</v>
      </c>
      <c r="AC42" s="63">
        <f t="shared" si="1"/>
        <v>9697.0021168317617</v>
      </c>
      <c r="AD42" s="63">
        <f t="shared" si="1"/>
        <v>9840.6949763023804</v>
      </c>
    </row>
    <row r="43" spans="1:30" x14ac:dyDescent="0.35">
      <c r="A43" s="5">
        <f t="shared" ref="A43:A56" si="2">SUM(D43:AD43)</f>
        <v>12379466.837887347</v>
      </c>
      <c r="B43" s="11">
        <f>NPV('Cost Assumptions'!$B$3,'SDG&amp;E and Central BESS in VS'!D43:'SDG&amp;E and Central BESS in VS'!AD43)</f>
        <v>3323604.1799647966</v>
      </c>
      <c r="C43" s="88" t="s">
        <v>152</v>
      </c>
      <c r="D43" s="63">
        <f t="shared" ref="D43:AD43" si="3">D42*D38</f>
        <v>229986.39999998413</v>
      </c>
      <c r="E43" s="63">
        <f t="shared" si="3"/>
        <v>244332.44326921078</v>
      </c>
      <c r="F43" s="63">
        <f t="shared" si="3"/>
        <v>259252.04720189905</v>
      </c>
      <c r="G43" s="63">
        <f t="shared" si="3"/>
        <v>274764.9235541785</v>
      </c>
      <c r="H43" s="63">
        <f t="shared" si="3"/>
        <v>290891.41119457071</v>
      </c>
      <c r="I43" s="63">
        <f t="shared" si="3"/>
        <v>307652.49513976113</v>
      </c>
      <c r="J43" s="63">
        <f t="shared" si="3"/>
        <v>325069.82615021383</v>
      </c>
      <c r="K43" s="63">
        <f t="shared" si="3"/>
        <v>339852.31265784946</v>
      </c>
      <c r="L43" s="63">
        <f t="shared" si="3"/>
        <v>355170.75484952301</v>
      </c>
      <c r="M43" s="63">
        <f t="shared" si="3"/>
        <v>371042.71145536902</v>
      </c>
      <c r="N43" s="63">
        <f t="shared" si="3"/>
        <v>387486.28416972642</v>
      </c>
      <c r="O43" s="63">
        <f t="shared" si="3"/>
        <v>404520.13382514205</v>
      </c>
      <c r="P43" s="63">
        <f t="shared" si="3"/>
        <v>422163.49703572236</v>
      </c>
      <c r="Q43" s="63">
        <f t="shared" si="3"/>
        <v>440436.20332319103</v>
      </c>
      <c r="R43" s="63">
        <f t="shared" si="3"/>
        <v>459358.69273938582</v>
      </c>
      <c r="S43" s="63">
        <f t="shared" si="3"/>
        <v>478952.03399931331</v>
      </c>
      <c r="T43" s="63">
        <f t="shared" si="3"/>
        <v>499237.94313927507</v>
      </c>
      <c r="U43" s="63">
        <f t="shared" si="3"/>
        <v>520238.80271498533</v>
      </c>
      <c r="V43" s="63">
        <f t="shared" si="3"/>
        <v>542209.24562067771</v>
      </c>
      <c r="W43" s="63">
        <f t="shared" si="3"/>
        <v>564953.06141995802</v>
      </c>
      <c r="X43" s="63">
        <f t="shared" si="3"/>
        <v>588495.18723068933</v>
      </c>
      <c r="Y43" s="63">
        <f t="shared" si="3"/>
        <v>612861.32366856968</v>
      </c>
      <c r="Z43" s="63">
        <f t="shared" si="3"/>
        <v>638077.95743632491</v>
      </c>
      <c r="AA43" s="63">
        <f t="shared" si="3"/>
        <v>664172.38456517516</v>
      </c>
      <c r="AB43" s="63">
        <f t="shared" si="3"/>
        <v>691172.73432706995</v>
      </c>
      <c r="AC43" s="63">
        <f t="shared" si="3"/>
        <v>719107.99383670639</v>
      </c>
      <c r="AD43" s="63">
        <f t="shared" si="3"/>
        <v>748008.03336287418</v>
      </c>
    </row>
    <row r="44" spans="1:30" x14ac:dyDescent="0.35">
      <c r="A44" s="5">
        <f t="shared" si="2"/>
        <v>21683.800000000003</v>
      </c>
      <c r="B44" s="11">
        <f>NPV('Cost Assumptions'!$B$3,'SDG&amp;E and Central BESS in VS'!D44:'SDG&amp;E and Central BESS in VS'!AD44)</f>
        <v>3054.0879453272519</v>
      </c>
      <c r="C44" s="88" t="s">
        <v>31</v>
      </c>
      <c r="D44" s="63">
        <f t="shared" ref="D44:AD44" si="4">D3-D19</f>
        <v>10</v>
      </c>
      <c r="E44" s="63">
        <f t="shared" si="4"/>
        <v>20.5</v>
      </c>
      <c r="F44" s="63">
        <f t="shared" si="4"/>
        <v>29.879999999999995</v>
      </c>
      <c r="G44" s="63">
        <f t="shared" si="4"/>
        <v>39.259999999999991</v>
      </c>
      <c r="H44" s="63">
        <f t="shared" si="4"/>
        <v>48.639999999999986</v>
      </c>
      <c r="I44" s="63">
        <f t="shared" si="4"/>
        <v>58.019999999999982</v>
      </c>
      <c r="J44" s="63">
        <f t="shared" si="4"/>
        <v>67.399999999999977</v>
      </c>
      <c r="K44" s="63">
        <f t="shared" si="4"/>
        <v>91.449999999999989</v>
      </c>
      <c r="L44" s="63">
        <f t="shared" si="4"/>
        <v>115.5</v>
      </c>
      <c r="M44" s="63">
        <f t="shared" si="4"/>
        <v>139.55000000000001</v>
      </c>
      <c r="N44" s="63">
        <f t="shared" si="4"/>
        <v>163.6</v>
      </c>
      <c r="O44" s="63">
        <f t="shared" si="4"/>
        <v>249.4666666666667</v>
      </c>
      <c r="P44" s="63">
        <f t="shared" si="4"/>
        <v>335.33333333333337</v>
      </c>
      <c r="Q44" s="63">
        <f t="shared" si="4"/>
        <v>421.20000000000005</v>
      </c>
      <c r="R44" s="63">
        <f t="shared" si="4"/>
        <v>507.06666666666672</v>
      </c>
      <c r="S44" s="63">
        <f t="shared" si="4"/>
        <v>592.93333333333339</v>
      </c>
      <c r="T44" s="63">
        <f t="shared" si="4"/>
        <v>678.80000000000018</v>
      </c>
      <c r="U44" s="63">
        <f t="shared" si="4"/>
        <v>893.22000000000014</v>
      </c>
      <c r="V44" s="63">
        <f t="shared" si="4"/>
        <v>1107.6400000000001</v>
      </c>
      <c r="W44" s="63">
        <f t="shared" si="4"/>
        <v>1322.0600000000002</v>
      </c>
      <c r="X44" s="63">
        <f t="shared" si="4"/>
        <v>1536.4800000000002</v>
      </c>
      <c r="Y44" s="63">
        <f t="shared" si="4"/>
        <v>1595.6</v>
      </c>
      <c r="Z44" s="63">
        <f t="shared" si="4"/>
        <v>1841.08</v>
      </c>
      <c r="AA44" s="63">
        <f t="shared" si="4"/>
        <v>2086.56</v>
      </c>
      <c r="AB44" s="63">
        <f t="shared" si="4"/>
        <v>2332.04</v>
      </c>
      <c r="AC44" s="63">
        <f t="shared" si="4"/>
        <v>2577.52</v>
      </c>
      <c r="AD44" s="63">
        <f t="shared" si="4"/>
        <v>2823</v>
      </c>
    </row>
    <row r="45" spans="1:30" x14ac:dyDescent="0.35">
      <c r="A45" s="5">
        <f t="shared" si="2"/>
        <v>780.05</v>
      </c>
      <c r="B45" s="11">
        <f>NPV('Cost Assumptions'!$B$3,'SDG&amp;E and Central BESS in VS'!D45:'SDG&amp;E and Central BESS in VS'!AD45)</f>
        <v>153.69224473977658</v>
      </c>
      <c r="C45" s="88" t="s">
        <v>32</v>
      </c>
      <c r="D45" s="63">
        <f t="shared" ref="D45:AD45" si="5">D4-D20</f>
        <v>2</v>
      </c>
      <c r="E45" s="63">
        <f t="shared" si="5"/>
        <v>3</v>
      </c>
      <c r="F45" s="63">
        <f t="shared" si="5"/>
        <v>4.6799999999999953</v>
      </c>
      <c r="G45" s="63">
        <f t="shared" si="5"/>
        <v>6.3599999999999905</v>
      </c>
      <c r="H45" s="63">
        <f t="shared" si="5"/>
        <v>8.0399999999999867</v>
      </c>
      <c r="I45" s="63">
        <f t="shared" si="5"/>
        <v>9.7199999999999829</v>
      </c>
      <c r="J45" s="63">
        <f t="shared" si="5"/>
        <v>11.399999999999977</v>
      </c>
      <c r="K45" s="63">
        <f t="shared" si="5"/>
        <v>13.199999999999989</v>
      </c>
      <c r="L45" s="63">
        <f t="shared" si="5"/>
        <v>15</v>
      </c>
      <c r="M45" s="63">
        <f t="shared" si="5"/>
        <v>16.800000000000011</v>
      </c>
      <c r="N45" s="63">
        <f t="shared" si="5"/>
        <v>18.600000000000023</v>
      </c>
      <c r="O45" s="63">
        <f t="shared" si="5"/>
        <v>21.350000000000023</v>
      </c>
      <c r="P45" s="63">
        <f t="shared" si="5"/>
        <v>24.100000000000023</v>
      </c>
      <c r="Q45" s="63">
        <f t="shared" si="5"/>
        <v>26.850000000000023</v>
      </c>
      <c r="R45" s="63">
        <f t="shared" si="5"/>
        <v>29.600000000000023</v>
      </c>
      <c r="S45" s="63">
        <f t="shared" si="5"/>
        <v>32.350000000000023</v>
      </c>
      <c r="T45" s="63">
        <f t="shared" si="5"/>
        <v>35.100000000000023</v>
      </c>
      <c r="U45" s="63">
        <f t="shared" si="5"/>
        <v>37.140000000000015</v>
      </c>
      <c r="V45" s="63">
        <f t="shared" si="5"/>
        <v>39.180000000000007</v>
      </c>
      <c r="W45" s="63">
        <f t="shared" si="5"/>
        <v>41.22</v>
      </c>
      <c r="X45" s="63">
        <f t="shared" si="5"/>
        <v>43.259999999999991</v>
      </c>
      <c r="Y45" s="63">
        <f t="shared" si="5"/>
        <v>45.3</v>
      </c>
      <c r="Z45" s="63">
        <f t="shared" si="5"/>
        <v>49.92</v>
      </c>
      <c r="AA45" s="63">
        <f t="shared" si="5"/>
        <v>54.540000000000006</v>
      </c>
      <c r="AB45" s="63">
        <f t="shared" si="5"/>
        <v>59.160000000000011</v>
      </c>
      <c r="AC45" s="63">
        <f t="shared" si="5"/>
        <v>63.780000000000015</v>
      </c>
      <c r="AD45" s="63">
        <f t="shared" si="5"/>
        <v>68.400000000000006</v>
      </c>
    </row>
    <row r="46" spans="1:30" x14ac:dyDescent="0.35">
      <c r="A46" s="5">
        <f t="shared" si="2"/>
        <v>1379.1902437124209</v>
      </c>
      <c r="B46" s="11">
        <f>NPV('Cost Assumptions'!$B$3,'SDG&amp;E and Central BESS in VS'!D46:'SDG&amp;E and Central BESS in VS'!AD46)</f>
        <v>159.37844490973765</v>
      </c>
      <c r="C46" s="88" t="s">
        <v>33</v>
      </c>
      <c r="D46" s="63">
        <f t="shared" ref="D46:AD46" si="6">D5-D21</f>
        <v>8.4812112193331513E-2</v>
      </c>
      <c r="E46" s="63">
        <f t="shared" si="6"/>
        <v>0.24283371212350299</v>
      </c>
      <c r="F46" s="63">
        <f t="shared" si="6"/>
        <v>0.34046276046663143</v>
      </c>
      <c r="G46" s="63">
        <f t="shared" si="6"/>
        <v>0.43809180880975984</v>
      </c>
      <c r="H46" s="63">
        <f t="shared" si="6"/>
        <v>0.53572085715288831</v>
      </c>
      <c r="I46" s="63">
        <f t="shared" si="6"/>
        <v>0.63334990549601677</v>
      </c>
      <c r="J46" s="63">
        <f t="shared" si="6"/>
        <v>0.73097895383914513</v>
      </c>
      <c r="K46" s="63">
        <f t="shared" si="6"/>
        <v>1.1654530565649843</v>
      </c>
      <c r="L46" s="63">
        <f t="shared" si="6"/>
        <v>1.5999271592908235</v>
      </c>
      <c r="M46" s="63">
        <f t="shared" si="6"/>
        <v>2.0344012620166625</v>
      </c>
      <c r="N46" s="63">
        <f t="shared" si="6"/>
        <v>2.4688753647425017</v>
      </c>
      <c r="O46" s="63">
        <f t="shared" si="6"/>
        <v>6.1188246067013257</v>
      </c>
      <c r="P46" s="63">
        <f t="shared" si="6"/>
        <v>9.7687738486601496</v>
      </c>
      <c r="Q46" s="63">
        <f t="shared" si="6"/>
        <v>13.418723090618974</v>
      </c>
      <c r="R46" s="63">
        <f t="shared" si="6"/>
        <v>17.068672332577798</v>
      </c>
      <c r="S46" s="63">
        <f t="shared" si="6"/>
        <v>20.718621574536623</v>
      </c>
      <c r="T46" s="63">
        <f t="shared" si="6"/>
        <v>24.368570816495449</v>
      </c>
      <c r="U46" s="63">
        <f t="shared" si="6"/>
        <v>38.177554292324203</v>
      </c>
      <c r="V46" s="63">
        <f t="shared" si="6"/>
        <v>51.986537768152957</v>
      </c>
      <c r="W46" s="63">
        <f t="shared" si="6"/>
        <v>65.79552124398171</v>
      </c>
      <c r="X46" s="63">
        <f t="shared" si="6"/>
        <v>79.604504719810464</v>
      </c>
      <c r="Y46" s="63">
        <f t="shared" si="6"/>
        <v>93.413488195639218</v>
      </c>
      <c r="Z46" s="63">
        <f t="shared" si="6"/>
        <v>125.5073617484412</v>
      </c>
      <c r="AA46" s="63">
        <f t="shared" si="6"/>
        <v>157.60123530124318</v>
      </c>
      <c r="AB46" s="63">
        <f t="shared" si="6"/>
        <v>189.69510885404515</v>
      </c>
      <c r="AC46" s="63">
        <f t="shared" si="6"/>
        <v>221.78898240684714</v>
      </c>
      <c r="AD46" s="63">
        <f t="shared" si="6"/>
        <v>253.88285595964913</v>
      </c>
    </row>
    <row r="47" spans="1:30" x14ac:dyDescent="0.35">
      <c r="A47" s="5">
        <f t="shared" si="2"/>
        <v>18.892040873009613</v>
      </c>
      <c r="B47" s="11">
        <f>NPV('Cost Assumptions'!$B$3,'SDG&amp;E and Central BESS in VS'!D47:'SDG&amp;E and Central BESS in VS'!AD47)</f>
        <v>2.6252697089132693</v>
      </c>
      <c r="C47" s="88" t="s">
        <v>34</v>
      </c>
      <c r="D47" s="63">
        <f t="shared" ref="D47:AD47" si="7">D6-D22</f>
        <v>6.0580080138093939E-3</v>
      </c>
      <c r="E47" s="63">
        <f t="shared" si="7"/>
        <v>1.7771756236396739E-2</v>
      </c>
      <c r="F47" s="63">
        <f t="shared" si="7"/>
        <v>2.504677784712513E-2</v>
      </c>
      <c r="G47" s="63">
        <f t="shared" si="7"/>
        <v>3.2321799457853517E-2</v>
      </c>
      <c r="H47" s="63">
        <f t="shared" si="7"/>
        <v>3.9596821068581908E-2</v>
      </c>
      <c r="I47" s="63">
        <f t="shared" si="7"/>
        <v>4.6871842679310299E-2</v>
      </c>
      <c r="J47" s="63">
        <f t="shared" si="7"/>
        <v>5.414686429003869E-2</v>
      </c>
      <c r="K47" s="63">
        <f t="shared" si="7"/>
        <v>7.3798800432577555E-2</v>
      </c>
      <c r="L47" s="63">
        <f t="shared" si="7"/>
        <v>9.3450736575116419E-2</v>
      </c>
      <c r="M47" s="63">
        <f t="shared" si="7"/>
        <v>0.11310267271765528</v>
      </c>
      <c r="N47" s="63">
        <f t="shared" si="7"/>
        <v>0.13275460886019416</v>
      </c>
      <c r="O47" s="63">
        <f t="shared" si="7"/>
        <v>0.20937705636327303</v>
      </c>
      <c r="P47" s="63">
        <f t="shared" si="7"/>
        <v>0.28599950386635192</v>
      </c>
      <c r="Q47" s="63">
        <f t="shared" si="7"/>
        <v>0.36262195136943082</v>
      </c>
      <c r="R47" s="63">
        <f t="shared" si="7"/>
        <v>0.43924439887250971</v>
      </c>
      <c r="S47" s="63">
        <f t="shared" si="7"/>
        <v>0.51586684637558855</v>
      </c>
      <c r="T47" s="63">
        <f t="shared" si="7"/>
        <v>0.59248929387866744</v>
      </c>
      <c r="U47" s="63">
        <f t="shared" si="7"/>
        <v>0.75647401896257604</v>
      </c>
      <c r="V47" s="63">
        <f t="shared" si="7"/>
        <v>0.92045874404648464</v>
      </c>
      <c r="W47" s="63">
        <f t="shared" si="7"/>
        <v>1.0844434691303932</v>
      </c>
      <c r="X47" s="63">
        <f t="shared" si="7"/>
        <v>1.2484281942143018</v>
      </c>
      <c r="Y47" s="63">
        <f t="shared" si="7"/>
        <v>1.4124129192982104</v>
      </c>
      <c r="Z47" s="63">
        <f t="shared" si="7"/>
        <v>1.6368955320956846</v>
      </c>
      <c r="AA47" s="63">
        <f t="shared" si="7"/>
        <v>1.8613781448931588</v>
      </c>
      <c r="AB47" s="63">
        <f t="shared" si="7"/>
        <v>2.0858607576906327</v>
      </c>
      <c r="AC47" s="63">
        <f t="shared" si="7"/>
        <v>2.3103433704881069</v>
      </c>
      <c r="AD47" s="63">
        <f t="shared" si="7"/>
        <v>2.5348259832855811</v>
      </c>
    </row>
    <row r="48" spans="1:30" x14ac:dyDescent="0.35">
      <c r="A48" s="5">
        <f t="shared" si="2"/>
        <v>1999</v>
      </c>
      <c r="B48" s="11">
        <f>NPV('Cost Assumptions'!$B$3,'SDG&amp;E and Central BESS in VS'!D48:'SDG&amp;E and Central BESS in VS'!AD48)</f>
        <v>431.19522979784904</v>
      </c>
      <c r="C48" s="88" t="s">
        <v>35</v>
      </c>
      <c r="D48" s="63">
        <f t="shared" ref="D48:AD48" si="8">D7-D23</f>
        <v>14</v>
      </c>
      <c r="E48" s="63">
        <f t="shared" si="8"/>
        <v>21</v>
      </c>
      <c r="F48" s="63">
        <f t="shared" si="8"/>
        <v>23.2</v>
      </c>
      <c r="G48" s="63">
        <f t="shared" si="8"/>
        <v>25.4</v>
      </c>
      <c r="H48" s="63">
        <f t="shared" si="8"/>
        <v>27.599999999999998</v>
      </c>
      <c r="I48" s="63">
        <f t="shared" si="8"/>
        <v>29.799999999999997</v>
      </c>
      <c r="J48" s="63">
        <f t="shared" si="8"/>
        <v>32</v>
      </c>
      <c r="K48" s="63">
        <f t="shared" si="8"/>
        <v>35.75</v>
      </c>
      <c r="L48" s="63">
        <f t="shared" si="8"/>
        <v>39.5</v>
      </c>
      <c r="M48" s="63">
        <f t="shared" si="8"/>
        <v>43.25</v>
      </c>
      <c r="N48" s="63">
        <f t="shared" si="8"/>
        <v>47</v>
      </c>
      <c r="O48" s="63">
        <f t="shared" si="8"/>
        <v>53.833333333333336</v>
      </c>
      <c r="P48" s="63">
        <f t="shared" si="8"/>
        <v>60.666666666666671</v>
      </c>
      <c r="Q48" s="63">
        <f t="shared" si="8"/>
        <v>67.5</v>
      </c>
      <c r="R48" s="63">
        <f t="shared" si="8"/>
        <v>74.333333333333329</v>
      </c>
      <c r="S48" s="63">
        <f t="shared" si="8"/>
        <v>81.166666666666657</v>
      </c>
      <c r="T48" s="63">
        <f t="shared" si="8"/>
        <v>88</v>
      </c>
      <c r="U48" s="63">
        <f t="shared" si="8"/>
        <v>94.4</v>
      </c>
      <c r="V48" s="63">
        <f t="shared" si="8"/>
        <v>100.80000000000001</v>
      </c>
      <c r="W48" s="63">
        <f t="shared" si="8"/>
        <v>107.20000000000002</v>
      </c>
      <c r="X48" s="63">
        <f t="shared" si="8"/>
        <v>113.60000000000002</v>
      </c>
      <c r="Y48" s="63">
        <f t="shared" si="8"/>
        <v>120</v>
      </c>
      <c r="Z48" s="63">
        <f t="shared" si="8"/>
        <v>126.6</v>
      </c>
      <c r="AA48" s="63">
        <f t="shared" si="8"/>
        <v>133.19999999999999</v>
      </c>
      <c r="AB48" s="63">
        <f t="shared" si="8"/>
        <v>139.79999999999998</v>
      </c>
      <c r="AC48" s="63">
        <f t="shared" si="8"/>
        <v>146.39999999999998</v>
      </c>
      <c r="AD48" s="63">
        <f t="shared" si="8"/>
        <v>153</v>
      </c>
    </row>
    <row r="49" spans="1:30" s="62" customFormat="1" x14ac:dyDescent="0.35">
      <c r="A49" s="5">
        <f t="shared" si="2"/>
        <v>519519.46765802335</v>
      </c>
      <c r="B49" s="11">
        <f>NPV('Cost Assumptions'!$B$3,'SDG&amp;E and Central BESS in VS'!D49:'SDG&amp;E and Central BESS in VS'!AD49)</f>
        <v>128484.68741706209</v>
      </c>
      <c r="C49" s="86" t="s">
        <v>153</v>
      </c>
      <c r="D49" s="63">
        <f>D13-D24</f>
        <v>3922.9783635497124</v>
      </c>
      <c r="E49" s="63">
        <f t="shared" ref="E49:AD49" si="9">E13-E24</f>
        <v>5310.8216440618062</v>
      </c>
      <c r="F49" s="63">
        <f t="shared" si="9"/>
        <v>6698.6649245739</v>
      </c>
      <c r="G49" s="63">
        <f t="shared" si="9"/>
        <v>8086.5082050859937</v>
      </c>
      <c r="H49" s="63">
        <f t="shared" si="9"/>
        <v>9474.3514855980866</v>
      </c>
      <c r="I49" s="63">
        <f t="shared" si="9"/>
        <v>10862.19476611018</v>
      </c>
      <c r="J49" s="63">
        <f t="shared" si="9"/>
        <v>12250.038046622274</v>
      </c>
      <c r="K49" s="63">
        <f t="shared" si="9"/>
        <v>13637.881327134368</v>
      </c>
      <c r="L49" s="63">
        <f t="shared" si="9"/>
        <v>15125.724607646422</v>
      </c>
      <c r="M49" s="63">
        <f t="shared" si="9"/>
        <v>16413.567888158555</v>
      </c>
      <c r="N49" s="63">
        <f t="shared" si="9"/>
        <v>17801.411168670649</v>
      </c>
      <c r="O49" s="63">
        <f t="shared" si="9"/>
        <v>19189.254449182743</v>
      </c>
      <c r="P49" s="63">
        <f t="shared" si="9"/>
        <v>20577.097729694837</v>
      </c>
      <c r="Q49" s="63">
        <f t="shared" si="9"/>
        <v>21964.941010206931</v>
      </c>
      <c r="R49" s="63">
        <f t="shared" si="9"/>
        <v>23352.784290719024</v>
      </c>
      <c r="S49" s="63">
        <f t="shared" si="9"/>
        <v>24740.627571231118</v>
      </c>
      <c r="T49" s="63">
        <f t="shared" si="9"/>
        <v>26128.470851743212</v>
      </c>
      <c r="U49" s="63">
        <f t="shared" si="9"/>
        <v>27516.314132255306</v>
      </c>
      <c r="V49" s="63">
        <f t="shared" si="9"/>
        <v>27267.847643488207</v>
      </c>
      <c r="W49" s="63">
        <f t="shared" si="9"/>
        <v>27019.381154721108</v>
      </c>
      <c r="X49" s="63">
        <f t="shared" si="9"/>
        <v>26770.914665954009</v>
      </c>
      <c r="Y49" s="63">
        <f t="shared" si="9"/>
        <v>26522.44817718691</v>
      </c>
      <c r="Z49" s="63">
        <f t="shared" si="9"/>
        <v>26273.981688419812</v>
      </c>
      <c r="AA49" s="63">
        <f t="shared" si="9"/>
        <v>26025.515199652713</v>
      </c>
      <c r="AB49" s="63">
        <f t="shared" si="9"/>
        <v>25777.048710885614</v>
      </c>
      <c r="AC49" s="63">
        <f t="shared" si="9"/>
        <v>25528.582222118515</v>
      </c>
      <c r="AD49" s="63">
        <f t="shared" si="9"/>
        <v>25280.115733351402</v>
      </c>
    </row>
    <row r="50" spans="1:30" s="62" customFormat="1" x14ac:dyDescent="0.35">
      <c r="A50" s="5">
        <f t="shared" si="2"/>
        <v>3785438.8765137852</v>
      </c>
      <c r="B50" s="11">
        <f>NPV('Cost Assumptions'!$B$3,'SDG&amp;E and Central BESS in VS'!D50:'SDG&amp;E and Central BESS in VS'!AD50)</f>
        <v>1279733.522949673</v>
      </c>
      <c r="C50" s="86" t="s">
        <v>154</v>
      </c>
      <c r="D50" s="63">
        <f>D14-D25</f>
        <v>135760.68278920944</v>
      </c>
      <c r="E50" s="63">
        <f t="shared" ref="E50:AD50" si="10">E14-E25</f>
        <v>136381.66173502614</v>
      </c>
      <c r="F50" s="63">
        <f t="shared" si="10"/>
        <v>136667.1684994126</v>
      </c>
      <c r="G50" s="63">
        <f t="shared" si="10"/>
        <v>136953.4131002138</v>
      </c>
      <c r="H50" s="63">
        <f t="shared" si="10"/>
        <v>137247.02550308438</v>
      </c>
      <c r="I50" s="63">
        <f t="shared" si="10"/>
        <v>137582.27930482649</v>
      </c>
      <c r="J50" s="63">
        <f t="shared" si="10"/>
        <v>137906.42166879147</v>
      </c>
      <c r="K50" s="63">
        <f t="shared" si="10"/>
        <v>138295.18399754554</v>
      </c>
      <c r="L50" s="63">
        <f t="shared" si="10"/>
        <v>138683.17257228406</v>
      </c>
      <c r="M50" s="63">
        <f t="shared" si="10"/>
        <v>139076.16697295231</v>
      </c>
      <c r="N50" s="63">
        <f t="shared" si="10"/>
        <v>139453.97263401424</v>
      </c>
      <c r="O50" s="63">
        <f t="shared" si="10"/>
        <v>139820.99276881013</v>
      </c>
      <c r="P50" s="63">
        <f t="shared" si="10"/>
        <v>140174.18718467269</v>
      </c>
      <c r="Q50" s="63">
        <f t="shared" si="10"/>
        <v>140505.91993140089</v>
      </c>
      <c r="R50" s="63">
        <f t="shared" si="10"/>
        <v>140825.20088748116</v>
      </c>
      <c r="S50" s="63">
        <f t="shared" si="10"/>
        <v>141137.14836204948</v>
      </c>
      <c r="T50" s="63">
        <f t="shared" si="10"/>
        <v>141442.20597360618</v>
      </c>
      <c r="U50" s="63">
        <f t="shared" si="10"/>
        <v>141712.82975938066</v>
      </c>
      <c r="V50" s="63">
        <f t="shared" si="10"/>
        <v>141974.22890242073</v>
      </c>
      <c r="W50" s="63">
        <f t="shared" si="10"/>
        <v>142230.30156878877</v>
      </c>
      <c r="X50" s="63">
        <f t="shared" si="10"/>
        <v>142485.64369676972</v>
      </c>
      <c r="Y50" s="63">
        <f t="shared" si="10"/>
        <v>142702.21194828924</v>
      </c>
      <c r="Z50" s="63">
        <f t="shared" si="10"/>
        <v>142913.52446956764</v>
      </c>
      <c r="AA50" s="63">
        <f t="shared" si="10"/>
        <v>143117.99491279374</v>
      </c>
      <c r="AB50" s="63">
        <f t="shared" si="10"/>
        <v>143316.95219848366</v>
      </c>
      <c r="AC50" s="63">
        <f t="shared" si="10"/>
        <v>143467.54174993513</v>
      </c>
      <c r="AD50" s="63">
        <f t="shared" si="10"/>
        <v>143604.84342197527</v>
      </c>
    </row>
    <row r="51" spans="1:30" s="82" customFormat="1" x14ac:dyDescent="0.35">
      <c r="A51" s="5">
        <f t="shared" si="2"/>
        <v>2043804.5790074423</v>
      </c>
      <c r="B51" s="11">
        <f>NPV('Cost Assumptions'!$B$3,'SDG&amp;E and Central BESS in VS'!D51:'SDG&amp;E and Central BESS in VS'!AD51)</f>
        <v>581863.94621484273</v>
      </c>
      <c r="C51" s="86" t="s">
        <v>155</v>
      </c>
      <c r="D51" s="63">
        <f>D15-D26</f>
        <v>45808.38413318948</v>
      </c>
      <c r="E51" s="63">
        <f t="shared" ref="E51:AD51" si="11">E15-E26</f>
        <v>48737.99932665941</v>
      </c>
      <c r="F51" s="63">
        <f t="shared" si="11"/>
        <v>50182.216136375348</v>
      </c>
      <c r="G51" s="63">
        <f t="shared" si="11"/>
        <v>51691.239383585023</v>
      </c>
      <c r="H51" s="63">
        <f t="shared" si="11"/>
        <v>53310.935112805586</v>
      </c>
      <c r="I51" s="63">
        <f t="shared" si="11"/>
        <v>55169.024632251982</v>
      </c>
      <c r="J51" s="63">
        <f t="shared" si="11"/>
        <v>57028.765998763025</v>
      </c>
      <c r="K51" s="63">
        <f t="shared" si="11"/>
        <v>59372.827965564262</v>
      </c>
      <c r="L51" s="63">
        <f t="shared" si="11"/>
        <v>61766.07065501569</v>
      </c>
      <c r="M51" s="63">
        <f t="shared" si="11"/>
        <v>64257.218425866056</v>
      </c>
      <c r="N51" s="63">
        <f t="shared" si="11"/>
        <v>66816.79283605011</v>
      </c>
      <c r="O51" s="63">
        <f t="shared" si="11"/>
        <v>69465.533434886573</v>
      </c>
      <c r="P51" s="63">
        <f t="shared" si="11"/>
        <v>72205.667426204833</v>
      </c>
      <c r="Q51" s="63">
        <f t="shared" si="11"/>
        <v>74918.346977354231</v>
      </c>
      <c r="R51" s="63">
        <f t="shared" si="11"/>
        <v>77710.938815871457</v>
      </c>
      <c r="S51" s="63">
        <f t="shared" si="11"/>
        <v>80553.380902366684</v>
      </c>
      <c r="T51" s="63">
        <f t="shared" si="11"/>
        <v>83441.693886254972</v>
      </c>
      <c r="U51" s="63">
        <f t="shared" si="11"/>
        <v>86118.96323270016</v>
      </c>
      <c r="V51" s="63">
        <f t="shared" si="11"/>
        <v>88805.187596701464</v>
      </c>
      <c r="W51" s="63">
        <f t="shared" si="11"/>
        <v>91494.651010109737</v>
      </c>
      <c r="X51" s="63">
        <f t="shared" si="11"/>
        <v>94181.481131690336</v>
      </c>
      <c r="Y51" s="63">
        <f t="shared" si="11"/>
        <v>96504.477256153797</v>
      </c>
      <c r="Z51" s="63">
        <f t="shared" si="11"/>
        <v>98784.729326128683</v>
      </c>
      <c r="AA51" s="63">
        <f t="shared" si="11"/>
        <v>100998.00590255973</v>
      </c>
      <c r="AB51" s="63">
        <f t="shared" si="11"/>
        <v>103179.75202245024</v>
      </c>
      <c r="AC51" s="63">
        <f t="shared" si="11"/>
        <v>104880.29608377443</v>
      </c>
      <c r="AD51" s="63">
        <f t="shared" si="11"/>
        <v>106419.99939610861</v>
      </c>
    </row>
    <row r="52" spans="1:30" x14ac:dyDescent="0.35">
      <c r="A52" s="5">
        <f t="shared" si="2"/>
        <v>56580.700000000004</v>
      </c>
      <c r="B52" s="11">
        <f>NPV('Cost Assumptions'!$B$3,'SDG&amp;E and Central BESS in VS'!D52:'SDG&amp;E and Central BESS in VS'!AD52)</f>
        <v>8657.5452529435206</v>
      </c>
      <c r="C52" s="88" t="s">
        <v>31</v>
      </c>
      <c r="D52" s="63">
        <f t="shared" ref="D52:AD52" si="12">D8-D27</f>
        <v>22.2</v>
      </c>
      <c r="E52" s="63">
        <f t="shared" si="12"/>
        <v>65.8</v>
      </c>
      <c r="F52" s="63">
        <f t="shared" si="12"/>
        <v>102.72</v>
      </c>
      <c r="G52" s="63">
        <f t="shared" si="12"/>
        <v>139.63999999999999</v>
      </c>
      <c r="H52" s="63">
        <f t="shared" si="12"/>
        <v>176.56</v>
      </c>
      <c r="I52" s="63">
        <f t="shared" si="12"/>
        <v>213.48000000000002</v>
      </c>
      <c r="J52" s="63">
        <f t="shared" si="12"/>
        <v>250.4</v>
      </c>
      <c r="K52" s="63">
        <f t="shared" si="12"/>
        <v>348.67500000000001</v>
      </c>
      <c r="L52" s="63">
        <f t="shared" si="12"/>
        <v>446.95000000000005</v>
      </c>
      <c r="M52" s="63">
        <f t="shared" si="12"/>
        <v>545.22500000000002</v>
      </c>
      <c r="N52" s="63">
        <f t="shared" si="12"/>
        <v>643.5</v>
      </c>
      <c r="O52" s="63">
        <f t="shared" si="12"/>
        <v>904.91666666666674</v>
      </c>
      <c r="P52" s="63">
        <f t="shared" si="12"/>
        <v>1166.3333333333335</v>
      </c>
      <c r="Q52" s="63">
        <f t="shared" si="12"/>
        <v>1427.7500000000002</v>
      </c>
      <c r="R52" s="63">
        <f t="shared" si="12"/>
        <v>1689.166666666667</v>
      </c>
      <c r="S52" s="63">
        <f t="shared" si="12"/>
        <v>1950.5833333333337</v>
      </c>
      <c r="T52" s="63">
        <f t="shared" si="12"/>
        <v>2212</v>
      </c>
      <c r="U52" s="63">
        <f t="shared" si="12"/>
        <v>2606.48</v>
      </c>
      <c r="V52" s="63">
        <f t="shared" si="12"/>
        <v>3000.96</v>
      </c>
      <c r="W52" s="63">
        <f t="shared" si="12"/>
        <v>3395.44</v>
      </c>
      <c r="X52" s="63">
        <f t="shared" si="12"/>
        <v>3789.92</v>
      </c>
      <c r="Y52" s="63">
        <f t="shared" si="12"/>
        <v>4184.4000000000005</v>
      </c>
      <c r="Z52" s="63">
        <f t="shared" si="12"/>
        <v>4609.4400000000005</v>
      </c>
      <c r="AA52" s="63">
        <f t="shared" si="12"/>
        <v>5034.4800000000005</v>
      </c>
      <c r="AB52" s="63">
        <f t="shared" si="12"/>
        <v>5459.52</v>
      </c>
      <c r="AC52" s="63">
        <f t="shared" si="12"/>
        <v>5884.56</v>
      </c>
      <c r="AD52" s="63">
        <f t="shared" si="12"/>
        <v>6309.5999999999985</v>
      </c>
    </row>
    <row r="53" spans="1:30" x14ac:dyDescent="0.35">
      <c r="A53" s="5">
        <f t="shared" si="2"/>
        <v>4056.4</v>
      </c>
      <c r="B53" s="11">
        <f>NPV('Cost Assumptions'!$B$3,'SDG&amp;E and Central BESS in VS'!D53:'SDG&amp;E and Central BESS in VS'!AD53)</f>
        <v>853.05258349278347</v>
      </c>
      <c r="C53" s="88" t="s">
        <v>32</v>
      </c>
      <c r="D53" s="63">
        <f t="shared" ref="D53:AD53" si="13">D9-D28</f>
        <v>13</v>
      </c>
      <c r="E53" s="63">
        <f t="shared" si="13"/>
        <v>27</v>
      </c>
      <c r="F53" s="63">
        <f t="shared" si="13"/>
        <v>34.519999999999982</v>
      </c>
      <c r="G53" s="63">
        <f t="shared" si="13"/>
        <v>42.039999999999964</v>
      </c>
      <c r="H53" s="63">
        <f t="shared" si="13"/>
        <v>49.559999999999945</v>
      </c>
      <c r="I53" s="63">
        <f t="shared" si="13"/>
        <v>57.079999999999927</v>
      </c>
      <c r="J53" s="63">
        <f t="shared" si="13"/>
        <v>64.599999999999909</v>
      </c>
      <c r="K53" s="63">
        <f t="shared" si="13"/>
        <v>75.024999999999935</v>
      </c>
      <c r="L53" s="63">
        <f t="shared" si="13"/>
        <v>85.44999999999996</v>
      </c>
      <c r="M53" s="63">
        <f t="shared" si="13"/>
        <v>95.874999999999986</v>
      </c>
      <c r="N53" s="63">
        <f t="shared" si="13"/>
        <v>106.3</v>
      </c>
      <c r="O53" s="63">
        <f t="shared" si="13"/>
        <v>120.25</v>
      </c>
      <c r="P53" s="63">
        <f t="shared" si="13"/>
        <v>134.19999999999999</v>
      </c>
      <c r="Q53" s="63">
        <f t="shared" si="13"/>
        <v>148.14999999999998</v>
      </c>
      <c r="R53" s="63">
        <f t="shared" si="13"/>
        <v>162.09999999999997</v>
      </c>
      <c r="S53" s="63">
        <f t="shared" si="13"/>
        <v>176.04999999999995</v>
      </c>
      <c r="T53" s="63">
        <f t="shared" si="13"/>
        <v>190</v>
      </c>
      <c r="U53" s="63">
        <f t="shared" si="13"/>
        <v>201.2</v>
      </c>
      <c r="V53" s="63">
        <f t="shared" si="13"/>
        <v>212.39999999999998</v>
      </c>
      <c r="W53" s="63">
        <f t="shared" si="13"/>
        <v>223.59999999999997</v>
      </c>
      <c r="X53" s="63">
        <f t="shared" si="13"/>
        <v>234.79999999999995</v>
      </c>
      <c r="Y53" s="63">
        <f t="shared" si="13"/>
        <v>246</v>
      </c>
      <c r="Z53" s="63">
        <f t="shared" si="13"/>
        <v>254.48000000000002</v>
      </c>
      <c r="AA53" s="63">
        <f t="shared" si="13"/>
        <v>262.96000000000004</v>
      </c>
      <c r="AB53" s="63">
        <f t="shared" si="13"/>
        <v>271.44000000000005</v>
      </c>
      <c r="AC53" s="63">
        <f t="shared" si="13"/>
        <v>279.92000000000007</v>
      </c>
      <c r="AD53" s="63">
        <f t="shared" si="13"/>
        <v>288.40000000000009</v>
      </c>
    </row>
    <row r="54" spans="1:30" x14ac:dyDescent="0.35">
      <c r="A54" s="5">
        <f t="shared" si="2"/>
        <v>3267.6158609236081</v>
      </c>
      <c r="B54" s="11">
        <f>NPV('Cost Assumptions'!$B$3,'SDG&amp;E and Central BESS in VS'!D54:'SDG&amp;E and Central BESS in VS'!AD54)</f>
        <v>404.2317418308055</v>
      </c>
      <c r="C54" s="88" t="s">
        <v>33</v>
      </c>
      <c r="D54" s="63">
        <f t="shared" ref="D54:AD54" si="14">D10-D29</f>
        <v>4.7253529883901121E-2</v>
      </c>
      <c r="E54" s="63">
        <f t="shared" si="14"/>
        <v>0.28011551949195379</v>
      </c>
      <c r="F54" s="63">
        <f t="shared" si="14"/>
        <v>0.59718244793816533</v>
      </c>
      <c r="G54" s="63">
        <f t="shared" si="14"/>
        <v>0.91424937638437687</v>
      </c>
      <c r="H54" s="63">
        <f t="shared" si="14"/>
        <v>1.2313163048305884</v>
      </c>
      <c r="I54" s="63">
        <f t="shared" si="14"/>
        <v>1.5483832332767999</v>
      </c>
      <c r="J54" s="63">
        <f t="shared" si="14"/>
        <v>1.8654501617230115</v>
      </c>
      <c r="K54" s="63">
        <f t="shared" si="14"/>
        <v>3.796086780774603</v>
      </c>
      <c r="L54" s="63">
        <f t="shared" si="14"/>
        <v>5.726723399826195</v>
      </c>
      <c r="M54" s="63">
        <f t="shared" si="14"/>
        <v>7.6573600188777871</v>
      </c>
      <c r="N54" s="63">
        <f t="shared" si="14"/>
        <v>9.5879966379293773</v>
      </c>
      <c r="O54" s="63">
        <f t="shared" si="14"/>
        <v>22.507331657050738</v>
      </c>
      <c r="P54" s="63">
        <f t="shared" si="14"/>
        <v>35.426666676172097</v>
      </c>
      <c r="Q54" s="63">
        <f t="shared" si="14"/>
        <v>48.346001695293459</v>
      </c>
      <c r="R54" s="63">
        <f t="shared" si="14"/>
        <v>61.265336714414822</v>
      </c>
      <c r="S54" s="63">
        <f t="shared" si="14"/>
        <v>74.184671733536177</v>
      </c>
      <c r="T54" s="63">
        <f t="shared" si="14"/>
        <v>87.10400675265754</v>
      </c>
      <c r="U54" s="63">
        <f t="shared" si="14"/>
        <v>116.88846005819971</v>
      </c>
      <c r="V54" s="63">
        <f t="shared" si="14"/>
        <v>146.67291336374188</v>
      </c>
      <c r="W54" s="63">
        <f t="shared" si="14"/>
        <v>176.45736666928406</v>
      </c>
      <c r="X54" s="63">
        <f t="shared" si="14"/>
        <v>206.24181997482623</v>
      </c>
      <c r="Y54" s="63">
        <f t="shared" si="14"/>
        <v>236.02627328036843</v>
      </c>
      <c r="Z54" s="63">
        <f t="shared" si="14"/>
        <v>292.23370851605404</v>
      </c>
      <c r="AA54" s="63">
        <f t="shared" si="14"/>
        <v>348.44114375173962</v>
      </c>
      <c r="AB54" s="63">
        <f t="shared" si="14"/>
        <v>404.6485789874252</v>
      </c>
      <c r="AC54" s="63">
        <f t="shared" si="14"/>
        <v>460.85601422311078</v>
      </c>
      <c r="AD54" s="63">
        <f t="shared" si="14"/>
        <v>517.06344945879641</v>
      </c>
    </row>
    <row r="55" spans="1:30" x14ac:dyDescent="0.35">
      <c r="A55" s="5">
        <f t="shared" si="2"/>
        <v>60.217067529325192</v>
      </c>
      <c r="B55" s="11">
        <f>NPV('Cost Assumptions'!$B$3,'SDG&amp;E and Central BESS in VS'!D55:'SDG&amp;E and Central BESS in VS'!AD55)</f>
        <v>9.2139543543061269</v>
      </c>
      <c r="C55" s="88" t="s">
        <v>34</v>
      </c>
      <c r="D55" s="63">
        <f t="shared" ref="D55:AD55" si="15">D11-D30</f>
        <v>2.3626764941950561E-2</v>
      </c>
      <c r="E55" s="63">
        <f t="shared" si="15"/>
        <v>7.0028879872988448E-2</v>
      </c>
      <c r="F55" s="63">
        <f t="shared" si="15"/>
        <v>0.10932167994761965</v>
      </c>
      <c r="G55" s="63">
        <f t="shared" si="15"/>
        <v>0.14861448002225086</v>
      </c>
      <c r="H55" s="63">
        <f t="shared" si="15"/>
        <v>0.18790728009688207</v>
      </c>
      <c r="I55" s="63">
        <f t="shared" si="15"/>
        <v>0.22720008017151327</v>
      </c>
      <c r="J55" s="63">
        <f t="shared" si="15"/>
        <v>0.26649288024614448</v>
      </c>
      <c r="K55" s="63">
        <f t="shared" si="15"/>
        <v>0.37108388586191865</v>
      </c>
      <c r="L55" s="63">
        <f t="shared" si="15"/>
        <v>0.47567489147769282</v>
      </c>
      <c r="M55" s="63">
        <f t="shared" si="15"/>
        <v>0.58026589709346699</v>
      </c>
      <c r="N55" s="63">
        <f t="shared" si="15"/>
        <v>0.68485690270924116</v>
      </c>
      <c r="O55" s="63">
        <f t="shared" si="15"/>
        <v>0.96307447636877097</v>
      </c>
      <c r="P55" s="63">
        <f t="shared" si="15"/>
        <v>1.2412920500283007</v>
      </c>
      <c r="Q55" s="63">
        <f t="shared" si="15"/>
        <v>1.5195096236878305</v>
      </c>
      <c r="R55" s="63">
        <f t="shared" si="15"/>
        <v>1.7977271973473603</v>
      </c>
      <c r="S55" s="63">
        <f t="shared" si="15"/>
        <v>2.0759447710068901</v>
      </c>
      <c r="T55" s="63">
        <f t="shared" si="15"/>
        <v>2.3541623446664199</v>
      </c>
      <c r="U55" s="63">
        <f t="shared" si="15"/>
        <v>2.7739950579232056</v>
      </c>
      <c r="V55" s="63">
        <f t="shared" si="15"/>
        <v>3.1938277711799912</v>
      </c>
      <c r="W55" s="63">
        <f t="shared" si="15"/>
        <v>3.6136604844367768</v>
      </c>
      <c r="X55" s="63">
        <f t="shared" si="15"/>
        <v>4.0334931976935628</v>
      </c>
      <c r="Y55" s="63">
        <f t="shared" si="15"/>
        <v>4.4533259109503485</v>
      </c>
      <c r="Z55" s="63">
        <f t="shared" si="15"/>
        <v>4.9056826754065028</v>
      </c>
      <c r="AA55" s="63">
        <f t="shared" si="15"/>
        <v>5.3580394398626572</v>
      </c>
      <c r="AB55" s="63">
        <f t="shared" si="15"/>
        <v>5.8103962043188115</v>
      </c>
      <c r="AC55" s="63">
        <f t="shared" si="15"/>
        <v>6.2627529687749659</v>
      </c>
      <c r="AD55" s="63">
        <f t="shared" si="15"/>
        <v>6.715109733231122</v>
      </c>
    </row>
    <row r="56" spans="1:30" x14ac:dyDescent="0.35">
      <c r="A56" s="5">
        <f t="shared" si="2"/>
        <v>815</v>
      </c>
      <c r="B56" s="11">
        <f>NPV('Cost Assumptions'!$B$3,'SDG&amp;E and Central BESS in VS'!D56:'SDG&amp;E and Central BESS in VS'!AD56)</f>
        <v>146.79257165540955</v>
      </c>
      <c r="C56" s="88" t="s">
        <v>35</v>
      </c>
      <c r="D56" s="63">
        <f t="shared" ref="D56:AD56" si="16">D12-D31</f>
        <v>2</v>
      </c>
      <c r="E56" s="63">
        <f t="shared" si="16"/>
        <v>4</v>
      </c>
      <c r="F56" s="63">
        <f t="shared" si="16"/>
        <v>4.5999999999999996</v>
      </c>
      <c r="G56" s="63">
        <f t="shared" si="16"/>
        <v>5.1999999999999993</v>
      </c>
      <c r="H56" s="63">
        <f t="shared" si="16"/>
        <v>5.7999999999999989</v>
      </c>
      <c r="I56" s="63">
        <f t="shared" si="16"/>
        <v>6.3999999999999986</v>
      </c>
      <c r="J56" s="63">
        <f t="shared" si="16"/>
        <v>7</v>
      </c>
      <c r="K56" s="63">
        <f t="shared" si="16"/>
        <v>8.75</v>
      </c>
      <c r="L56" s="63">
        <f t="shared" si="16"/>
        <v>10.5</v>
      </c>
      <c r="M56" s="63">
        <f t="shared" si="16"/>
        <v>12.25</v>
      </c>
      <c r="N56" s="63">
        <f t="shared" si="16"/>
        <v>14</v>
      </c>
      <c r="O56" s="63">
        <f t="shared" si="16"/>
        <v>17.833333333333332</v>
      </c>
      <c r="P56" s="63">
        <f t="shared" si="16"/>
        <v>21.666666666666664</v>
      </c>
      <c r="Q56" s="63">
        <f t="shared" si="16"/>
        <v>25.499999999999996</v>
      </c>
      <c r="R56" s="63">
        <f t="shared" si="16"/>
        <v>29.333333333333329</v>
      </c>
      <c r="S56" s="63">
        <f t="shared" si="16"/>
        <v>33.166666666666664</v>
      </c>
      <c r="T56" s="63">
        <f t="shared" si="16"/>
        <v>37</v>
      </c>
      <c r="U56" s="63">
        <f t="shared" si="16"/>
        <v>40.200000000000003</v>
      </c>
      <c r="V56" s="63">
        <f t="shared" si="16"/>
        <v>43.400000000000006</v>
      </c>
      <c r="W56" s="63">
        <f t="shared" si="16"/>
        <v>46.600000000000009</v>
      </c>
      <c r="X56" s="63">
        <f t="shared" si="16"/>
        <v>49.800000000000011</v>
      </c>
      <c r="Y56" s="63">
        <f t="shared" si="16"/>
        <v>53</v>
      </c>
      <c r="Z56" s="63">
        <f t="shared" si="16"/>
        <v>57.8</v>
      </c>
      <c r="AA56" s="63">
        <f t="shared" si="16"/>
        <v>62.599999999999994</v>
      </c>
      <c r="AB56" s="63">
        <f t="shared" si="16"/>
        <v>67.399999999999991</v>
      </c>
      <c r="AC56" s="63">
        <f t="shared" si="16"/>
        <v>72.199999999999989</v>
      </c>
      <c r="AD56" s="63">
        <f t="shared" si="16"/>
        <v>77</v>
      </c>
    </row>
    <row r="58" spans="1:30" ht="15" thickBot="1" x14ac:dyDescent="0.4">
      <c r="A58" s="166" t="s">
        <v>156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</row>
    <row r="59" spans="1:30" ht="15.5" thickTop="1" thickBot="1" x14ac:dyDescent="0.4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" thickTop="1" x14ac:dyDescent="0.35">
      <c r="A60" s="88" t="str">
        <f>'Baseline System Analysis'!A17</f>
        <v>Residential</v>
      </c>
      <c r="B60" s="88" t="str">
        <f>'Baseline System Analysis'!B17</f>
        <v>Cost of Reliability (N-1)</v>
      </c>
      <c r="C60" s="88" t="str">
        <f>'Baseline System Analysis'!C17</f>
        <v>$/kWh</v>
      </c>
      <c r="D60" s="5">
        <f>'Baseline System Analysis'!D17</f>
        <v>4.4933261328125003</v>
      </c>
      <c r="E60" s="5">
        <f>'Baseline System Analysis'!E17</f>
        <v>4.6056592861328127</v>
      </c>
      <c r="F60" s="5">
        <f>'Baseline System Analysis'!F17</f>
        <v>4.720800768286133</v>
      </c>
      <c r="G60" s="5">
        <f>'Baseline System Analysis'!G17</f>
        <v>4.8388207874932858</v>
      </c>
      <c r="H60" s="5">
        <f>'Baseline System Analysis'!H17</f>
        <v>4.9597913071806179</v>
      </c>
      <c r="I60" s="5">
        <f>'Baseline System Analysis'!I17</f>
        <v>5.0837860898601326</v>
      </c>
      <c r="J60" s="5">
        <f>'Baseline System Analysis'!J17</f>
        <v>5.2108807421066352</v>
      </c>
      <c r="K60" s="5">
        <f>'Baseline System Analysis'!K17</f>
        <v>5.341152760659301</v>
      </c>
      <c r="L60" s="5">
        <f>'Baseline System Analysis'!L17</f>
        <v>5.4746815796757833</v>
      </c>
      <c r="M60" s="5">
        <f>'Baseline System Analysis'!M17</f>
        <v>5.6115486191676771</v>
      </c>
      <c r="N60" s="5">
        <f>'Baseline System Analysis'!N17</f>
        <v>5.7518373346468685</v>
      </c>
      <c r="O60" s="5">
        <f>'Baseline System Analysis'!O17</f>
        <v>5.8956332680130394</v>
      </c>
      <c r="P60" s="5">
        <f>'Baseline System Analysis'!P17</f>
        <v>6.0430240997133646</v>
      </c>
      <c r="Q60" s="5">
        <f>'Baseline System Analysis'!Q17</f>
        <v>6.1940997022061985</v>
      </c>
      <c r="R60" s="5">
        <f>'Baseline System Analysis'!R17</f>
        <v>6.3489521947613525</v>
      </c>
      <c r="S60" s="5">
        <f>'Baseline System Analysis'!S17</f>
        <v>6.5076759996303855</v>
      </c>
      <c r="T60" s="5">
        <f>'Baseline System Analysis'!T17</f>
        <v>6.6703678996211444</v>
      </c>
      <c r="U60" s="5">
        <f>'Baseline System Analysis'!U17</f>
        <v>6.8371270971116722</v>
      </c>
      <c r="V60" s="5">
        <f>'Baseline System Analysis'!V17</f>
        <v>7.0080552745394638</v>
      </c>
      <c r="W60" s="5">
        <f>'Baseline System Analysis'!W17</f>
        <v>7.1832566564029499</v>
      </c>
      <c r="X60" s="5">
        <f>'Baseline System Analysis'!X17</f>
        <v>7.3628380728130232</v>
      </c>
      <c r="Y60" s="5">
        <f>'Baseline System Analysis'!Y17</f>
        <v>7.5469090246333481</v>
      </c>
      <c r="Z60" s="5">
        <f>'Baseline System Analysis'!Z17</f>
        <v>7.7355817502491808</v>
      </c>
      <c r="AA60" s="5">
        <f>'Baseline System Analysis'!AA17</f>
        <v>7.92897129400541</v>
      </c>
      <c r="AB60" s="5">
        <f>'Baseline System Analysis'!AB17</f>
        <v>8.127195576355545</v>
      </c>
      <c r="AC60" s="5">
        <f>'Baseline System Analysis'!AC17</f>
        <v>8.3303754657644333</v>
      </c>
      <c r="AD60" s="5">
        <f>'Baseline System Analysis'!AD17</f>
        <v>8.5386348524085438</v>
      </c>
    </row>
    <row r="61" spans="1:30" x14ac:dyDescent="0.35">
      <c r="A61" s="88" t="str">
        <f>'Baseline System Analysis'!A18</f>
        <v>Residential</v>
      </c>
      <c r="B61" s="88" t="str">
        <f>'Baseline System Analysis'!B18</f>
        <v>Cost of Reliability (N-0)</v>
      </c>
      <c r="C61" s="88" t="str">
        <f>'Baseline System Analysis'!C18</f>
        <v>$/kWh</v>
      </c>
      <c r="D61" s="5">
        <f>'Baseline System Analysis'!D18</f>
        <v>3.7920011132812492</v>
      </c>
      <c r="E61" s="5">
        <f>'Baseline System Analysis'!E18</f>
        <v>3.8868011411132799</v>
      </c>
      <c r="F61" s="5">
        <f>'Baseline System Analysis'!F18</f>
        <v>3.9839711696411118</v>
      </c>
      <c r="G61" s="5">
        <f>'Baseline System Analysis'!G18</f>
        <v>4.0835704488821394</v>
      </c>
      <c r="H61" s="5">
        <f>'Baseline System Analysis'!H18</f>
        <v>4.1856597101041926</v>
      </c>
      <c r="I61" s="5">
        <f>'Baseline System Analysis'!I18</f>
        <v>4.2903012028567966</v>
      </c>
      <c r="J61" s="5">
        <f>'Baseline System Analysis'!J18</f>
        <v>4.397558732928216</v>
      </c>
      <c r="K61" s="5">
        <f>'Baseline System Analysis'!K18</f>
        <v>4.5074977012514212</v>
      </c>
      <c r="L61" s="5">
        <f>'Baseline System Analysis'!L18</f>
        <v>4.6201851437827059</v>
      </c>
      <c r="M61" s="5">
        <f>'Baseline System Analysis'!M18</f>
        <v>4.7356897723772731</v>
      </c>
      <c r="N61" s="5">
        <f>'Baseline System Analysis'!N18</f>
        <v>4.8540820166867045</v>
      </c>
      <c r="O61" s="5">
        <f>'Baseline System Analysis'!O18</f>
        <v>4.9754340671038717</v>
      </c>
      <c r="P61" s="5">
        <f>'Baseline System Analysis'!P18</f>
        <v>5.0998199187814679</v>
      </c>
      <c r="Q61" s="5">
        <f>'Baseline System Analysis'!Q18</f>
        <v>5.2273154167510043</v>
      </c>
      <c r="R61" s="5">
        <f>'Baseline System Analysis'!R18</f>
        <v>5.3579983021697792</v>
      </c>
      <c r="S61" s="5">
        <f>'Baseline System Analysis'!S18</f>
        <v>5.4919482597240235</v>
      </c>
      <c r="T61" s="5">
        <f>'Baseline System Analysis'!T18</f>
        <v>5.6292469662171234</v>
      </c>
      <c r="U61" s="5">
        <f>'Baseline System Analysis'!U18</f>
        <v>5.769978140372551</v>
      </c>
      <c r="V61" s="5">
        <f>'Baseline System Analysis'!V18</f>
        <v>5.914227593881864</v>
      </c>
      <c r="W61" s="5">
        <f>'Baseline System Analysis'!W18</f>
        <v>6.06208328372891</v>
      </c>
      <c r="X61" s="5">
        <f>'Baseline System Analysis'!X18</f>
        <v>6.2136353658221326</v>
      </c>
      <c r="Y61" s="5">
        <f>'Baseline System Analysis'!Y18</f>
        <v>6.3689762499676856</v>
      </c>
      <c r="Z61" s="5">
        <f>'Baseline System Analysis'!Z18</f>
        <v>6.5282006562168773</v>
      </c>
      <c r="AA61" s="5">
        <f>'Baseline System Analysis'!AA18</f>
        <v>6.6914056726222988</v>
      </c>
      <c r="AB61" s="5">
        <f>'Baseline System Analysis'!AB18</f>
        <v>6.858690814437856</v>
      </c>
      <c r="AC61" s="5">
        <f>'Baseline System Analysis'!AC18</f>
        <v>7.0301580847988019</v>
      </c>
      <c r="AD61" s="5">
        <f>'Baseline System Analysis'!AD18</f>
        <v>7.2059120369187717</v>
      </c>
    </row>
    <row r="62" spans="1:30" x14ac:dyDescent="0.35">
      <c r="A62" s="88" t="str">
        <f>'Baseline System Analysis'!A19</f>
        <v>Commerical</v>
      </c>
      <c r="B62" s="88" t="str">
        <f>'Baseline System Analysis'!B19</f>
        <v>Cost of Reliability (N-1)</v>
      </c>
      <c r="C62" s="88" t="str">
        <f>'Baseline System Analysis'!C19</f>
        <v>$/kWh</v>
      </c>
      <c r="D62" s="5">
        <f>'Baseline System Analysis'!D19</f>
        <v>166.59767191406246</v>
      </c>
      <c r="E62" s="5">
        <f>'Baseline System Analysis'!E19</f>
        <v>170.76261371191401</v>
      </c>
      <c r="F62" s="5">
        <f>'Baseline System Analysis'!F19</f>
        <v>175.03167905471184</v>
      </c>
      <c r="G62" s="5">
        <f>'Baseline System Analysis'!G19</f>
        <v>179.40747103107964</v>
      </c>
      <c r="H62" s="5">
        <f>'Baseline System Analysis'!H19</f>
        <v>183.89265780685662</v>
      </c>
      <c r="I62" s="5">
        <f>'Baseline System Analysis'!I19</f>
        <v>188.48997425202802</v>
      </c>
      <c r="J62" s="5">
        <f>'Baseline System Analysis'!J19</f>
        <v>193.20222360832869</v>
      </c>
      <c r="K62" s="5">
        <f>'Baseline System Analysis'!K19</f>
        <v>198.03227919853688</v>
      </c>
      <c r="L62" s="5">
        <f>'Baseline System Analysis'!L19</f>
        <v>202.98308617850029</v>
      </c>
      <c r="M62" s="5">
        <f>'Baseline System Analysis'!M19</f>
        <v>208.05766333296279</v>
      </c>
      <c r="N62" s="5">
        <f>'Baseline System Analysis'!N19</f>
        <v>213.25910491628684</v>
      </c>
      <c r="O62" s="5">
        <f>'Baseline System Analysis'!O19</f>
        <v>218.590582539194</v>
      </c>
      <c r="P62" s="5">
        <f>'Baseline System Analysis'!P19</f>
        <v>224.05534710267384</v>
      </c>
      <c r="Q62" s="5">
        <f>'Baseline System Analysis'!Q19</f>
        <v>229.65673078024065</v>
      </c>
      <c r="R62" s="5">
        <f>'Baseline System Analysis'!R19</f>
        <v>235.39814904974665</v>
      </c>
      <c r="S62" s="5">
        <f>'Baseline System Analysis'!S19</f>
        <v>241.2831027759903</v>
      </c>
      <c r="T62" s="5">
        <f>'Baseline System Analysis'!T19</f>
        <v>247.31518034539005</v>
      </c>
      <c r="U62" s="5">
        <f>'Baseline System Analysis'!U19</f>
        <v>253.49805985402477</v>
      </c>
      <c r="V62" s="5">
        <f>'Baseline System Analysis'!V19</f>
        <v>259.83551135037538</v>
      </c>
      <c r="W62" s="5">
        <f>'Baseline System Analysis'!W19</f>
        <v>266.33139913413476</v>
      </c>
      <c r="X62" s="5">
        <f>'Baseline System Analysis'!X19</f>
        <v>272.98968411248808</v>
      </c>
      <c r="Y62" s="5">
        <f>'Baseline System Analysis'!Y19</f>
        <v>279.81442621530027</v>
      </c>
      <c r="Z62" s="5">
        <f>'Baseline System Analysis'!Z19</f>
        <v>286.80978687068273</v>
      </c>
      <c r="AA62" s="5">
        <f>'Baseline System Analysis'!AA19</f>
        <v>293.98003154244975</v>
      </c>
      <c r="AB62" s="5">
        <f>'Baseline System Analysis'!AB19</f>
        <v>301.32953233101097</v>
      </c>
      <c r="AC62" s="5">
        <f>'Baseline System Analysis'!AC19</f>
        <v>308.86277063928623</v>
      </c>
      <c r="AD62" s="5">
        <f>'Baseline System Analysis'!AD19</f>
        <v>316.58433990526834</v>
      </c>
    </row>
    <row r="63" spans="1:30" x14ac:dyDescent="0.35">
      <c r="A63" s="88" t="str">
        <f>'Baseline System Analysis'!A20</f>
        <v>Commerical</v>
      </c>
      <c r="B63" s="88" t="str">
        <f>'Baseline System Analysis'!B20</f>
        <v>Cost of Reliability (N-0)</v>
      </c>
      <c r="C63" s="88" t="str">
        <f>'Baseline System Analysis'!C20</f>
        <v>$/kWh</v>
      </c>
      <c r="D63" s="5">
        <f>'Baseline System Analysis'!D20</f>
        <v>153.83719106445315</v>
      </c>
      <c r="E63" s="5">
        <f>'Baseline System Analysis'!E20</f>
        <v>157.68312084106446</v>
      </c>
      <c r="F63" s="5">
        <f>'Baseline System Analysis'!F20</f>
        <v>161.62519886209105</v>
      </c>
      <c r="G63" s="5">
        <f>'Baseline System Analysis'!G20</f>
        <v>165.6658288336433</v>
      </c>
      <c r="H63" s="5">
        <f>'Baseline System Analysis'!H20</f>
        <v>169.80747455448437</v>
      </c>
      <c r="I63" s="5">
        <f>'Baseline System Analysis'!I20</f>
        <v>174.05266141834647</v>
      </c>
      <c r="J63" s="5">
        <f>'Baseline System Analysis'!J20</f>
        <v>178.40397795380511</v>
      </c>
      <c r="K63" s="5">
        <f>'Baseline System Analysis'!K20</f>
        <v>182.86407740265022</v>
      </c>
      <c r="L63" s="5">
        <f>'Baseline System Analysis'!L20</f>
        <v>187.43567933771646</v>
      </c>
      <c r="M63" s="5">
        <f>'Baseline System Analysis'!M20</f>
        <v>192.12157132115937</v>
      </c>
      <c r="N63" s="5">
        <f>'Baseline System Analysis'!N20</f>
        <v>196.92461060418833</v>
      </c>
      <c r="O63" s="5">
        <f>'Baseline System Analysis'!O20</f>
        <v>201.84772586929301</v>
      </c>
      <c r="P63" s="5">
        <f>'Baseline System Analysis'!P20</f>
        <v>206.89391901602534</v>
      </c>
      <c r="Q63" s="5">
        <f>'Baseline System Analysis'!Q20</f>
        <v>212.06626699142595</v>
      </c>
      <c r="R63" s="5">
        <f>'Baseline System Analysis'!R20</f>
        <v>217.36792366621157</v>
      </c>
      <c r="S63" s="5">
        <f>'Baseline System Analysis'!S20</f>
        <v>222.80212175786684</v>
      </c>
      <c r="T63" s="5">
        <f>'Baseline System Analysis'!T20</f>
        <v>228.37217480181349</v>
      </c>
      <c r="U63" s="5">
        <f>'Baseline System Analysis'!U20</f>
        <v>234.0814791718588</v>
      </c>
      <c r="V63" s="5">
        <f>'Baseline System Analysis'!V20</f>
        <v>239.93351615115526</v>
      </c>
      <c r="W63" s="5">
        <f>'Baseline System Analysis'!W20</f>
        <v>245.93185405493412</v>
      </c>
      <c r="X63" s="5">
        <f>'Baseline System Analysis'!X20</f>
        <v>252.08015040630744</v>
      </c>
      <c r="Y63" s="5">
        <f>'Baseline System Analysis'!Y20</f>
        <v>258.38215416646511</v>
      </c>
      <c r="Z63" s="5">
        <f>'Baseline System Analysis'!Z20</f>
        <v>264.8417080206267</v>
      </c>
      <c r="AA63" s="5">
        <f>'Baseline System Analysis'!AA20</f>
        <v>271.46275072114236</v>
      </c>
      <c r="AB63" s="5">
        <f>'Baseline System Analysis'!AB20</f>
        <v>278.24931948917089</v>
      </c>
      <c r="AC63" s="5">
        <f>'Baseline System Analysis'!AC20</f>
        <v>285.20555247640016</v>
      </c>
      <c r="AD63" s="5">
        <f>'Baseline System Analysis'!AD20</f>
        <v>292.33569128831016</v>
      </c>
    </row>
    <row r="65" spans="1:30" x14ac:dyDescent="0.35">
      <c r="A65" s="88" t="s">
        <v>130</v>
      </c>
      <c r="B65" s="88" t="s">
        <v>31</v>
      </c>
      <c r="C65" s="20">
        <f>NPV('Cost Assumptions'!$B$3,D65:AD65)</f>
        <v>1363590.1345869785</v>
      </c>
      <c r="D65" s="5">
        <f>'Baseline System Analysis'!D24-D34</f>
        <v>1354.9655166582397</v>
      </c>
      <c r="E65" s="5">
        <f>'Baseline System Analysis'!E24-E34</f>
        <v>3468.8297365152371</v>
      </c>
      <c r="F65" s="5">
        <f>'Baseline System Analysis'!F24-F34</f>
        <v>5582.6939563722344</v>
      </c>
      <c r="G65" s="5">
        <f>'Baseline System Analysis'!G24-G34</f>
        <v>7696.5581762292313</v>
      </c>
      <c r="H65" s="5">
        <f>'Baseline System Analysis'!H24-H34</f>
        <v>9810.4223960862291</v>
      </c>
      <c r="I65" s="5">
        <f>'Baseline System Analysis'!I24-I34</f>
        <v>11924.286615943227</v>
      </c>
      <c r="J65" s="5">
        <f>'Baseline System Analysis'!J24-J34</f>
        <v>14038.150835800225</v>
      </c>
      <c r="K65" s="5">
        <f>'Baseline System Analysis'!K24-K34</f>
        <v>20302.020367842062</v>
      </c>
      <c r="L65" s="5">
        <f>'Baseline System Analysis'!L24-L34</f>
        <v>26565.889899883899</v>
      </c>
      <c r="M65" s="5">
        <f>'Baseline System Analysis'!M24-M34</f>
        <v>32829.759431925733</v>
      </c>
      <c r="N65" s="5">
        <f>'Baseline System Analysis'!N24-N34</f>
        <v>39093.628963967574</v>
      </c>
      <c r="O65" s="5">
        <f>'Baseline System Analysis'!O24-O34</f>
        <v>78738.538578610984</v>
      </c>
      <c r="P65" s="5">
        <f>'Baseline System Analysis'!P24-P34</f>
        <v>118383.44819325439</v>
      </c>
      <c r="Q65" s="5">
        <f>'Baseline System Analysis'!Q24-Q34</f>
        <v>158028.35780789779</v>
      </c>
      <c r="R65" s="5">
        <f>'Baseline System Analysis'!R24-R34</f>
        <v>197673.26742254119</v>
      </c>
      <c r="S65" s="5">
        <f>'Baseline System Analysis'!S24-S34</f>
        <v>237318.17703718459</v>
      </c>
      <c r="T65" s="5">
        <f>'Baseline System Analysis'!T24-T34</f>
        <v>276963.08665182802</v>
      </c>
      <c r="U65" s="5">
        <f>'Baseline System Analysis'!U24-U34</f>
        <v>380936.47379795992</v>
      </c>
      <c r="V65" s="5">
        <f>'Baseline System Analysis'!V24-V34</f>
        <v>484909.86094409181</v>
      </c>
      <c r="W65" s="5">
        <f>'Baseline System Analysis'!W24-W34</f>
        <v>588883.24809022376</v>
      </c>
      <c r="X65" s="5">
        <f>'Baseline System Analysis'!X24-X34</f>
        <v>692856.63523635571</v>
      </c>
      <c r="Y65" s="5">
        <f>'Baseline System Analysis'!Y24-Y34</f>
        <v>796830.02238248754</v>
      </c>
      <c r="Z65" s="5">
        <f>'Baseline System Analysis'!Z24-Z34</f>
        <v>972770.21305320074</v>
      </c>
      <c r="AA65" s="5">
        <f>'Baseline System Analysis'!AA24-AA34</f>
        <v>1148710.4037239139</v>
      </c>
      <c r="AB65" s="5">
        <f>'Baseline System Analysis'!AB24-AB34</f>
        <v>1324650.5943946273</v>
      </c>
      <c r="AC65" s="5">
        <f>'Baseline System Analysis'!AC24-AC34</f>
        <v>1500590.7850653406</v>
      </c>
      <c r="AD65" s="5">
        <f>'Baseline System Analysis'!AD24-AD34</f>
        <v>1676530.9757360537</v>
      </c>
    </row>
    <row r="66" spans="1:30" x14ac:dyDescent="0.35">
      <c r="A66" s="88" t="s">
        <v>132</v>
      </c>
      <c r="B66" s="88" t="s">
        <v>31</v>
      </c>
      <c r="C66" s="20">
        <f>NPV('Cost Assumptions'!$B$3,D66:AD66)</f>
        <v>5658197.9399566008</v>
      </c>
      <c r="D66" s="5">
        <f>'Baseline System Analysis'!D25-D35</f>
        <v>5622.4102100812415</v>
      </c>
      <c r="E66" s="5">
        <f>'Baseline System Analysis'!E25-E35</f>
        <v>14393.85983468976</v>
      </c>
      <c r="F66" s="5">
        <f>'Baseline System Analysis'!F25-F35</f>
        <v>23165.309459298278</v>
      </c>
      <c r="G66" s="5">
        <f>'Baseline System Analysis'!G25-G35</f>
        <v>31936.759083906796</v>
      </c>
      <c r="H66" s="5">
        <f>'Baseline System Analysis'!H25-H35</f>
        <v>40708.208708515318</v>
      </c>
      <c r="I66" s="5">
        <f>'Baseline System Analysis'!I25-I35</f>
        <v>49479.658333123836</v>
      </c>
      <c r="J66" s="5">
        <f>'Baseline System Analysis'!J25-J35</f>
        <v>58251.107957732347</v>
      </c>
      <c r="K66" s="5">
        <f>'Baseline System Analysis'!K25-K35</f>
        <v>84242.945815294457</v>
      </c>
      <c r="L66" s="5">
        <f>'Baseline System Analysis'!L25-L35</f>
        <v>110234.78367285656</v>
      </c>
      <c r="M66" s="5">
        <f>'Baseline System Analysis'!M25-M35</f>
        <v>136226.62153041866</v>
      </c>
      <c r="N66" s="5">
        <f>'Baseline System Analysis'!N25-N35</f>
        <v>162218.45938798075</v>
      </c>
      <c r="O66" s="5">
        <f>'Baseline System Analysis'!O25-O35</f>
        <v>326724.45002371201</v>
      </c>
      <c r="P66" s="5">
        <f>'Baseline System Analysis'!P25-P35</f>
        <v>491230.44065944327</v>
      </c>
      <c r="Q66" s="5">
        <f>'Baseline System Analysis'!Q25-Q35</f>
        <v>655736.43129517452</v>
      </c>
      <c r="R66" s="5">
        <f>'Baseline System Analysis'!R25-R35</f>
        <v>820242.42193090578</v>
      </c>
      <c r="S66" s="5">
        <f>'Baseline System Analysis'!S25-S35</f>
        <v>984748.41256663704</v>
      </c>
      <c r="T66" s="5">
        <f>'Baseline System Analysis'!T25-T35</f>
        <v>1149254.4032023682</v>
      </c>
      <c r="U66" s="5">
        <f>'Baseline System Analysis'!U25-U35</f>
        <v>1580690.4997525578</v>
      </c>
      <c r="V66" s="5">
        <f>'Baseline System Analysis'!V25-V35</f>
        <v>2012126.5963027473</v>
      </c>
      <c r="W66" s="5">
        <f>'Baseline System Analysis'!W25-W35</f>
        <v>2443562.6928529367</v>
      </c>
      <c r="X66" s="5">
        <f>'Baseline System Analysis'!X25-X35</f>
        <v>2874998.7894031261</v>
      </c>
      <c r="Y66" s="5">
        <f>'Baseline System Analysis'!Y25-Y35</f>
        <v>3306434.885953316</v>
      </c>
      <c r="Z66" s="5">
        <f>'Baseline System Analysis'!Z25-Z35</f>
        <v>4036496.2138831578</v>
      </c>
      <c r="AA66" s="5">
        <f>'Baseline System Analysis'!AA25-AA35</f>
        <v>4766557.5418129992</v>
      </c>
      <c r="AB66" s="5">
        <f>'Baseline System Analysis'!AB25-AB35</f>
        <v>5496618.8697428405</v>
      </c>
      <c r="AC66" s="5">
        <f>'Baseline System Analysis'!AC25-AC35</f>
        <v>6226680.1976726819</v>
      </c>
      <c r="AD66" s="5">
        <f>'Baseline System Analysis'!AD25-AD35</f>
        <v>6956741.5256025251</v>
      </c>
    </row>
    <row r="67" spans="1:30" x14ac:dyDescent="0.35">
      <c r="A67" s="88" t="s">
        <v>24</v>
      </c>
      <c r="B67" s="88" t="s">
        <v>31</v>
      </c>
      <c r="C67" s="20">
        <f>NPV('Cost Assumptions'!$B$3,D67:AD67)</f>
        <v>7021788.0745435804</v>
      </c>
      <c r="D67" s="5">
        <f>SUM(D65:D66)</f>
        <v>6977.3757267394813</v>
      </c>
      <c r="E67" s="5">
        <f t="shared" ref="E67:AD67" si="17">SUM(E65:E66)</f>
        <v>17862.689571204995</v>
      </c>
      <c r="F67" s="5">
        <f t="shared" si="17"/>
        <v>28748.003415670511</v>
      </c>
      <c r="G67" s="5">
        <f t="shared" si="17"/>
        <v>39633.317260136027</v>
      </c>
      <c r="H67" s="5">
        <f t="shared" si="17"/>
        <v>50518.631104601547</v>
      </c>
      <c r="I67" s="5">
        <f t="shared" si="17"/>
        <v>61403.944949067067</v>
      </c>
      <c r="J67" s="5">
        <f t="shared" si="17"/>
        <v>72289.258793532572</v>
      </c>
      <c r="K67" s="5">
        <f t="shared" si="17"/>
        <v>104544.96618313652</v>
      </c>
      <c r="L67" s="5">
        <f t="shared" si="17"/>
        <v>136800.67357274046</v>
      </c>
      <c r="M67" s="5">
        <f t="shared" si="17"/>
        <v>169056.38096234441</v>
      </c>
      <c r="N67" s="5">
        <f t="shared" si="17"/>
        <v>201312.08835194833</v>
      </c>
      <c r="O67" s="5">
        <f t="shared" si="17"/>
        <v>405462.98860232299</v>
      </c>
      <c r="P67" s="5">
        <f t="shared" si="17"/>
        <v>609613.88885269768</v>
      </c>
      <c r="Q67" s="5">
        <f t="shared" si="17"/>
        <v>813764.78910307237</v>
      </c>
      <c r="R67" s="5">
        <f t="shared" si="17"/>
        <v>1017915.6893534469</v>
      </c>
      <c r="S67" s="5">
        <f t="shared" si="17"/>
        <v>1222066.5896038217</v>
      </c>
      <c r="T67" s="5">
        <f t="shared" si="17"/>
        <v>1426217.4898541961</v>
      </c>
      <c r="U67" s="5">
        <f t="shared" si="17"/>
        <v>1961626.9735505178</v>
      </c>
      <c r="V67" s="5">
        <f t="shared" si="17"/>
        <v>2497036.4572468391</v>
      </c>
      <c r="W67" s="5">
        <f t="shared" si="17"/>
        <v>3032445.9409431606</v>
      </c>
      <c r="X67" s="5">
        <f t="shared" si="17"/>
        <v>3567855.4246394821</v>
      </c>
      <c r="Y67" s="5">
        <f t="shared" si="17"/>
        <v>4103264.9083358035</v>
      </c>
      <c r="Z67" s="5">
        <f t="shared" si="17"/>
        <v>5009266.4269363582</v>
      </c>
      <c r="AA67" s="5">
        <f t="shared" si="17"/>
        <v>5915267.9455369134</v>
      </c>
      <c r="AB67" s="5">
        <f t="shared" si="17"/>
        <v>6821269.4641374676</v>
      </c>
      <c r="AC67" s="5">
        <f t="shared" si="17"/>
        <v>7727270.9827380227</v>
      </c>
      <c r="AD67" s="5">
        <f t="shared" si="17"/>
        <v>8633272.5013385788</v>
      </c>
    </row>
    <row r="68" spans="1:30" x14ac:dyDescent="0.35">
      <c r="A68" s="88"/>
      <c r="B68" s="88"/>
      <c r="C68" s="8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x14ac:dyDescent="0.35">
      <c r="A69" s="88" t="s">
        <v>133</v>
      </c>
      <c r="B69" s="88" t="s">
        <v>31</v>
      </c>
      <c r="C69" s="20">
        <f>NPV('Cost Assumptions'!$B$3,D69:AD69)</f>
        <v>55025530.55289489</v>
      </c>
      <c r="D69" s="5">
        <f>'Baseline System Analysis'!D28-D32</f>
        <v>160316.96625268596</v>
      </c>
      <c r="E69" s="5">
        <f>'Baseline System Analysis'!E28-E32</f>
        <v>426669.25690772623</v>
      </c>
      <c r="F69" s="5">
        <f>'Baseline System Analysis'!F28-F32</f>
        <v>622795.96524369309</v>
      </c>
      <c r="G69" s="5">
        <f>'Baseline System Analysis'!G28-G32</f>
        <v>833703.43870740035</v>
      </c>
      <c r="H69" s="5">
        <f>'Baseline System Analysis'!H28-H32</f>
        <v>1064554.7712044911</v>
      </c>
      <c r="I69" s="5">
        <f>'Baseline System Analysis'!I28-I32</f>
        <v>1155250.6032801536</v>
      </c>
      <c r="J69" s="5">
        <f>'Baseline System Analysis'!J28-J32</f>
        <v>1567814.7930424134</v>
      </c>
      <c r="K69" s="5">
        <f>'Baseline System Analysis'!K28-K32</f>
        <v>2064587.6916558424</v>
      </c>
      <c r="L69" s="5">
        <f>'Baseline System Analysis'!L28-L32</f>
        <v>2485972.1963254735</v>
      </c>
      <c r="M69" s="5">
        <f>'Baseline System Analysis'!M28-M32</f>
        <v>2907214.7827229644</v>
      </c>
      <c r="N69" s="5">
        <f>'Baseline System Analysis'!N28-N32</f>
        <v>3653487.05439856</v>
      </c>
      <c r="O69" s="5">
        <f>'Baseline System Analysis'!O28-O32</f>
        <v>4512360.7012723647</v>
      </c>
      <c r="P69" s="5">
        <f>'Baseline System Analysis'!P28-P32</f>
        <v>5845712.9395959051</v>
      </c>
      <c r="Q69" s="5">
        <f>'Baseline System Analysis'!Q28-Q32</f>
        <v>7145234.3901076168</v>
      </c>
      <c r="R69" s="5">
        <f>'Baseline System Analysis'!R28-R32</f>
        <v>9104342.6872677077</v>
      </c>
      <c r="S69" s="5">
        <f>'Baseline System Analysis'!S28-S32</f>
        <v>11402628.544698209</v>
      </c>
      <c r="T69" s="5">
        <f>'Baseline System Analysis'!T28-T32</f>
        <v>14095767.66157037</v>
      </c>
      <c r="U69" s="5">
        <f>'Baseline System Analysis'!U28-U32</f>
        <v>17191903.011561129</v>
      </c>
      <c r="V69" s="5">
        <f>'Baseline System Analysis'!V28-V32</f>
        <v>19393249.568390317</v>
      </c>
      <c r="W69" s="5">
        <f>'Baseline System Analysis'!W28-W32</f>
        <v>22204176.923500877</v>
      </c>
      <c r="X69" s="5">
        <f>'Baseline System Analysis'!X28-X32</f>
        <v>25300486.71745725</v>
      </c>
      <c r="Y69" s="5">
        <f>'Baseline System Analysis'!Y28-Y32</f>
        <v>28417067.414872523</v>
      </c>
      <c r="Z69" s="5">
        <f>'Baseline System Analysis'!Z28-Z32</f>
        <v>31752052.54955313</v>
      </c>
      <c r="AA69" s="5">
        <f>'Baseline System Analysis'!AA28-AA32</f>
        <v>35546944.482215486</v>
      </c>
      <c r="AB69" s="5">
        <f>'Baseline System Analysis'!AB28-AB32</f>
        <v>39903552.597625397</v>
      </c>
      <c r="AC69" s="5">
        <f>'Baseline System Analysis'!AC28-AC32</f>
        <v>43253166.677575208</v>
      </c>
      <c r="AD69" s="5">
        <f>'Baseline System Analysis'!AD28-AD32</f>
        <v>46546673.239923745</v>
      </c>
    </row>
    <row r="70" spans="1:30" x14ac:dyDescent="0.35">
      <c r="A70" s="88" t="s">
        <v>134</v>
      </c>
      <c r="B70" s="88" t="s">
        <v>31</v>
      </c>
      <c r="C70" s="20">
        <f>NPV('Cost Assumptions'!$B$3,D70:AD70)</f>
        <v>242736972.29884523</v>
      </c>
      <c r="D70" s="5">
        <f>'Baseline System Analysis'!D29-D33</f>
        <v>903378.82566768141</v>
      </c>
      <c r="E70" s="5">
        <f>'Baseline System Analysis'!E29-E33</f>
        <v>2253314.5961599764</v>
      </c>
      <c r="F70" s="5">
        <f>'Baseline System Analysis'!F29-F33</f>
        <v>3310509.516156707</v>
      </c>
      <c r="G70" s="5">
        <f>'Baseline System Analysis'!G29-G33</f>
        <v>4447440.2170750583</v>
      </c>
      <c r="H70" s="5">
        <f>'Baseline System Analysis'!H29-H33</f>
        <v>5587242.1815372296</v>
      </c>
      <c r="I70" s="5">
        <f>'Baseline System Analysis'!I29-I33</f>
        <v>5454561.6522228802</v>
      </c>
      <c r="J70" s="5">
        <f>'Baseline System Analysis'!J29-J33</f>
        <v>7543245.1947770724</v>
      </c>
      <c r="K70" s="5">
        <f>'Baseline System Analysis'!K29-K33</f>
        <v>10054559.779896669</v>
      </c>
      <c r="L70" s="5">
        <f>'Baseline System Analysis'!L29-L33</f>
        <v>11610814.214658689</v>
      </c>
      <c r="M70" s="5">
        <f>'Baseline System Analysis'!M29-M33</f>
        <v>12826351.057208685</v>
      </c>
      <c r="N70" s="5">
        <f>'Baseline System Analysis'!N29-N33</f>
        <v>16062284.122916382</v>
      </c>
      <c r="O70" s="5">
        <f>'Baseline System Analysis'!O29-O33</f>
        <v>19403643.120637149</v>
      </c>
      <c r="P70" s="5">
        <f>'Baseline System Analysis'!P29-P33</f>
        <v>25219740.504592769</v>
      </c>
      <c r="Q70" s="5">
        <f>'Baseline System Analysis'!Q29-Q33</f>
        <v>31071411.196852271</v>
      </c>
      <c r="R70" s="5">
        <f>'Baseline System Analysis'!R29-R33</f>
        <v>39644741.256940469</v>
      </c>
      <c r="S70" s="5">
        <f>'Baseline System Analysis'!S29-S33</f>
        <v>50251518.164887004</v>
      </c>
      <c r="T70" s="5">
        <f>'Baseline System Analysis'!T29-T33</f>
        <v>62975375.307628401</v>
      </c>
      <c r="U70" s="5">
        <f>'Baseline System Analysis'!U29-U33</f>
        <v>77967536.623126328</v>
      </c>
      <c r="V70" s="5">
        <f>'Baseline System Analysis'!V29-V33</f>
        <v>85493629.625678569</v>
      </c>
      <c r="W70" s="5">
        <f>'Baseline System Analysis'!W29-W33</f>
        <v>96889943.264270231</v>
      </c>
      <c r="X70" s="5">
        <f>'Baseline System Analysis'!X29-X33</f>
        <v>109044932.47197554</v>
      </c>
      <c r="Y70" s="5">
        <f>'Baseline System Analysis'!Y29-Y33</f>
        <v>122534152.53852251</v>
      </c>
      <c r="Z70" s="5">
        <f>'Baseline System Analysis'!Z29-Z33</f>
        <v>136516549.22112581</v>
      </c>
      <c r="AA70" s="5">
        <f>'Baseline System Analysis'!AA29-AA33</f>
        <v>152312518.58134991</v>
      </c>
      <c r="AB70" s="5">
        <f>'Baseline System Analysis'!AB29-AB33</f>
        <v>170666427.51783419</v>
      </c>
      <c r="AC70" s="5">
        <f>'Baseline System Analysis'!AC29-AC33</f>
        <v>185761195.95831525</v>
      </c>
      <c r="AD70" s="5">
        <f>'Baseline System Analysis'!AD29-AD33</f>
        <v>198274570.28534347</v>
      </c>
    </row>
    <row r="71" spans="1:30" x14ac:dyDescent="0.35">
      <c r="A71" s="88" t="s">
        <v>24</v>
      </c>
      <c r="B71" s="88" t="s">
        <v>31</v>
      </c>
      <c r="C71" s="20">
        <f>NPV('Cost Assumptions'!$B$3,D71:AD71)</f>
        <v>297762502.85174012</v>
      </c>
      <c r="D71" s="5">
        <f>SUM(D69:D70)</f>
        <v>1063695.7919203674</v>
      </c>
      <c r="E71" s="5">
        <f t="shared" ref="E71:AD71" si="18">SUM(E69:E70)</f>
        <v>2679983.8530677026</v>
      </c>
      <c r="F71" s="5">
        <f t="shared" si="18"/>
        <v>3933305.4814003999</v>
      </c>
      <c r="G71" s="5">
        <f t="shared" si="18"/>
        <v>5281143.6557824584</v>
      </c>
      <c r="H71" s="5">
        <f t="shared" si="18"/>
        <v>6651796.9527417207</v>
      </c>
      <c r="I71" s="5">
        <f t="shared" si="18"/>
        <v>6609812.2555030342</v>
      </c>
      <c r="J71" s="5">
        <f t="shared" si="18"/>
        <v>9111059.9878194854</v>
      </c>
      <c r="K71" s="5">
        <f t="shared" si="18"/>
        <v>12119147.471552512</v>
      </c>
      <c r="L71" s="5">
        <f t="shared" si="18"/>
        <v>14096786.410984162</v>
      </c>
      <c r="M71" s="5">
        <f t="shared" si="18"/>
        <v>15733565.83993165</v>
      </c>
      <c r="N71" s="5">
        <f t="shared" si="18"/>
        <v>19715771.177314941</v>
      </c>
      <c r="O71" s="5">
        <f t="shared" si="18"/>
        <v>23916003.821909513</v>
      </c>
      <c r="P71" s="5">
        <f t="shared" si="18"/>
        <v>31065453.444188673</v>
      </c>
      <c r="Q71" s="5">
        <f t="shared" si="18"/>
        <v>38216645.586959884</v>
      </c>
      <c r="R71" s="5">
        <f t="shared" si="18"/>
        <v>48749083.944208175</v>
      </c>
      <c r="S71" s="5">
        <f t="shared" si="18"/>
        <v>61654146.709585212</v>
      </c>
      <c r="T71" s="5">
        <f t="shared" si="18"/>
        <v>77071142.969198763</v>
      </c>
      <c r="U71" s="5">
        <f t="shared" si="18"/>
        <v>95159439.634687454</v>
      </c>
      <c r="V71" s="5">
        <f t="shared" si="18"/>
        <v>104886879.19406888</v>
      </c>
      <c r="W71" s="5">
        <f t="shared" si="18"/>
        <v>119094120.18777111</v>
      </c>
      <c r="X71" s="5">
        <f t="shared" si="18"/>
        <v>134345419.1894328</v>
      </c>
      <c r="Y71" s="5">
        <f t="shared" si="18"/>
        <v>150951219.95339504</v>
      </c>
      <c r="Z71" s="5">
        <f t="shared" si="18"/>
        <v>168268601.77067894</v>
      </c>
      <c r="AA71" s="5">
        <f t="shared" si="18"/>
        <v>187859463.0635654</v>
      </c>
      <c r="AB71" s="5">
        <f t="shared" si="18"/>
        <v>210569980.11545959</v>
      </c>
      <c r="AC71" s="5">
        <f t="shared" si="18"/>
        <v>229014362.63589045</v>
      </c>
      <c r="AD71" s="5">
        <f t="shared" si="18"/>
        <v>244821243.52526721</v>
      </c>
    </row>
    <row r="73" spans="1:30" x14ac:dyDescent="0.35">
      <c r="A73" s="88" t="s">
        <v>130</v>
      </c>
      <c r="B73" s="88" t="s">
        <v>157</v>
      </c>
      <c r="C73" s="20">
        <f>NPV('Cost Assumptions'!$B$3,D73:AD73)</f>
        <v>698117069.96393204</v>
      </c>
      <c r="D73" s="63">
        <f>ABS((D49*D60*1000*'Cost Assumptions'!$B$6)/'Cost Assumptions'!$B$14)</f>
        <v>15864499.079456346</v>
      </c>
      <c r="E73" s="63">
        <f>ABS((E49*E60*1000*'Cost Assumptions'!$B$6)/'Cost Assumptions'!$B$14)</f>
        <v>22013851.51977155</v>
      </c>
      <c r="F73" s="63">
        <f>ABS((F49*F60*1000*'Cost Assumptions'!$B$6)/'Cost Assumptions'!$B$14)</f>
        <v>28460756.270177852</v>
      </c>
      <c r="G73" s="63">
        <f>ABS((G49*G60*1000*'Cost Assumptions'!$B$6)/'Cost Assumptions'!$B$14)</f>
        <v>35216247.600904614</v>
      </c>
      <c r="H73" s="63">
        <f>ABS((H49*H60*1000*'Cost Assumptions'!$B$6)/'Cost Assumptions'!$B$14)</f>
        <v>42291725.525498852</v>
      </c>
      <c r="I73" s="63">
        <f>ABS((I49*I60*1000*'Cost Assumptions'!$B$6)/'Cost Assumptions'!$B$14)</f>
        <v>49698967.191572227</v>
      </c>
      <c r="J73" s="63">
        <f>ABS((J49*J60*1000*'Cost Assumptions'!$B$6)/'Cost Assumptions'!$B$14)</f>
        <v>57450138.612495832</v>
      </c>
      <c r="K73" s="63">
        <f>ABS((K49*K60*1000*'Cost Assumptions'!$B$6)/'Cost Assumptions'!$B$14)</f>
        <v>65557806.749970898</v>
      </c>
      <c r="L73" s="63">
        <f>ABS((L49*L60*1000*'Cost Assumptions'!$B$6)/'Cost Assumptions'!$B$14)</f>
        <v>74527673.299857527</v>
      </c>
      <c r="M73" s="63">
        <f>ABS((M49*M60*1000*'Cost Assumptions'!$B$6)/'Cost Assumptions'!$B$14)</f>
        <v>82894980.796569958</v>
      </c>
      <c r="N73" s="63">
        <f>ABS((N49*N60*1000*'Cost Assumptions'!$B$6)/'Cost Assumptions'!$B$14)</f>
        <v>92151739.232423633</v>
      </c>
      <c r="O73" s="63">
        <f>ABS((O49*O60*1000*'Cost Assumptions'!$B$6)/'Cost Assumptions'!$B$14)</f>
        <v>101819526.22707212</v>
      </c>
      <c r="P73" s="63">
        <f>ABS((P49*P60*1000*'Cost Assumptions'!$B$6)/'Cost Assumptions'!$B$14)</f>
        <v>111913107.73443276</v>
      </c>
      <c r="Q73" s="63">
        <f>ABS((Q49*Q60*1000*'Cost Assumptions'!$B$6)/'Cost Assumptions'!$B$14)</f>
        <v>122447731.11326954</v>
      </c>
      <c r="R73" s="63">
        <f>ABS((R49*R60*1000*'Cost Assumptions'!$B$6)/'Cost Assumptions'!$B$14)</f>
        <v>133439139.96871409</v>
      </c>
      <c r="S73" s="63">
        <f>ABS((S49*S60*1000*'Cost Assumptions'!$B$6)/'Cost Assumptions'!$B$14)</f>
        <v>144903589.4349851</v>
      </c>
      <c r="T73" s="63">
        <f>ABS((T49*T60*1000*'Cost Assumptions'!$B$6)/'Cost Assumptions'!$B$14)</f>
        <v>156857861.9120892</v>
      </c>
      <c r="U73" s="63">
        <f>ABS((U49*U60*1000*'Cost Assumptions'!$B$6)/'Cost Assumptions'!$B$14)</f>
        <v>169319283.26965165</v>
      </c>
      <c r="V73" s="63">
        <f>ABS((V49*V60*1000*'Cost Assumptions'!$B$6)/'Cost Assumptions'!$B$14)</f>
        <v>171985125.15295741</v>
      </c>
      <c r="W73" s="63">
        <f>ABS((W49*W60*1000*'Cost Assumptions'!$B$6)/'Cost Assumptions'!$B$14)</f>
        <v>174678434.57838497</v>
      </c>
      <c r="X73" s="63">
        <f>ABS((X49*X60*1000*'Cost Assumptions'!$B$6)/'Cost Assumptions'!$B$14)</f>
        <v>177398918.77186325</v>
      </c>
      <c r="Y73" s="63">
        <f>ABS((Y49*Y60*1000*'Cost Assumptions'!$B$6)/'Cost Assumptions'!$B$14)</f>
        <v>180146253.15340397</v>
      </c>
      <c r="Z73" s="63">
        <f>ABS((Z49*Z60*1000*'Cost Assumptions'!$B$6)/'Cost Assumptions'!$B$14)</f>
        <v>182920079.92978933</v>
      </c>
      <c r="AA73" s="63">
        <f>ABS((AA49*AA60*1000*'Cost Assumptions'!$B$6)/'Cost Assumptions'!$B$14)</f>
        <v>185720006.63677305</v>
      </c>
      <c r="AB73" s="63">
        <f>ABS((AB49*AB60*1000*'Cost Assumptions'!$B$6)/'Cost Assumptions'!$B$14)</f>
        <v>188545604.62914985</v>
      </c>
      <c r="AC73" s="63">
        <f>ABS((AC49*AC60*1000*'Cost Assumptions'!$B$6)/'Cost Assumptions'!$B$14)</f>
        <v>191396407.51699755</v>
      </c>
      <c r="AD73" s="63">
        <f>ABS((AD49*AD60*1000*'Cost Assumptions'!$B$6)/'Cost Assumptions'!$B$14)</f>
        <v>194271909.54634428</v>
      </c>
    </row>
    <row r="74" spans="1:30" x14ac:dyDescent="0.35">
      <c r="A74" s="88" t="s">
        <v>132</v>
      </c>
      <c r="B74" s="88" t="s">
        <v>157</v>
      </c>
      <c r="C74" s="20">
        <f>NPV('Cost Assumptions'!$B$3,D74:AD74)</f>
        <v>2875985780.3367324</v>
      </c>
      <c r="D74" s="63">
        <f>ABS((D49*D62*1000*'Cost Assumptions'!$B$7)/'Cost Assumptions'!$B$14)</f>
        <v>65355906.233662054</v>
      </c>
      <c r="E74" s="63">
        <f>ABS((E49*E62*1000*'Cost Assumptions'!$B$7)/'Cost Assumptions'!$B$14)</f>
        <v>90688978.489779815</v>
      </c>
      <c r="F74" s="63">
        <f>ABS((F49*F62*1000*'Cost Assumptions'!$B$7)/'Cost Assumptions'!$B$14)</f>
        <v>117247856.91730739</v>
      </c>
      <c r="G74" s="63">
        <f>ABS((G49*G62*1000*'Cost Assumptions'!$B$7)/'Cost Assumptions'!$B$14)</f>
        <v>145077998.65465528</v>
      </c>
      <c r="H74" s="63">
        <f>ABS((H49*H62*1000*'Cost Assumptions'!$B$7)/'Cost Assumptions'!$B$14)</f>
        <v>174226367.56829724</v>
      </c>
      <c r="I74" s="63">
        <f>ABS((I49*I62*1000*'Cost Assumptions'!$B$7)/'Cost Assumptions'!$B$14)</f>
        <v>204741481.17846209</v>
      </c>
      <c r="J74" s="63">
        <f>ABS((J49*J62*1000*'Cost Assumptions'!$B$7)/'Cost Assumptions'!$B$14)</f>
        <v>236673458.98940501</v>
      </c>
      <c r="K74" s="63">
        <f>ABS((K49*K62*1000*'Cost Assumptions'!$B$7)/'Cost Assumptions'!$B$14)</f>
        <v>270074072.26515853</v>
      </c>
      <c r="L74" s="63">
        <f>ABS((L49*L62*1000*'Cost Assumptions'!$B$7)/'Cost Assumptions'!$B$14)</f>
        <v>307026626.15461552</v>
      </c>
      <c r="M74" s="63">
        <f>ABS((M49*M62*1000*'Cost Assumptions'!$B$7)/'Cost Assumptions'!$B$14)</f>
        <v>341496858.17672211</v>
      </c>
      <c r="N74" s="63">
        <f>ABS((N49*N62*1000*'Cost Assumptions'!$B$7)/'Cost Assumptions'!$B$14)</f>
        <v>379631301.20774937</v>
      </c>
      <c r="O74" s="63">
        <f>ABS((O49*O62*1000*'Cost Assumptions'!$B$7)/'Cost Assumptions'!$B$14)</f>
        <v>419459030.85396755</v>
      </c>
      <c r="P74" s="63">
        <f>ABS((P49*P62*1000*'Cost Assumptions'!$B$7)/'Cost Assumptions'!$B$14)</f>
        <v>461040877.41924173</v>
      </c>
      <c r="Q74" s="63">
        <f>ABS((Q49*Q62*1000*'Cost Assumptions'!$B$7)/'Cost Assumptions'!$B$14)</f>
        <v>504439654.41849595</v>
      </c>
      <c r="R74" s="63">
        <f>ABS((R49*R62*1000*'Cost Assumptions'!$B$7)/'Cost Assumptions'!$B$14)</f>
        <v>549720219.71932578</v>
      </c>
      <c r="S74" s="63">
        <f>ABS((S49*S62*1000*'Cost Assumptions'!$B$7)/'Cost Assumptions'!$B$14)</f>
        <v>596949538.50118554</v>
      </c>
      <c r="T74" s="63">
        <f>ABS((T49*T62*1000*'Cost Assumptions'!$B$7)/'Cost Assumptions'!$B$14)</f>
        <v>646196748.08481371</v>
      </c>
      <c r="U74" s="63">
        <f>ABS((U49*U62*1000*'Cost Assumptions'!$B$7)/'Cost Assumptions'!$B$14)</f>
        <v>697533224.68606019</v>
      </c>
      <c r="V74" s="63">
        <f>ABS((V49*V62*1000*'Cost Assumptions'!$B$7)/'Cost Assumptions'!$B$14)</f>
        <v>708515513.58698845</v>
      </c>
      <c r="W74" s="63">
        <f>ABS((W49*W62*1000*'Cost Assumptions'!$B$7)/'Cost Assumptions'!$B$14)</f>
        <v>719610958.66753447</v>
      </c>
      <c r="X74" s="63">
        <f>ABS((X49*X62*1000*'Cost Assumptions'!$B$7)/'Cost Assumptions'!$B$14)</f>
        <v>730818353.80611587</v>
      </c>
      <c r="Y74" s="63">
        <f>ABS((Y49*Y62*1000*'Cost Assumptions'!$B$7)/'Cost Assumptions'!$B$14)</f>
        <v>742136361.85245907</v>
      </c>
      <c r="Z74" s="63">
        <f>ABS((Z49*Z62*1000*'Cost Assumptions'!$B$7)/'Cost Assumptions'!$B$14)</f>
        <v>753563508.82999051</v>
      </c>
      <c r="AA74" s="63">
        <f>ABS((AA49*AA62*1000*'Cost Assumptions'!$B$7)/'Cost Assumptions'!$B$14)</f>
        <v>765098177.93024087</v>
      </c>
      <c r="AB74" s="63">
        <f>ABS((AB49*AB62*1000*'Cost Assumptions'!$B$7)/'Cost Assumptions'!$B$14)</f>
        <v>776738603.292485</v>
      </c>
      <c r="AC74" s="63">
        <f>ABS((AC49*AC62*1000*'Cost Assumptions'!$B$7)/'Cost Assumptions'!$B$14)</f>
        <v>788482863.5616349</v>
      </c>
      <c r="AD74" s="63">
        <f>ABS((AD49*AD62*1000*'Cost Assumptions'!$B$7)/'Cost Assumptions'!$B$14)</f>
        <v>800328875.21718407</v>
      </c>
    </row>
    <row r="75" spans="1:30" x14ac:dyDescent="0.35">
      <c r="A75" s="88" t="s">
        <v>24</v>
      </c>
      <c r="B75" s="88" t="s">
        <v>157</v>
      </c>
      <c r="C75" s="20">
        <f>NPV('Cost Assumptions'!$B$3,D75:AD75)</f>
        <v>3574102850.3006644</v>
      </c>
      <c r="D75" s="63">
        <f>SUM(D73:D74)</f>
        <v>81220405.313118398</v>
      </c>
      <c r="E75" s="63">
        <f t="shared" ref="E75:AD75" si="19">SUM(E73:E74)</f>
        <v>112702830.00955136</v>
      </c>
      <c r="F75" s="63">
        <f t="shared" si="19"/>
        <v>145708613.18748525</v>
      </c>
      <c r="G75" s="63">
        <f t="shared" si="19"/>
        <v>180294246.25555989</v>
      </c>
      <c r="H75" s="63">
        <f t="shared" si="19"/>
        <v>216518093.09379607</v>
      </c>
      <c r="I75" s="63">
        <f t="shared" si="19"/>
        <v>254440448.37003431</v>
      </c>
      <c r="J75" s="63">
        <f t="shared" si="19"/>
        <v>294123597.60190082</v>
      </c>
      <c r="K75" s="63">
        <f t="shared" si="19"/>
        <v>335631879.01512945</v>
      </c>
      <c r="L75" s="63">
        <f t="shared" si="19"/>
        <v>381554299.45447302</v>
      </c>
      <c r="M75" s="63">
        <f t="shared" si="19"/>
        <v>424391838.97329205</v>
      </c>
      <c r="N75" s="63">
        <f t="shared" si="19"/>
        <v>471783040.44017303</v>
      </c>
      <c r="O75" s="63">
        <f t="shared" si="19"/>
        <v>521278557.08103967</v>
      </c>
      <c r="P75" s="63">
        <f t="shared" si="19"/>
        <v>572953985.15367448</v>
      </c>
      <c r="Q75" s="63">
        <f t="shared" si="19"/>
        <v>626887385.53176546</v>
      </c>
      <c r="R75" s="63">
        <f t="shared" si="19"/>
        <v>683159359.6880399</v>
      </c>
      <c r="S75" s="63">
        <f t="shared" si="19"/>
        <v>741853127.93617058</v>
      </c>
      <c r="T75" s="63">
        <f t="shared" si="19"/>
        <v>803054609.99690294</v>
      </c>
      <c r="U75" s="63">
        <f t="shared" si="19"/>
        <v>866852507.95571184</v>
      </c>
      <c r="V75" s="63">
        <f t="shared" si="19"/>
        <v>880500638.73994589</v>
      </c>
      <c r="W75" s="63">
        <f t="shared" si="19"/>
        <v>894289393.24591947</v>
      </c>
      <c r="X75" s="63">
        <f t="shared" si="19"/>
        <v>908217272.57797909</v>
      </c>
      <c r="Y75" s="63">
        <f t="shared" si="19"/>
        <v>922282615.00586307</v>
      </c>
      <c r="Z75" s="63">
        <f t="shared" si="19"/>
        <v>936483588.75977981</v>
      </c>
      <c r="AA75" s="63">
        <f t="shared" si="19"/>
        <v>950818184.56701398</v>
      </c>
      <c r="AB75" s="63">
        <f t="shared" si="19"/>
        <v>965284207.92163491</v>
      </c>
      <c r="AC75" s="63">
        <f t="shared" si="19"/>
        <v>979879271.07863247</v>
      </c>
      <c r="AD75" s="63">
        <f t="shared" si="19"/>
        <v>994600784.76352835</v>
      </c>
    </row>
    <row r="76" spans="1:30" x14ac:dyDescent="0.35">
      <c r="A76" s="88"/>
      <c r="B76" s="88"/>
      <c r="C76" s="20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x14ac:dyDescent="0.35">
      <c r="A77" s="88" t="s">
        <v>130</v>
      </c>
      <c r="B77" s="88" t="s">
        <v>164</v>
      </c>
      <c r="C77" s="20">
        <f>NPV('Cost Assumptions'!$B$3,D77:AD77)</f>
        <v>53824253.399527296</v>
      </c>
      <c r="D77" s="63">
        <f>ABS(D50)*D61*1000*'Cost Assumptions'!$B$6*'Cost Assumptions'!$B$13</f>
        <v>4633241.9424885428</v>
      </c>
      <c r="E77" s="63">
        <f>ABS(E50)*E61*1000*'Cost Assumptions'!$B$6*'Cost Assumptions'!$B$13</f>
        <v>4770795.5861276248</v>
      </c>
      <c r="F77" s="63">
        <f>ABS(F50)*F61*1000*'Cost Assumptions'!$B$6*'Cost Assumptions'!$B$13</f>
        <v>4900302.5322432928</v>
      </c>
      <c r="G77" s="63">
        <f>ABS(G50)*G61*1000*'Cost Assumptions'!$B$6*'Cost Assumptions'!$B$13</f>
        <v>5033330.1954862308</v>
      </c>
      <c r="H77" s="63">
        <f>ABS(H50)*H61*1000*'Cost Assumptions'!$B$6*'Cost Assumptions'!$B$13</f>
        <v>5170224.1048191264</v>
      </c>
      <c r="I77" s="63">
        <f>ABS(I50)*I61*1000*'Cost Assumptions'!$B$6*'Cost Assumptions'!$B$13</f>
        <v>5312424.7655394915</v>
      </c>
      <c r="J77" s="63">
        <f>ABS(J50)*J61*1000*'Cost Assumptions'!$B$6*'Cost Assumptions'!$B$13</f>
        <v>5458064.300428275</v>
      </c>
      <c r="K77" s="63">
        <f>ABS(K50)*K61*1000*'Cost Assumptions'!$B$6*'Cost Assumptions'!$B$13</f>
        <v>5610287.0156677105</v>
      </c>
      <c r="L77" s="63">
        <f>ABS(L50)*L61*1000*'Cost Assumptions'!$B$6*'Cost Assumptions'!$B$13</f>
        <v>5766677.4025000809</v>
      </c>
      <c r="M77" s="63">
        <f>ABS(M50)*M61*1000*'Cost Assumptions'!$B$6*'Cost Assumptions'!$B$13</f>
        <v>5927594.2336371979</v>
      </c>
      <c r="N77" s="63">
        <f>ABS(N50)*N61*1000*'Cost Assumptions'!$B$6*'Cost Assumptions'!$B$13</f>
        <v>6092289.1864645956</v>
      </c>
      <c r="O77" s="63">
        <f>ABS(O50)*O61*1000*'Cost Assumptions'!$B$6*'Cost Assumptions'!$B$13</f>
        <v>6261031.1764639989</v>
      </c>
      <c r="P77" s="63">
        <f>ABS(P50)*P61*1000*'Cost Assumptions'!$B$6*'Cost Assumptions'!$B$13</f>
        <v>6433768.0071305623</v>
      </c>
      <c r="Q77" s="63">
        <f>ABS(Q50)*Q61*1000*'Cost Assumptions'!$B$6*'Cost Assumptions'!$B$13</f>
        <v>6610218.8526197467</v>
      </c>
      <c r="R77" s="63">
        <f>ABS(R50)*R61*1000*'Cost Assumptions'!$B$6*'Cost Assumptions'!$B$13</f>
        <v>6790870.6853205804</v>
      </c>
      <c r="S77" s="63">
        <f>ABS(S50)*S61*1000*'Cost Assumptions'!$B$6*'Cost Assumptions'!$B$13</f>
        <v>6976061.2469643215</v>
      </c>
      <c r="T77" s="63">
        <f>ABS(T50)*T61*1000*'Cost Assumptions'!$B$6*'Cost Assumptions'!$B$13</f>
        <v>7165917.9798478214</v>
      </c>
      <c r="U77" s="63">
        <f>ABS(U50)*U61*1000*'Cost Assumptions'!$B$6*'Cost Assumptions'!$B$13</f>
        <v>7359119.3692976683</v>
      </c>
      <c r="V77" s="63">
        <f>ABS(V50)*V61*1000*'Cost Assumptions'!$B$6*'Cost Assumptions'!$B$13</f>
        <v>7557011.1197531698</v>
      </c>
      <c r="W77" s="63">
        <f>ABS(W50)*W61*1000*'Cost Assumptions'!$B$6*'Cost Assumptions'!$B$13</f>
        <v>7759907.4022188857</v>
      </c>
      <c r="X77" s="63">
        <f>ABS(X50)*X61*1000*'Cost Assumptions'!$B$6*'Cost Assumptions'!$B$13</f>
        <v>7968184.5131656183</v>
      </c>
      <c r="Y77" s="63">
        <f>ABS(Y50)*Y61*1000*'Cost Assumptions'!$B$6*'Cost Assumptions'!$B$13</f>
        <v>8179802.9884485817</v>
      </c>
      <c r="Z77" s="63">
        <f>ABS(Z50)*Z61*1000*'Cost Assumptions'!$B$6*'Cost Assumptions'!$B$13</f>
        <v>8396713.4780204836</v>
      </c>
      <c r="AA77" s="63">
        <f>ABS(AA50)*AA61*1000*'Cost Assumptions'!$B$6*'Cost Assumptions'!$B$13</f>
        <v>8618945.0671241768</v>
      </c>
      <c r="AB77" s="63">
        <f>ABS(AB50)*AB61*1000*'Cost Assumptions'!$B$6*'Cost Assumptions'!$B$13</f>
        <v>8846699.9723727237</v>
      </c>
      <c r="AC77" s="63">
        <f>ABS(AC50)*AC61*1000*'Cost Assumptions'!$B$6*'Cost Assumptions'!$B$13</f>
        <v>9077395.4868556447</v>
      </c>
      <c r="AD77" s="63">
        <f>ABS(AD50)*AD61*1000*'Cost Assumptions'!$B$6*'Cost Assumptions'!$B$13</f>
        <v>9313234.827968223</v>
      </c>
    </row>
    <row r="78" spans="1:30" x14ac:dyDescent="0.35">
      <c r="A78" s="88" t="s">
        <v>132</v>
      </c>
      <c r="B78" s="88" t="s">
        <v>164</v>
      </c>
      <c r="C78" s="20">
        <f>NPV('Cost Assumptions'!$B$3,D78:AD78)</f>
        <v>242621001.03070566</v>
      </c>
      <c r="D78" s="63">
        <f>ABS(D50)*D63*1000*'Cost Assumptions'!$B$7*'Cost Assumptions'!$B$13</f>
        <v>20885042.097284228</v>
      </c>
      <c r="E78" s="63">
        <f>ABS(E50)*E63*1000*'Cost Assumptions'!$B$7*'Cost Assumptions'!$B$13</f>
        <v>21505086.047869295</v>
      </c>
      <c r="F78" s="63">
        <f>ABS(F50)*F63*1000*'Cost Assumptions'!$B$7*'Cost Assumptions'!$B$13</f>
        <v>22088858.286636464</v>
      </c>
      <c r="G78" s="63">
        <f>ABS(G50)*G63*1000*'Cost Assumptions'!$B$7*'Cost Assumptions'!$B$13</f>
        <v>22688500.692843255</v>
      </c>
      <c r="H78" s="63">
        <f>ABS(H50)*H63*1000*'Cost Assumptions'!$B$7*'Cost Assumptions'!$B$13</f>
        <v>23305570.790793661</v>
      </c>
      <c r="I78" s="63">
        <f>ABS(I50)*I63*1000*'Cost Assumptions'!$B$7*'Cost Assumptions'!$B$13</f>
        <v>23946561.877007335</v>
      </c>
      <c r="J78" s="63">
        <f>ABS(J50)*J63*1000*'Cost Assumptions'!$B$7*'Cost Assumptions'!$B$13</f>
        <v>24603054.211087223</v>
      </c>
      <c r="K78" s="63">
        <f>ABS(K50)*K63*1000*'Cost Assumptions'!$B$7*'Cost Assumptions'!$B$13</f>
        <v>25289221.230940916</v>
      </c>
      <c r="L78" s="63">
        <f>ABS(L50)*L63*1000*'Cost Assumptions'!$B$7*'Cost Assumptions'!$B$13</f>
        <v>25994174.663795829</v>
      </c>
      <c r="M78" s="63">
        <f>ABS(M50)*M63*1000*'Cost Assumptions'!$B$7*'Cost Assumptions'!$B$13</f>
        <v>26719531.73216752</v>
      </c>
      <c r="N78" s="63">
        <f>ABS(N50)*N63*1000*'Cost Assumptions'!$B$7*'Cost Assumptions'!$B$13</f>
        <v>27461919.258160383</v>
      </c>
      <c r="O78" s="63">
        <f>ABS(O50)*O63*1000*'Cost Assumptions'!$B$7*'Cost Assumptions'!$B$13</f>
        <v>28222549.419171181</v>
      </c>
      <c r="P78" s="63">
        <f>ABS(P50)*P63*1000*'Cost Assumptions'!$B$7*'Cost Assumptions'!$B$13</f>
        <v>29001186.931522842</v>
      </c>
      <c r="Q78" s="63">
        <f>ABS(Q50)*Q63*1000*'Cost Assumptions'!$B$7*'Cost Assumptions'!$B$13</f>
        <v>29796565.930048373</v>
      </c>
      <c r="R78" s="63">
        <f>ABS(R50)*R63*1000*'Cost Assumptions'!$B$7*'Cost Assumptions'!$B$13</f>
        <v>30610881.516788907</v>
      </c>
      <c r="S78" s="63">
        <f>ABS(S50)*S63*1000*'Cost Assumptions'!$B$7*'Cost Assumptions'!$B$13</f>
        <v>31445656.113919463</v>
      </c>
      <c r="T78" s="63">
        <f>ABS(T50)*T63*1000*'Cost Assumptions'!$B$7*'Cost Assumptions'!$B$13</f>
        <v>32301464.186958496</v>
      </c>
      <c r="U78" s="63">
        <f>ABS(U50)*U63*1000*'Cost Assumptions'!$B$7*'Cost Assumptions'!$B$13</f>
        <v>33172348.807705633</v>
      </c>
      <c r="V78" s="63">
        <f>ABS(V50)*V63*1000*'Cost Assumptions'!$B$7*'Cost Assumptions'!$B$13</f>
        <v>34064375.943406768</v>
      </c>
      <c r="W78" s="63">
        <f>ABS(W50)*W63*1000*'Cost Assumptions'!$B$7*'Cost Assumptions'!$B$13</f>
        <v>34978961.767604627</v>
      </c>
      <c r="X78" s="63">
        <f>ABS(X50)*X63*1000*'Cost Assumptions'!$B$7*'Cost Assumptions'!$B$13</f>
        <v>35917802.493821234</v>
      </c>
      <c r="Y78" s="63">
        <f>ABS(Y50)*Y63*1000*'Cost Assumptions'!$B$7*'Cost Assumptions'!$B$13</f>
        <v>36871704.927518442</v>
      </c>
      <c r="Z78" s="63">
        <f>ABS(Z50)*Z63*1000*'Cost Assumptions'!$B$7*'Cost Assumptions'!$B$13</f>
        <v>37849461.919767916</v>
      </c>
      <c r="AA78" s="63">
        <f>ABS(AA50)*AA63*1000*'Cost Assumptions'!$B$7*'Cost Assumptions'!$B$13</f>
        <v>38851204.576721437</v>
      </c>
      <c r="AB78" s="63">
        <f>ABS(AB50)*AB63*1000*'Cost Assumptions'!$B$7*'Cost Assumptions'!$B$13</f>
        <v>39877844.420490101</v>
      </c>
      <c r="AC78" s="63">
        <f>ABS(AC50)*AC63*1000*'Cost Assumptions'!$B$7*'Cost Assumptions'!$B$13</f>
        <v>40917739.507221244</v>
      </c>
      <c r="AD78" s="63">
        <f>ABS(AD50)*AD63*1000*'Cost Assumptions'!$B$7*'Cost Assumptions'!$B$13</f>
        <v>41980821.17411267</v>
      </c>
    </row>
    <row r="79" spans="1:30" s="62" customFormat="1" ht="29" x14ac:dyDescent="0.35">
      <c r="A79" s="3" t="s">
        <v>159</v>
      </c>
      <c r="B79" s="88" t="s">
        <v>164</v>
      </c>
      <c r="C79" s="20">
        <f>NPV('Cost Assumptions'!$B$3,D79:AD79)</f>
        <v>296445254.43023294</v>
      </c>
      <c r="D79" s="63">
        <f>SUM(D77:D78)</f>
        <v>25518284.039772771</v>
      </c>
      <c r="E79" s="63">
        <f t="shared" ref="E79:AD79" si="20">SUM(E77:E78)</f>
        <v>26275881.633996919</v>
      </c>
      <c r="F79" s="63">
        <f t="shared" si="20"/>
        <v>26989160.818879757</v>
      </c>
      <c r="G79" s="63">
        <f t="shared" si="20"/>
        <v>27721830.888329484</v>
      </c>
      <c r="H79" s="63">
        <f t="shared" si="20"/>
        <v>28475794.895612787</v>
      </c>
      <c r="I79" s="63">
        <f t="shared" si="20"/>
        <v>29258986.642546825</v>
      </c>
      <c r="J79" s="63">
        <f t="shared" si="20"/>
        <v>30061118.511515498</v>
      </c>
      <c r="K79" s="63">
        <f t="shared" si="20"/>
        <v>30899508.246608626</v>
      </c>
      <c r="L79" s="63">
        <f t="shared" si="20"/>
        <v>31760852.066295911</v>
      </c>
      <c r="M79" s="63">
        <f t="shared" si="20"/>
        <v>32647125.965804718</v>
      </c>
      <c r="N79" s="63">
        <f t="shared" si="20"/>
        <v>33554208.444624979</v>
      </c>
      <c r="O79" s="63">
        <f t="shared" si="20"/>
        <v>34483580.595635176</v>
      </c>
      <c r="P79" s="63">
        <f t="shared" si="20"/>
        <v>35434954.938653402</v>
      </c>
      <c r="Q79" s="63">
        <f t="shared" si="20"/>
        <v>36406784.782668121</v>
      </c>
      <c r="R79" s="63">
        <f t="shared" si="20"/>
        <v>37401752.202109486</v>
      </c>
      <c r="S79" s="63">
        <f t="shared" si="20"/>
        <v>38421717.360883787</v>
      </c>
      <c r="T79" s="63">
        <f t="shared" si="20"/>
        <v>39467382.166806318</v>
      </c>
      <c r="U79" s="63">
        <f t="shared" si="20"/>
        <v>40531468.177003302</v>
      </c>
      <c r="V79" s="63">
        <f t="shared" si="20"/>
        <v>41621387.063159935</v>
      </c>
      <c r="W79" s="63">
        <f t="shared" si="20"/>
        <v>42738869.169823512</v>
      </c>
      <c r="X79" s="63">
        <f t="shared" si="20"/>
        <v>43885987.006986849</v>
      </c>
      <c r="Y79" s="63">
        <f t="shared" si="20"/>
        <v>45051507.915967025</v>
      </c>
      <c r="Z79" s="63">
        <f t="shared" si="20"/>
        <v>46246175.397788398</v>
      </c>
      <c r="AA79" s="63">
        <f t="shared" si="20"/>
        <v>47470149.643845618</v>
      </c>
      <c r="AB79" s="63">
        <f t="shared" si="20"/>
        <v>48724544.392862827</v>
      </c>
      <c r="AC79" s="63">
        <f t="shared" si="20"/>
        <v>49995134.994076893</v>
      </c>
      <c r="AD79" s="63">
        <f t="shared" si="20"/>
        <v>51294056.002080895</v>
      </c>
    </row>
    <row r="80" spans="1:30" s="62" customFormat="1" x14ac:dyDescent="0.35">
      <c r="A80" s="3"/>
      <c r="B80" s="88"/>
      <c r="C80" s="2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2" customFormat="1" ht="29" x14ac:dyDescent="0.35">
      <c r="A81" s="3" t="s">
        <v>160</v>
      </c>
      <c r="B81" s="88" t="s">
        <v>161</v>
      </c>
      <c r="C81" s="20">
        <f>NPV('Cost Assumptions'!$B$3,D81:AD81)</f>
        <v>194597591.53534827</v>
      </c>
      <c r="D81" s="63">
        <f>('Baseline System Analysis'!D42-D36)</f>
        <v>12311289.739473401</v>
      </c>
      <c r="E81" s="63">
        <f>('Baseline System Analysis'!E42-E36)</f>
        <v>13409269.588517018</v>
      </c>
      <c r="F81" s="63">
        <f>('Baseline System Analysis'!F42-F36)</f>
        <v>14134714.150648717</v>
      </c>
      <c r="G81" s="63">
        <f>('Baseline System Analysis'!G42-G36)</f>
        <v>14916851.382227913</v>
      </c>
      <c r="H81" s="63">
        <f>('Baseline System Analysis'!H42-H36)</f>
        <v>15731562.436475236</v>
      </c>
      <c r="I81" s="63">
        <f>('Baseline System Analysis'!I42-I36)</f>
        <v>16634789.36126687</v>
      </c>
      <c r="J81" s="63">
        <f>('Baseline System Analysis'!J42-J36)</f>
        <v>17527824.603423439</v>
      </c>
      <c r="K81" s="63">
        <f>('Baseline System Analysis'!K42-K36)</f>
        <v>18655656.817591555</v>
      </c>
      <c r="L81" s="63">
        <f>('Baseline System Analysis'!L42-L36)</f>
        <v>19866924.105117623</v>
      </c>
      <c r="M81" s="63">
        <f>('Baseline System Analysis'!M42-M36)</f>
        <v>21145772.24796214</v>
      </c>
      <c r="N81" s="63">
        <f>('Baseline System Analysis'!N42-N36)</f>
        <v>22292277.158550248</v>
      </c>
      <c r="O81" s="63">
        <f>('Baseline System Analysis'!O42-O36)</f>
        <v>23578858.813295688</v>
      </c>
      <c r="P81" s="63">
        <f>('Baseline System Analysis'!P42-P36)</f>
        <v>25137103.684391238</v>
      </c>
      <c r="Q81" s="63">
        <f>('Baseline System Analysis'!Q42-Q36)</f>
        <v>26703212.135843448</v>
      </c>
      <c r="R81" s="63">
        <f>('Baseline System Analysis'!R42-R36)</f>
        <v>28119795.129845783</v>
      </c>
      <c r="S81" s="63">
        <f>('Baseline System Analysis'!S42-S36)</f>
        <v>29898263.812676497</v>
      </c>
      <c r="T81" s="63">
        <f>('Baseline System Analysis'!T42-T36)</f>
        <v>31556381.430989303</v>
      </c>
      <c r="U81" s="63">
        <f>('Baseline System Analysis'!U42-U36)</f>
        <v>33257212.228841282</v>
      </c>
      <c r="V81" s="63">
        <f>('Baseline System Analysis'!V42-V36)</f>
        <v>35072292.336960942</v>
      </c>
      <c r="W81" s="63">
        <f>('Baseline System Analysis'!W42-W36)</f>
        <v>36969902.863182783</v>
      </c>
      <c r="X81" s="63">
        <f>('Baseline System Analysis'!X42-X36)</f>
        <v>38761139.089388698</v>
      </c>
      <c r="Y81" s="63">
        <f>('Baseline System Analysis'!Y42-Y36)</f>
        <v>40658406.436625317</v>
      </c>
      <c r="Z81" s="63">
        <f>('Baseline System Analysis'!Z42-Z36)</f>
        <v>42616968.434894785</v>
      </c>
      <c r="AA81" s="63">
        <f>('Baseline System Analysis'!AA42-AA36)</f>
        <v>44630620.875841111</v>
      </c>
      <c r="AB81" s="63">
        <f>('Baseline System Analysis'!AB42-AB36)</f>
        <v>46598925.676338114</v>
      </c>
      <c r="AC81" s="63">
        <f>('Baseline System Analysis'!AC42-AC36)</f>
        <v>48552854.247511007</v>
      </c>
      <c r="AD81" s="63">
        <f>('Baseline System Analysis'!AD42-AD36)</f>
        <v>50492072.481269397</v>
      </c>
    </row>
    <row r="82" spans="1:30" s="62" customFormat="1" x14ac:dyDescent="0.3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</row>
    <row r="83" spans="1:30" s="62" customFormat="1" ht="20" thickBot="1" x14ac:dyDescent="0.5">
      <c r="A83" s="142" t="s">
        <v>74</v>
      </c>
      <c r="B83" s="171"/>
      <c r="C83" s="20">
        <f>NPV('Cost Assumptions'!$B$3,D83:AD83)/1000000</f>
        <v>4369.9299871925277</v>
      </c>
      <c r="D83" s="63">
        <f>SUM(D67,D71,D75,D79,D81)</f>
        <v>120120652.26001167</v>
      </c>
      <c r="E83" s="63">
        <f t="shared" ref="E83:AD83" si="21">SUM(E67,E71,E75,E79,E81)</f>
        <v>155085827.77470422</v>
      </c>
      <c r="F83" s="63">
        <f t="shared" si="21"/>
        <v>190794541.64182979</v>
      </c>
      <c r="G83" s="63">
        <f t="shared" si="21"/>
        <v>228253705.49915987</v>
      </c>
      <c r="H83" s="63">
        <f t="shared" si="21"/>
        <v>267427766.00973043</v>
      </c>
      <c r="I83" s="63">
        <f t="shared" si="21"/>
        <v>307005440.57430005</v>
      </c>
      <c r="J83" s="63">
        <f t="shared" si="21"/>
        <v>350895889.96345276</v>
      </c>
      <c r="K83" s="63">
        <f t="shared" si="21"/>
        <v>397410736.51706529</v>
      </c>
      <c r="L83" s="63">
        <f t="shared" si="21"/>
        <v>447415662.71044344</v>
      </c>
      <c r="M83" s="63">
        <f t="shared" si="21"/>
        <v>494087359.40795285</v>
      </c>
      <c r="N83" s="63">
        <f t="shared" si="21"/>
        <v>547546609.30901515</v>
      </c>
      <c r="O83" s="63">
        <f t="shared" si="21"/>
        <v>603662463.30048239</v>
      </c>
      <c r="P83" s="63">
        <f t="shared" si="21"/>
        <v>665201111.1097604</v>
      </c>
      <c r="Q83" s="63">
        <f t="shared" si="21"/>
        <v>729027792.82633996</v>
      </c>
      <c r="R83" s="63">
        <f t="shared" si="21"/>
        <v>798447906.6535567</v>
      </c>
      <c r="S83" s="63">
        <f t="shared" si="21"/>
        <v>873049322.40892005</v>
      </c>
      <c r="T83" s="63">
        <f t="shared" si="21"/>
        <v>952575734.05375147</v>
      </c>
      <c r="U83" s="63">
        <f t="shared" si="21"/>
        <v>1037762254.9697944</v>
      </c>
      <c r="V83" s="63">
        <f t="shared" si="21"/>
        <v>1064578233.7913824</v>
      </c>
      <c r="W83" s="63">
        <f t="shared" si="21"/>
        <v>1096124731.40764</v>
      </c>
      <c r="X83" s="63">
        <f t="shared" si="21"/>
        <v>1128777673.2884269</v>
      </c>
      <c r="Y83" s="63">
        <f t="shared" si="21"/>
        <v>1163047014.2201862</v>
      </c>
      <c r="Z83" s="63">
        <f t="shared" si="21"/>
        <v>1198624600.7900782</v>
      </c>
      <c r="AA83" s="63">
        <f t="shared" si="21"/>
        <v>1236693686.095803</v>
      </c>
      <c r="AB83" s="63">
        <f t="shared" si="21"/>
        <v>1277998927.5704329</v>
      </c>
      <c r="AC83" s="63">
        <f t="shared" si="21"/>
        <v>1315168893.9388487</v>
      </c>
      <c r="AD83" s="63">
        <f t="shared" si="21"/>
        <v>1349841429.2734845</v>
      </c>
    </row>
    <row r="84" spans="1:30" s="62" customFormat="1" ht="20.5" thickTop="1" thickBot="1" x14ac:dyDescent="0.5">
      <c r="A84" s="142" t="s">
        <v>169</v>
      </c>
      <c r="B84" s="142"/>
      <c r="C84" s="20">
        <f>NPV('Cost Assumptions'!$B$3,D84:AD84)/1000000</f>
        <v>4373.2535913724942</v>
      </c>
      <c r="D84" s="63">
        <f>D83+D43</f>
        <v>120350638.66001166</v>
      </c>
      <c r="E84" s="63">
        <f>E83+E43</f>
        <v>155330160.21797344</v>
      </c>
      <c r="F84" s="63">
        <f t="shared" ref="F84:AD84" si="22">F83+F43</f>
        <v>191053793.68903169</v>
      </c>
      <c r="G84" s="63">
        <f t="shared" si="22"/>
        <v>228528470.42271405</v>
      </c>
      <c r="H84" s="63">
        <f t="shared" si="22"/>
        <v>267718657.42092499</v>
      </c>
      <c r="I84" s="63">
        <f t="shared" si="22"/>
        <v>307313093.06943983</v>
      </c>
      <c r="J84" s="63">
        <f>J83+J43</f>
        <v>351220959.78960299</v>
      </c>
      <c r="K84" s="63">
        <f t="shared" si="22"/>
        <v>397750588.82972312</v>
      </c>
      <c r="L84" s="63">
        <f t="shared" si="22"/>
        <v>447770833.46529293</v>
      </c>
      <c r="M84" s="63">
        <f t="shared" si="22"/>
        <v>494458402.11940819</v>
      </c>
      <c r="N84" s="63">
        <f t="shared" si="22"/>
        <v>547934095.59318483</v>
      </c>
      <c r="O84" s="63">
        <f t="shared" si="22"/>
        <v>604066983.43430758</v>
      </c>
      <c r="P84" s="63">
        <f t="shared" si="22"/>
        <v>665623274.60679615</v>
      </c>
      <c r="Q84" s="63">
        <f t="shared" si="22"/>
        <v>729468229.02966321</v>
      </c>
      <c r="R84" s="63">
        <f t="shared" si="22"/>
        <v>798907265.34629607</v>
      </c>
      <c r="S84" s="63">
        <f t="shared" si="22"/>
        <v>873528274.44291937</v>
      </c>
      <c r="T84" s="63">
        <f t="shared" si="22"/>
        <v>953074971.99689078</v>
      </c>
      <c r="U84" s="63">
        <f t="shared" si="22"/>
        <v>1038282493.7725093</v>
      </c>
      <c r="V84" s="63">
        <f t="shared" si="22"/>
        <v>1065120443.0370032</v>
      </c>
      <c r="W84" s="63">
        <f t="shared" si="22"/>
        <v>1096689684.4690599</v>
      </c>
      <c r="X84" s="63">
        <f t="shared" si="22"/>
        <v>1129366168.4756575</v>
      </c>
      <c r="Y84" s="63">
        <f t="shared" si="22"/>
        <v>1163659875.5438547</v>
      </c>
      <c r="Z84" s="63">
        <f t="shared" si="22"/>
        <v>1199262678.7475145</v>
      </c>
      <c r="AA84" s="63">
        <f t="shared" si="22"/>
        <v>1237357858.4803681</v>
      </c>
      <c r="AB84" s="63">
        <f t="shared" si="22"/>
        <v>1278690100.30476</v>
      </c>
      <c r="AC84" s="63">
        <f t="shared" si="22"/>
        <v>1315888001.9326854</v>
      </c>
      <c r="AD84" s="63">
        <f t="shared" si="22"/>
        <v>1350589437.3068473</v>
      </c>
    </row>
    <row r="85" spans="1:30" ht="15" thickTop="1" x14ac:dyDescent="0.3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</row>
    <row r="86" spans="1:30" ht="20" thickBot="1" x14ac:dyDescent="0.5">
      <c r="A86" s="142" t="s">
        <v>163</v>
      </c>
      <c r="B86" s="142"/>
      <c r="C86" s="20">
        <f>Summary!$D$18</f>
        <v>559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15" thickTop="1" x14ac:dyDescent="0.3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20" thickBot="1" x14ac:dyDescent="0.5">
      <c r="A88" s="142" t="s">
        <v>7</v>
      </c>
      <c r="B88" s="142"/>
      <c r="C88" s="53">
        <f>C84/C86</f>
        <v>7.8233516840295065</v>
      </c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15" thickTop="1" x14ac:dyDescent="0.3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s="62" customFormat="1" ht="42.65" customHeight="1" thickBot="1" x14ac:dyDescent="0.5">
      <c r="A90" s="170" t="s">
        <v>168</v>
      </c>
      <c r="B90" s="170"/>
      <c r="C90" s="88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>
        <v>3275.4910225945096</v>
      </c>
      <c r="V90" s="63">
        <v>3714.893606473197</v>
      </c>
      <c r="W90" s="63">
        <v>4154.2961903518844</v>
      </c>
      <c r="X90" s="63">
        <v>4593.6987742305719</v>
      </c>
      <c r="Y90" s="63">
        <v>5033.1013581092593</v>
      </c>
      <c r="Z90" s="63">
        <v>5472.5039419879458</v>
      </c>
      <c r="AA90" s="63">
        <v>5535.9533705839976</v>
      </c>
      <c r="AB90" s="63">
        <v>5599.4027991800494</v>
      </c>
      <c r="AC90" s="63">
        <v>5662.8522277761012</v>
      </c>
      <c r="AD90" s="63">
        <v>5726.301656372154</v>
      </c>
    </row>
    <row r="91" spans="1:30" ht="15" thickTop="1" x14ac:dyDescent="0.35">
      <c r="A91" s="88"/>
      <c r="B91" s="88"/>
      <c r="C91" s="7">
        <v>21.683800000000002</v>
      </c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</row>
    <row r="92" spans="1:30" x14ac:dyDescent="0.35">
      <c r="A92" s="88"/>
      <c r="B92" s="88"/>
      <c r="C92" s="7">
        <v>519.51946765802336</v>
      </c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</row>
    <row r="93" spans="1:30" x14ac:dyDescent="0.35">
      <c r="A93" s="88"/>
      <c r="B93" s="88"/>
      <c r="C93" s="7">
        <v>3785.4388765137851</v>
      </c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</row>
    <row r="94" spans="1:30" x14ac:dyDescent="0.35">
      <c r="A94" s="88"/>
      <c r="B94" s="88"/>
      <c r="C94" s="7">
        <v>2043.8045790074423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  <row r="95" spans="1:30" x14ac:dyDescent="0.35">
      <c r="A95" s="88"/>
      <c r="B95" s="88"/>
      <c r="C95" s="7">
        <v>56.580700000000007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</row>
  </sheetData>
  <mergeCells count="9">
    <mergeCell ref="B2:B15"/>
    <mergeCell ref="B18:B31"/>
    <mergeCell ref="A90:B90"/>
    <mergeCell ref="B40:AD40"/>
    <mergeCell ref="A58:AD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E95"/>
  <sheetViews>
    <sheetView zoomScale="73" zoomScaleNormal="73" workbookViewId="0"/>
  </sheetViews>
  <sheetFormatPr defaultColWidth="8.81640625" defaultRowHeight="14.5" x14ac:dyDescent="0.35"/>
  <cols>
    <col min="1" max="1" width="16.54296875" style="62" bestFit="1" customWidth="1"/>
    <col min="2" max="2" width="29.453125" style="62" customWidth="1"/>
    <col min="3" max="3" width="19.26953125" style="62" customWidth="1"/>
    <col min="4" max="4" width="15.1796875" style="62" bestFit="1" customWidth="1"/>
    <col min="5" max="6" width="15.7265625" style="62" bestFit="1" customWidth="1"/>
    <col min="7" max="7" width="16.1796875" style="62" bestFit="1" customWidth="1"/>
    <col min="8" max="14" width="14.81640625" style="62" bestFit="1" customWidth="1"/>
    <col min="15" max="16" width="19.26953125" style="62" customWidth="1"/>
    <col min="17" max="17" width="22.1796875" style="62" customWidth="1"/>
    <col min="18" max="18" width="22.453125" style="62" customWidth="1"/>
    <col min="19" max="19" width="16.26953125" style="62" customWidth="1"/>
    <col min="20" max="20" width="16.81640625" style="62" bestFit="1" customWidth="1"/>
    <col min="21" max="21" width="21.1796875" style="62" customWidth="1"/>
    <col min="22" max="22" width="19.7265625" style="62" customWidth="1"/>
    <col min="23" max="23" width="16.54296875" style="62" bestFit="1" customWidth="1"/>
    <col min="24" max="24" width="16.81640625" style="62" bestFit="1" customWidth="1"/>
    <col min="25" max="30" width="16.26953125" style="62" bestFit="1" customWidth="1"/>
    <col min="31" max="31" width="11.54296875" style="62" bestFit="1" customWidth="1"/>
    <col min="32" max="16384" width="8.81640625" style="62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88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88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88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88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88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88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88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88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88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88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x14ac:dyDescent="0.35">
      <c r="A13" s="88" t="s">
        <v>30</v>
      </c>
      <c r="B13" s="88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x14ac:dyDescent="0.35">
      <c r="A14" s="88" t="s">
        <v>30</v>
      </c>
      <c r="B14" s="88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x14ac:dyDescent="0.35">
      <c r="A15" s="88" t="s">
        <v>30</v>
      </c>
      <c r="B15" s="88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7" spans="1:31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  <c r="AE17" s="88"/>
    </row>
    <row r="18" spans="1:31" ht="49.75" customHeight="1" thickTop="1" x14ac:dyDescent="0.35">
      <c r="A18" s="88"/>
      <c r="B18" s="13" t="s">
        <v>13</v>
      </c>
      <c r="C18" s="88" t="s">
        <v>120</v>
      </c>
      <c r="D18" s="63">
        <v>49328.200000000405</v>
      </c>
      <c r="E18" s="63">
        <v>49736.291346154219</v>
      </c>
      <c r="F18" s="63">
        <v>50144.382692308034</v>
      </c>
      <c r="G18" s="63">
        <v>50552.474038461849</v>
      </c>
      <c r="H18" s="63">
        <v>50960.565384615664</v>
      </c>
      <c r="I18" s="63">
        <v>51368.656730769479</v>
      </c>
      <c r="J18" s="63">
        <v>51776.748076923293</v>
      </c>
      <c r="K18" s="63">
        <v>52184.839423077108</v>
      </c>
      <c r="L18" s="63">
        <v>52592.930769230923</v>
      </c>
      <c r="M18" s="63">
        <v>53001.022115384738</v>
      </c>
      <c r="N18" s="63">
        <v>53409.113461538553</v>
      </c>
      <c r="O18" s="63">
        <v>53817.204807692367</v>
      </c>
      <c r="P18" s="63">
        <v>54225.296153846182</v>
      </c>
      <c r="Q18" s="63">
        <v>54633.387499999997</v>
      </c>
      <c r="R18" s="63">
        <v>55041.478846153812</v>
      </c>
      <c r="S18" s="63">
        <v>55449.570192307627</v>
      </c>
      <c r="T18" s="63">
        <v>55857.661538461442</v>
      </c>
      <c r="U18" s="63">
        <v>56265.752884615256</v>
      </c>
      <c r="V18" s="63">
        <v>56673.844230769071</v>
      </c>
      <c r="W18" s="63">
        <v>57081.935576922886</v>
      </c>
      <c r="X18" s="63">
        <v>57490.026923076701</v>
      </c>
      <c r="Y18" s="63">
        <v>57898.118269230516</v>
      </c>
      <c r="Z18" s="63">
        <v>58306.20961538433</v>
      </c>
      <c r="AA18" s="63">
        <v>58714.300961538145</v>
      </c>
      <c r="AB18" s="63">
        <v>59122.39230769196</v>
      </c>
      <c r="AC18" s="63">
        <v>59530.483653845775</v>
      </c>
      <c r="AD18" s="63">
        <v>59938.574999999575</v>
      </c>
      <c r="AE18" s="88"/>
    </row>
    <row r="19" spans="1:31" x14ac:dyDescent="0.35">
      <c r="A19" s="88" t="s">
        <v>30</v>
      </c>
      <c r="B19" s="88"/>
      <c r="C19" s="88" t="s">
        <v>31</v>
      </c>
      <c r="D19" s="63">
        <v>5.7999999999999829</v>
      </c>
      <c r="E19" s="63">
        <f>D19+(($J19-$D19)/(COLUMN($J19)-COLUMN($D19)))</f>
        <v>14.48333333333332</v>
      </c>
      <c r="F19" s="63">
        <f t="shared" ref="F19:I19" si="0">E19+(($J19-$D19)/(COLUMN($J19)-COLUMN($D19)))</f>
        <v>23.166666666666657</v>
      </c>
      <c r="G19" s="63">
        <f t="shared" si="0"/>
        <v>31.849999999999994</v>
      </c>
      <c r="H19" s="63">
        <f t="shared" si="0"/>
        <v>40.533333333333331</v>
      </c>
      <c r="I19" s="63">
        <f t="shared" si="0"/>
        <v>49.216666666666669</v>
      </c>
      <c r="J19" s="63">
        <v>57.900000000000006</v>
      </c>
      <c r="K19" s="63">
        <f>J19+(($O19-$J19)/(COLUMN($O19)-COLUMN($J19)))</f>
        <v>84.699999999999989</v>
      </c>
      <c r="L19" s="63">
        <f t="shared" ref="L19:N19" si="1">K19+(($O19-$J19)/(COLUMN($O19)-COLUMN($J19)))</f>
        <v>111.49999999999997</v>
      </c>
      <c r="M19" s="63">
        <f t="shared" si="1"/>
        <v>138.29999999999995</v>
      </c>
      <c r="N19" s="63">
        <f t="shared" si="1"/>
        <v>165.09999999999994</v>
      </c>
      <c r="O19" s="63">
        <v>191.89999999999995</v>
      </c>
      <c r="P19" s="63">
        <f>O19+(($T19-$O19)/(COLUMN($T19)-COLUMN($O19)))</f>
        <v>275.55999999999995</v>
      </c>
      <c r="Q19" s="63">
        <f t="shared" ref="Q19:S19" si="2">P19+(($T19-$O19)/(COLUMN($T19)-COLUMN($O19)))</f>
        <v>359.21999999999997</v>
      </c>
      <c r="R19" s="63">
        <f t="shared" si="2"/>
        <v>442.88</v>
      </c>
      <c r="S19" s="63">
        <f t="shared" si="2"/>
        <v>526.54</v>
      </c>
      <c r="T19" s="63">
        <v>610.20000000000005</v>
      </c>
      <c r="U19" s="63">
        <f>T19+(($Y19-$T19)/(COLUMN($Y19)-COLUMN($T19)))</f>
        <v>771.40000000000009</v>
      </c>
      <c r="V19" s="63">
        <f t="shared" ref="V19:X19" si="3">U19+(($Y19-$T19)/(COLUMN($Y19)-COLUMN($T19)))</f>
        <v>932.60000000000014</v>
      </c>
      <c r="W19" s="63">
        <f t="shared" si="3"/>
        <v>1093.8000000000002</v>
      </c>
      <c r="X19" s="63">
        <f t="shared" si="3"/>
        <v>1255.0000000000002</v>
      </c>
      <c r="Y19" s="63">
        <v>1416.2000000000005</v>
      </c>
      <c r="Z19" s="63">
        <f>Y19+(($AD19-$Y19)/(COLUMN($AD19)-COLUMN($Y19)))</f>
        <v>1633.0200000000004</v>
      </c>
      <c r="AA19" s="63">
        <f t="shared" ref="AA19:AC19" si="4">Z19+(($AD19-$Y19)/(COLUMN($AD19)-COLUMN($Y19)))</f>
        <v>1849.8400000000004</v>
      </c>
      <c r="AB19" s="63">
        <f t="shared" si="4"/>
        <v>2066.6600000000003</v>
      </c>
      <c r="AC19" s="63">
        <f t="shared" si="4"/>
        <v>2283.48</v>
      </c>
      <c r="AD19" s="63">
        <v>2500.2999999999997</v>
      </c>
      <c r="AE19" s="88"/>
    </row>
    <row r="20" spans="1:31" x14ac:dyDescent="0.35">
      <c r="A20" s="88" t="s">
        <v>30</v>
      </c>
      <c r="B20" s="88"/>
      <c r="C20" s="88" t="s">
        <v>32</v>
      </c>
      <c r="D20" s="63">
        <v>3</v>
      </c>
      <c r="E20" s="63">
        <f t="shared" ref="E20:I23" si="5">D20+(($J20-$D20)/(COLUMN($J20)-COLUMN($D20)))</f>
        <v>4.916666666666667</v>
      </c>
      <c r="F20" s="63">
        <f t="shared" si="5"/>
        <v>6.8333333333333339</v>
      </c>
      <c r="G20" s="63">
        <f t="shared" si="5"/>
        <v>8.75</v>
      </c>
      <c r="H20" s="63">
        <f t="shared" si="5"/>
        <v>10.666666666666666</v>
      </c>
      <c r="I20" s="63">
        <f t="shared" si="5"/>
        <v>12.583333333333332</v>
      </c>
      <c r="J20" s="63">
        <v>14.5</v>
      </c>
      <c r="K20" s="63">
        <f t="shared" ref="K20:N23" si="6">J20+(($O20-$J20)/(COLUMN($O20)-COLUMN($J20)))</f>
        <v>17.139999999999997</v>
      </c>
      <c r="L20" s="63">
        <f t="shared" si="6"/>
        <v>19.779999999999994</v>
      </c>
      <c r="M20" s="63">
        <f t="shared" si="6"/>
        <v>22.419999999999991</v>
      </c>
      <c r="N20" s="63">
        <f t="shared" si="6"/>
        <v>25.059999999999988</v>
      </c>
      <c r="O20" s="63">
        <v>27.699999999999989</v>
      </c>
      <c r="P20" s="63">
        <f t="shared" ref="P20:S23" si="7">O20+(($T20-$O20)/(COLUMN($T20)-COLUMN($O20)))</f>
        <v>29.779999999999994</v>
      </c>
      <c r="Q20" s="63">
        <f t="shared" si="7"/>
        <v>31.86</v>
      </c>
      <c r="R20" s="63">
        <f t="shared" si="7"/>
        <v>33.940000000000005</v>
      </c>
      <c r="S20" s="63">
        <f t="shared" si="7"/>
        <v>36.02000000000001</v>
      </c>
      <c r="T20" s="63">
        <v>38.100000000000023</v>
      </c>
      <c r="U20" s="63">
        <f t="shared" ref="U20:X23" si="8">T20+(($Y20-$T20)/(COLUMN($Y20)-COLUMN($T20)))</f>
        <v>40.500000000000021</v>
      </c>
      <c r="V20" s="63">
        <f t="shared" si="8"/>
        <v>42.90000000000002</v>
      </c>
      <c r="W20" s="63">
        <f t="shared" si="8"/>
        <v>45.300000000000018</v>
      </c>
      <c r="X20" s="63">
        <f t="shared" si="8"/>
        <v>47.700000000000017</v>
      </c>
      <c r="Y20" s="63">
        <v>50.100000000000023</v>
      </c>
      <c r="Z20" s="63">
        <f t="shared" ref="Z20:AC23" si="9">Y20+(($AD20-$Y20)/(COLUMN($AD20)-COLUMN($Y20)))</f>
        <v>57.42</v>
      </c>
      <c r="AA20" s="63">
        <f t="shared" si="9"/>
        <v>64.739999999999981</v>
      </c>
      <c r="AB20" s="63">
        <f t="shared" si="9"/>
        <v>72.05999999999996</v>
      </c>
      <c r="AC20" s="63">
        <f t="shared" si="9"/>
        <v>79.379999999999939</v>
      </c>
      <c r="AD20" s="63">
        <v>86.699999999999932</v>
      </c>
      <c r="AE20" s="88"/>
    </row>
    <row r="21" spans="1:31" x14ac:dyDescent="0.35">
      <c r="A21" s="88" t="s">
        <v>30</v>
      </c>
      <c r="B21" s="88"/>
      <c r="C21" s="88" t="s">
        <v>33</v>
      </c>
      <c r="D21" s="63">
        <v>1.589413014335395E-2</v>
      </c>
      <c r="E21" s="63">
        <f t="shared" si="5"/>
        <v>8.3763892766986259E-2</v>
      </c>
      <c r="F21" s="63">
        <f t="shared" si="5"/>
        <v>0.15163365539061857</v>
      </c>
      <c r="G21" s="63">
        <f t="shared" si="5"/>
        <v>0.21950341801425088</v>
      </c>
      <c r="H21" s="63">
        <f t="shared" si="5"/>
        <v>0.2873731806378832</v>
      </c>
      <c r="I21" s="63">
        <f t="shared" si="5"/>
        <v>0.35524294326151551</v>
      </c>
      <c r="J21" s="63">
        <v>0.42311270588514782</v>
      </c>
      <c r="K21" s="63">
        <f t="shared" si="6"/>
        <v>4.0742243827800433</v>
      </c>
      <c r="L21" s="63">
        <f t="shared" si="6"/>
        <v>7.7253360596749392</v>
      </c>
      <c r="M21" s="63">
        <f t="shared" si="6"/>
        <v>11.376447736569835</v>
      </c>
      <c r="N21" s="63">
        <f t="shared" si="6"/>
        <v>15.027559413464731</v>
      </c>
      <c r="O21" s="63">
        <v>18.678671090359629</v>
      </c>
      <c r="P21" s="63">
        <f t="shared" si="7"/>
        <v>19.166675554615288</v>
      </c>
      <c r="Q21" s="63">
        <f t="shared" si="7"/>
        <v>19.654680018870948</v>
      </c>
      <c r="R21" s="63">
        <f t="shared" si="7"/>
        <v>20.142684483126608</v>
      </c>
      <c r="S21" s="63">
        <f t="shared" si="7"/>
        <v>20.630688947382268</v>
      </c>
      <c r="T21" s="63">
        <v>21.118693411637931</v>
      </c>
      <c r="U21" s="63">
        <f t="shared" si="8"/>
        <v>31.289777596078338</v>
      </c>
      <c r="V21" s="63">
        <f t="shared" si="8"/>
        <v>41.460861780518741</v>
      </c>
      <c r="W21" s="63">
        <f t="shared" si="8"/>
        <v>51.631945964959144</v>
      </c>
      <c r="X21" s="63">
        <f t="shared" si="8"/>
        <v>61.803030149399547</v>
      </c>
      <c r="Y21" s="63">
        <v>71.974114333839964</v>
      </c>
      <c r="Z21" s="63">
        <f t="shared" si="9"/>
        <v>93.62949364187422</v>
      </c>
      <c r="AA21" s="63">
        <f t="shared" si="9"/>
        <v>115.28487294990848</v>
      </c>
      <c r="AB21" s="63">
        <f t="shared" si="9"/>
        <v>136.94025225794272</v>
      </c>
      <c r="AC21" s="63">
        <f t="shared" si="9"/>
        <v>158.59563156597696</v>
      </c>
      <c r="AD21" s="63">
        <v>180.25101087401123</v>
      </c>
      <c r="AE21" s="88"/>
    </row>
    <row r="22" spans="1:31" x14ac:dyDescent="0.35">
      <c r="A22" s="88" t="s">
        <v>30</v>
      </c>
      <c r="B22" s="88"/>
      <c r="C22" s="88" t="s">
        <v>34</v>
      </c>
      <c r="D22" s="63">
        <v>5.2980433811179832E-3</v>
      </c>
      <c r="E22" s="63">
        <f t="shared" si="5"/>
        <v>1.3229884190205566E-2</v>
      </c>
      <c r="F22" s="63">
        <f t="shared" si="5"/>
        <v>2.1161724999293148E-2</v>
      </c>
      <c r="G22" s="63">
        <f t="shared" si="5"/>
        <v>2.9093565808380732E-2</v>
      </c>
      <c r="H22" s="63">
        <f t="shared" si="5"/>
        <v>3.7025406617468316E-2</v>
      </c>
      <c r="I22" s="63">
        <f t="shared" si="5"/>
        <v>4.4957247426555901E-2</v>
      </c>
      <c r="J22" s="63">
        <v>5.2889088235643478E-2</v>
      </c>
      <c r="K22" s="63">
        <f t="shared" si="6"/>
        <v>7.7393395266596554E-2</v>
      </c>
      <c r="L22" s="63">
        <f t="shared" si="6"/>
        <v>0.10189770229754963</v>
      </c>
      <c r="M22" s="63">
        <f t="shared" si="6"/>
        <v>0.12640200932850271</v>
      </c>
      <c r="N22" s="63">
        <f t="shared" si="6"/>
        <v>0.15090631635945578</v>
      </c>
      <c r="O22" s="63">
        <v>0.17541062339040886</v>
      </c>
      <c r="P22" s="63">
        <f t="shared" si="7"/>
        <v>0.25310745981317923</v>
      </c>
      <c r="Q22" s="63">
        <f t="shared" si="7"/>
        <v>0.33080429623594959</v>
      </c>
      <c r="R22" s="63">
        <f t="shared" si="7"/>
        <v>0.40850113265871996</v>
      </c>
      <c r="S22" s="63">
        <f t="shared" si="7"/>
        <v>0.48619796908149032</v>
      </c>
      <c r="T22" s="63">
        <v>0.56389480550426063</v>
      </c>
      <c r="U22" s="63">
        <f t="shared" si="8"/>
        <v>0.71313682592311523</v>
      </c>
      <c r="V22" s="63">
        <f t="shared" si="8"/>
        <v>0.86237884634196982</v>
      </c>
      <c r="W22" s="63">
        <f t="shared" si="8"/>
        <v>1.0116208667608244</v>
      </c>
      <c r="X22" s="63">
        <f t="shared" si="8"/>
        <v>1.1608628871796789</v>
      </c>
      <c r="Y22" s="63">
        <v>1.3101049075985336</v>
      </c>
      <c r="Z22" s="63">
        <f t="shared" si="9"/>
        <v>1.5112153977046026</v>
      </c>
      <c r="AA22" s="63">
        <f t="shared" si="9"/>
        <v>1.7123258878106715</v>
      </c>
      <c r="AB22" s="63">
        <f t="shared" si="9"/>
        <v>1.9134363779167405</v>
      </c>
      <c r="AC22" s="63">
        <f t="shared" si="9"/>
        <v>2.1145468680228094</v>
      </c>
      <c r="AD22" s="63">
        <v>2.315657358128878</v>
      </c>
      <c r="AE22" s="88"/>
    </row>
    <row r="23" spans="1:31" x14ac:dyDescent="0.35">
      <c r="A23" s="88" t="s">
        <v>30</v>
      </c>
      <c r="B23" s="88"/>
      <c r="C23" s="88" t="s">
        <v>35</v>
      </c>
      <c r="D23" s="63">
        <v>3</v>
      </c>
      <c r="E23" s="63">
        <f t="shared" si="5"/>
        <v>3.8333333333333335</v>
      </c>
      <c r="F23" s="63">
        <f t="shared" si="5"/>
        <v>4.666666666666667</v>
      </c>
      <c r="G23" s="63">
        <f t="shared" si="5"/>
        <v>5.5</v>
      </c>
      <c r="H23" s="63">
        <f t="shared" si="5"/>
        <v>6.333333333333333</v>
      </c>
      <c r="I23" s="63">
        <f t="shared" si="5"/>
        <v>7.1666666666666661</v>
      </c>
      <c r="J23" s="63">
        <v>8</v>
      </c>
      <c r="K23" s="63">
        <f t="shared" si="6"/>
        <v>10.199999999999999</v>
      </c>
      <c r="L23" s="63">
        <f t="shared" si="6"/>
        <v>12.399999999999999</v>
      </c>
      <c r="M23" s="63">
        <f t="shared" si="6"/>
        <v>14.599999999999998</v>
      </c>
      <c r="N23" s="63">
        <f t="shared" si="6"/>
        <v>16.799999999999997</v>
      </c>
      <c r="O23" s="63">
        <v>19</v>
      </c>
      <c r="P23" s="63">
        <f t="shared" si="7"/>
        <v>23</v>
      </c>
      <c r="Q23" s="63">
        <f t="shared" si="7"/>
        <v>27</v>
      </c>
      <c r="R23" s="63">
        <f t="shared" si="7"/>
        <v>31</v>
      </c>
      <c r="S23" s="63">
        <f t="shared" si="7"/>
        <v>35</v>
      </c>
      <c r="T23" s="63">
        <v>39</v>
      </c>
      <c r="U23" s="63">
        <f t="shared" si="8"/>
        <v>43.6</v>
      </c>
      <c r="V23" s="63">
        <f t="shared" si="8"/>
        <v>48.2</v>
      </c>
      <c r="W23" s="63">
        <f t="shared" si="8"/>
        <v>52.800000000000004</v>
      </c>
      <c r="X23" s="63">
        <f t="shared" si="8"/>
        <v>57.400000000000006</v>
      </c>
      <c r="Y23" s="63">
        <v>62</v>
      </c>
      <c r="Z23" s="63">
        <f t="shared" si="9"/>
        <v>67.400000000000006</v>
      </c>
      <c r="AA23" s="63">
        <f t="shared" si="9"/>
        <v>72.800000000000011</v>
      </c>
      <c r="AB23" s="63">
        <f t="shared" si="9"/>
        <v>78.200000000000017</v>
      </c>
      <c r="AC23" s="63">
        <f t="shared" si="9"/>
        <v>83.600000000000023</v>
      </c>
      <c r="AD23" s="63">
        <v>89</v>
      </c>
      <c r="AE23" s="88"/>
    </row>
    <row r="24" spans="1:31" x14ac:dyDescent="0.35">
      <c r="A24" s="88" t="s">
        <v>30</v>
      </c>
      <c r="B24" s="88"/>
      <c r="C24" s="88" t="s">
        <v>121</v>
      </c>
      <c r="D24" s="63">
        <v>3808.3606649666053</v>
      </c>
      <c r="E24" s="63">
        <v>5063.9625989576198</v>
      </c>
      <c r="F24" s="63">
        <v>6319.5645329486342</v>
      </c>
      <c r="G24" s="63">
        <v>7575.1664669396487</v>
      </c>
      <c r="H24" s="63">
        <v>8830.7684009306613</v>
      </c>
      <c r="I24" s="63">
        <v>10086.370334921676</v>
      </c>
      <c r="J24" s="63">
        <v>11341.97226891269</v>
      </c>
      <c r="K24" s="63">
        <v>12597.574202903706</v>
      </c>
      <c r="L24" s="63">
        <v>13853.176136894721</v>
      </c>
      <c r="M24" s="63">
        <v>15108.778070885735</v>
      </c>
      <c r="N24" s="63">
        <v>16364.38000487675</v>
      </c>
      <c r="O24" s="63">
        <v>17619.981938867764</v>
      </c>
      <c r="P24" s="63">
        <v>18875.583872858777</v>
      </c>
      <c r="Q24" s="63">
        <v>20131.185806849793</v>
      </c>
      <c r="R24" s="63">
        <v>21386.787740840809</v>
      </c>
      <c r="S24" s="63">
        <v>22642.389674831822</v>
      </c>
      <c r="T24" s="63">
        <v>23897.991608822835</v>
      </c>
      <c r="U24" s="63">
        <v>25153.593542813855</v>
      </c>
      <c r="V24" s="63">
        <v>26409.195476804874</v>
      </c>
      <c r="W24" s="63">
        <v>27664.797410795891</v>
      </c>
      <c r="X24" s="63">
        <v>28920.399344786907</v>
      </c>
      <c r="Y24" s="63">
        <v>30176.001278777927</v>
      </c>
      <c r="Z24" s="63">
        <v>31431.603212768947</v>
      </c>
      <c r="AA24" s="63">
        <v>32687.205146759963</v>
      </c>
      <c r="AB24" s="63">
        <v>33942.807080750979</v>
      </c>
      <c r="AC24" s="63">
        <v>35198.409014741999</v>
      </c>
      <c r="AD24" s="63">
        <v>36454.01094873299</v>
      </c>
      <c r="AE24" s="88"/>
    </row>
    <row r="25" spans="1:31" x14ac:dyDescent="0.35">
      <c r="A25" s="88" t="s">
        <v>30</v>
      </c>
      <c r="B25" s="88"/>
      <c r="C25" s="88" t="s">
        <v>122</v>
      </c>
      <c r="D25" s="63">
        <v>192864.66620394157</v>
      </c>
      <c r="E25" s="63">
        <v>195239.2419650236</v>
      </c>
      <c r="F25" s="63">
        <v>196366.76544203321</v>
      </c>
      <c r="G25" s="63">
        <v>197525.37556068008</v>
      </c>
      <c r="H25" s="63">
        <v>198743.92387830256</v>
      </c>
      <c r="I25" s="63">
        <v>200140.93841202525</v>
      </c>
      <c r="J25" s="63">
        <v>201537.7102617296</v>
      </c>
      <c r="K25" s="63">
        <v>203264.35975945235</v>
      </c>
      <c r="L25" s="63">
        <v>205020.85839510098</v>
      </c>
      <c r="M25" s="63">
        <v>206857.30160898238</v>
      </c>
      <c r="N25" s="63">
        <v>208717.85370976047</v>
      </c>
      <c r="O25" s="63">
        <v>210603.18149647751</v>
      </c>
      <c r="P25" s="63">
        <v>212516.40688715709</v>
      </c>
      <c r="Q25" s="63">
        <v>214384.67967973242</v>
      </c>
      <c r="R25" s="63">
        <v>216269.29220061237</v>
      </c>
      <c r="S25" s="63">
        <v>218166.20327483438</v>
      </c>
      <c r="T25" s="63">
        <v>220084.66189887849</v>
      </c>
      <c r="U25" s="63">
        <v>221841.85132365467</v>
      </c>
      <c r="V25" s="63">
        <v>223594.26978343775</v>
      </c>
      <c r="W25" s="63">
        <v>225336.52091265519</v>
      </c>
      <c r="X25" s="63">
        <v>227080.15135791432</v>
      </c>
      <c r="Y25" s="63">
        <v>228568.34604359462</v>
      </c>
      <c r="Z25" s="63">
        <v>230020.42486390745</v>
      </c>
      <c r="AA25" s="63">
        <v>231425.48689332735</v>
      </c>
      <c r="AB25" s="63">
        <v>232792.66409110834</v>
      </c>
      <c r="AC25" s="63">
        <v>233827.47214176381</v>
      </c>
      <c r="AD25" s="63">
        <v>234770.96970999555</v>
      </c>
      <c r="AE25" s="88"/>
    </row>
    <row r="26" spans="1:31" s="82" customFormat="1" x14ac:dyDescent="0.35">
      <c r="A26" s="88" t="s">
        <v>30</v>
      </c>
      <c r="B26" s="88"/>
      <c r="C26" s="88" t="s">
        <v>123</v>
      </c>
      <c r="D26" s="63">
        <v>15863.893130854603</v>
      </c>
      <c r="E26" s="63">
        <v>17648.235031002652</v>
      </c>
      <c r="F26" s="63">
        <v>18532.236689999794</v>
      </c>
      <c r="G26" s="63">
        <v>19475.112681928011</v>
      </c>
      <c r="H26" s="63">
        <v>20493.71854997455</v>
      </c>
      <c r="I26" s="63">
        <v>21703.204276026223</v>
      </c>
      <c r="J26" s="63">
        <v>22946.050699999509</v>
      </c>
      <c r="K26" s="63">
        <v>24548.26486804448</v>
      </c>
      <c r="L26" s="63">
        <v>26220.989372549484</v>
      </c>
      <c r="M26" s="63">
        <v>28058.997685781676</v>
      </c>
      <c r="N26" s="63">
        <v>29994.707022833591</v>
      </c>
      <c r="O26" s="63">
        <v>32011.425891947838</v>
      </c>
      <c r="P26" s="63">
        <v>34129.673408907925</v>
      </c>
      <c r="Q26" s="63">
        <v>36251.576659394232</v>
      </c>
      <c r="R26" s="63">
        <v>38482.292306296302</v>
      </c>
      <c r="S26" s="63">
        <v>40781.781464548454</v>
      </c>
      <c r="T26" s="63">
        <v>43190.558793671822</v>
      </c>
      <c r="U26" s="63">
        <v>45461.093625999209</v>
      </c>
      <c r="V26" s="63">
        <v>47797.3220414936</v>
      </c>
      <c r="W26" s="63">
        <v>50173.624201748113</v>
      </c>
      <c r="X26" s="63">
        <v>52592.349260380004</v>
      </c>
      <c r="Y26" s="63">
        <v>54727.119526493792</v>
      </c>
      <c r="Z26" s="63">
        <v>56855.98510471324</v>
      </c>
      <c r="AA26" s="63">
        <v>58972.670120360293</v>
      </c>
      <c r="AB26" s="63">
        <v>61079.371371193629</v>
      </c>
      <c r="AC26" s="63">
        <v>62711.988881723832</v>
      </c>
      <c r="AD26" s="63">
        <v>64234.559659609338</v>
      </c>
      <c r="AE26" s="88"/>
    </row>
    <row r="27" spans="1:31" s="82" customFormat="1" x14ac:dyDescent="0.35">
      <c r="A27" s="88" t="s">
        <v>39</v>
      </c>
      <c r="B27" s="88"/>
      <c r="C27" s="88" t="s">
        <v>165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4.4000000000000004</v>
      </c>
      <c r="Z27" s="63">
        <v>26.799999999999997</v>
      </c>
      <c r="AA27" s="63">
        <v>49.199999999999996</v>
      </c>
      <c r="AB27" s="63">
        <v>71.599999999999994</v>
      </c>
      <c r="AC27" s="63">
        <v>94</v>
      </c>
      <c r="AD27" s="63">
        <v>116.4</v>
      </c>
      <c r="AE27" s="88"/>
    </row>
    <row r="28" spans="1:31" x14ac:dyDescent="0.35">
      <c r="A28" s="88" t="s">
        <v>39</v>
      </c>
      <c r="B28" s="88"/>
      <c r="C28" s="88" t="s">
        <v>166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8.2100000000000009</v>
      </c>
      <c r="T28" s="63">
        <v>135.97499999999999</v>
      </c>
      <c r="U28" s="63">
        <v>263.74</v>
      </c>
      <c r="V28" s="63">
        <v>391.505</v>
      </c>
      <c r="W28" s="63">
        <v>519.27</v>
      </c>
      <c r="X28" s="63">
        <v>647.03499999999997</v>
      </c>
      <c r="Y28" s="63">
        <v>774.8</v>
      </c>
      <c r="Z28" s="63">
        <v>1007.1081818181817</v>
      </c>
      <c r="AA28" s="63">
        <v>1239.4163636363635</v>
      </c>
      <c r="AB28" s="63">
        <v>1471.7245454545453</v>
      </c>
      <c r="AC28" s="63">
        <v>1704.032727272727</v>
      </c>
      <c r="AD28" s="63">
        <v>2563.6</v>
      </c>
      <c r="AE28" s="10"/>
    </row>
    <row r="29" spans="1:31" x14ac:dyDescent="0.35">
      <c r="A29" s="88" t="s">
        <v>39</v>
      </c>
      <c r="B29" s="88"/>
      <c r="C29" s="88" t="s">
        <v>32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8.2018995396686023</v>
      </c>
      <c r="T29" s="63">
        <f t="shared" ref="T29:X29" si="10">S29+(($Y29-$S29)/(COLUMN($Y29)-COLUMN($S29)))</f>
        <v>14.151582949723835</v>
      </c>
      <c r="U29" s="63">
        <f t="shared" si="10"/>
        <v>20.101266359779068</v>
      </c>
      <c r="V29" s="63">
        <f t="shared" si="10"/>
        <v>26.0509497698343</v>
      </c>
      <c r="W29" s="63">
        <f t="shared" si="10"/>
        <v>32.000633179889533</v>
      </c>
      <c r="X29" s="63">
        <f t="shared" si="10"/>
        <v>37.950316589944762</v>
      </c>
      <c r="Y29" s="63">
        <v>43.9</v>
      </c>
      <c r="Z29" s="63">
        <f t="shared" ref="Z29:AC32" si="11">Y29+(($AD29-$Y29)/(COLUMN($AD29)-COLUMN($Y29)))</f>
        <v>73.441199999999995</v>
      </c>
      <c r="AA29" s="63">
        <f t="shared" si="11"/>
        <v>102.98239999999998</v>
      </c>
      <c r="AB29" s="63">
        <f t="shared" si="11"/>
        <v>132.52359999999999</v>
      </c>
      <c r="AC29" s="63">
        <f t="shared" si="11"/>
        <v>162.06479999999999</v>
      </c>
      <c r="AD29" s="63">
        <v>191.60599999999999</v>
      </c>
      <c r="AE29" s="10"/>
    </row>
    <row r="30" spans="1:31" x14ac:dyDescent="0.35">
      <c r="A30" s="88" t="s">
        <v>39</v>
      </c>
      <c r="B30" s="88"/>
      <c r="C30" s="88" t="s">
        <v>33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9.6361683621454773E-3</v>
      </c>
      <c r="T30" s="63">
        <f t="shared" ref="T30:X30" si="12">S30+(($Y30-$S30)/(COLUMN($Y30)-COLUMN($S30)))</f>
        <v>2.8912508666698642</v>
      </c>
      <c r="U30" s="63">
        <f t="shared" si="12"/>
        <v>5.7728655649775824</v>
      </c>
      <c r="V30" s="63">
        <f t="shared" si="12"/>
        <v>8.6544802632853006</v>
      </c>
      <c r="W30" s="63">
        <f t="shared" si="12"/>
        <v>11.536094961593019</v>
      </c>
      <c r="X30" s="63">
        <f t="shared" si="12"/>
        <v>14.417709659900737</v>
      </c>
      <c r="Y30" s="63">
        <v>17.299324358208459</v>
      </c>
      <c r="Z30" s="63">
        <f t="shared" si="11"/>
        <v>42.176487146029331</v>
      </c>
      <c r="AA30" s="63">
        <f t="shared" si="11"/>
        <v>67.05364993385021</v>
      </c>
      <c r="AB30" s="63">
        <f t="shared" si="11"/>
        <v>91.930812721671089</v>
      </c>
      <c r="AC30" s="63">
        <f t="shared" si="11"/>
        <v>116.80797550949197</v>
      </c>
      <c r="AD30" s="63">
        <v>141.68513829731282</v>
      </c>
      <c r="AE30" s="88"/>
    </row>
    <row r="31" spans="1:31" x14ac:dyDescent="0.35">
      <c r="A31" s="88" t="s">
        <v>39</v>
      </c>
      <c r="B31" s="88"/>
      <c r="C31" s="88" t="s">
        <v>34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9.6361683621454773E-3</v>
      </c>
      <c r="T31" s="63">
        <f t="shared" ref="T31:X31" si="13">S31+(($Y31-$S31)/(COLUMN($Y31)-COLUMN($S31)))</f>
        <v>0.16038253333653099</v>
      </c>
      <c r="U31" s="63">
        <f t="shared" si="13"/>
        <v>0.3111288983109165</v>
      </c>
      <c r="V31" s="63">
        <f t="shared" si="13"/>
        <v>0.46187526328530204</v>
      </c>
      <c r="W31" s="63">
        <f t="shared" si="13"/>
        <v>0.61262162825968758</v>
      </c>
      <c r="X31" s="63">
        <f t="shared" si="13"/>
        <v>0.76336799323407312</v>
      </c>
      <c r="Y31" s="63">
        <v>0.91411435820845843</v>
      </c>
      <c r="Z31" s="63">
        <f t="shared" si="11"/>
        <v>1.1707458181787915</v>
      </c>
      <c r="AA31" s="63">
        <f t="shared" si="11"/>
        <v>1.4273772781491245</v>
      </c>
      <c r="AB31" s="63">
        <f t="shared" si="11"/>
        <v>1.6840087381194575</v>
      </c>
      <c r="AC31" s="63">
        <f t="shared" si="11"/>
        <v>1.9406401980897905</v>
      </c>
      <c r="AD31" s="63">
        <v>2.1972716580601239</v>
      </c>
      <c r="AE31" s="88"/>
    </row>
    <row r="32" spans="1:31" x14ac:dyDescent="0.35">
      <c r="A32" s="88" t="s">
        <v>39</v>
      </c>
      <c r="B32" s="88"/>
      <c r="C32" s="88" t="s">
        <v>35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1</v>
      </c>
      <c r="T32" s="63">
        <f t="shared" ref="T32:X32" si="14">S32+(($Y32-$S32)/(COLUMN($Y32)-COLUMN($S32)))</f>
        <v>4.1666666666666661</v>
      </c>
      <c r="U32" s="63">
        <f t="shared" si="14"/>
        <v>7.3333333333333321</v>
      </c>
      <c r="V32" s="63">
        <f t="shared" si="14"/>
        <v>10.499999999999998</v>
      </c>
      <c r="W32" s="63">
        <f t="shared" si="14"/>
        <v>13.666666666666664</v>
      </c>
      <c r="X32" s="63">
        <f t="shared" si="14"/>
        <v>16.833333333333332</v>
      </c>
      <c r="Y32" s="63">
        <v>20</v>
      </c>
      <c r="Z32" s="63">
        <f t="shared" si="11"/>
        <v>27</v>
      </c>
      <c r="AA32" s="63">
        <f t="shared" si="11"/>
        <v>34</v>
      </c>
      <c r="AB32" s="63">
        <f t="shared" si="11"/>
        <v>41</v>
      </c>
      <c r="AC32" s="63">
        <f t="shared" si="11"/>
        <v>48</v>
      </c>
      <c r="AD32" s="63">
        <v>55</v>
      </c>
      <c r="AE32" s="88"/>
    </row>
    <row r="33" spans="1:30" x14ac:dyDescent="0.35">
      <c r="A33" s="88" t="s">
        <v>143</v>
      </c>
      <c r="B33" s="88" t="s">
        <v>124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109027.61478450769</v>
      </c>
      <c r="T33" s="63">
        <v>442656.83404163271</v>
      </c>
      <c r="U33" s="63">
        <v>1239691.6645075537</v>
      </c>
      <c r="V33" s="63">
        <v>1787060.3534027599</v>
      </c>
      <c r="W33" s="63">
        <v>3012656.4586254973</v>
      </c>
      <c r="X33" s="63">
        <v>4169561.0810487596</v>
      </c>
      <c r="Y33" s="63">
        <v>5860639.5572687518</v>
      </c>
      <c r="Z33" s="63">
        <v>7819099.0819575973</v>
      </c>
      <c r="AA33" s="63">
        <v>10867097.521745676</v>
      </c>
      <c r="AB33" s="63">
        <v>14430997.466959035</v>
      </c>
      <c r="AC33" s="63">
        <v>17975698.050675157</v>
      </c>
      <c r="AD33" s="63">
        <v>22322358.525836673</v>
      </c>
    </row>
    <row r="34" spans="1:30" x14ac:dyDescent="0.35">
      <c r="A34" s="88" t="s">
        <v>143</v>
      </c>
      <c r="B34" s="88" t="s">
        <v>145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652246.86408922647</v>
      </c>
      <c r="T34" s="63">
        <v>2544977.5561976298</v>
      </c>
      <c r="U34" s="63">
        <v>7098480.4129135292</v>
      </c>
      <c r="V34" s="63">
        <v>8476794.3667173889</v>
      </c>
      <c r="W34" s="63">
        <v>13732010.062810162</v>
      </c>
      <c r="X34" s="63">
        <v>18128908.131554667</v>
      </c>
      <c r="Y34" s="63">
        <v>25794189.396721873</v>
      </c>
      <c r="Z34" s="63">
        <v>33688627.498959161</v>
      </c>
      <c r="AA34" s="63">
        <v>48106360.447177172</v>
      </c>
      <c r="AB34" s="63">
        <v>64467165.395081632</v>
      </c>
      <c r="AC34" s="63">
        <v>80562703.959580764</v>
      </c>
      <c r="AD34" s="63">
        <v>99888751.995720044</v>
      </c>
    </row>
    <row r="35" spans="1:30" x14ac:dyDescent="0.35">
      <c r="A35" s="88" t="s">
        <v>146</v>
      </c>
      <c r="B35" s="88" t="s">
        <v>124</v>
      </c>
      <c r="C35" s="88" t="s">
        <v>144</v>
      </c>
      <c r="D35" s="63">
        <v>1269.4984609921005</v>
      </c>
      <c r="E35" s="19">
        <f>D35+($J35-$D35)/(COLUMN($J35)-COLUMN($D35))</f>
        <v>3507.3998571021511</v>
      </c>
      <c r="F35" s="19">
        <f t="shared" ref="F35:I36" si="15">E35+($J35-$D35)/(COLUMN($J35)-COLUMN($D35))</f>
        <v>5745.301253212202</v>
      </c>
      <c r="G35" s="19">
        <f t="shared" si="15"/>
        <v>7983.2026493222529</v>
      </c>
      <c r="H35" s="19">
        <f t="shared" si="15"/>
        <v>10221.104045432305</v>
      </c>
      <c r="I35" s="19">
        <f t="shared" si="15"/>
        <v>12459.005441542355</v>
      </c>
      <c r="J35" s="63">
        <v>14696.906837652406</v>
      </c>
      <c r="K35" s="19">
        <f>J35+($O35-$J35)/(COLUMN($O35)-COLUMN($J35))</f>
        <v>22693.654967461</v>
      </c>
      <c r="L35" s="19">
        <f t="shared" ref="L35:N36" si="16">K35+($O35-$J35)/(COLUMN($O35)-COLUMN($J35))</f>
        <v>30690.403097269591</v>
      </c>
      <c r="M35" s="19">
        <f t="shared" si="16"/>
        <v>38687.151227078182</v>
      </c>
      <c r="N35" s="19">
        <f t="shared" si="16"/>
        <v>46683.899356886774</v>
      </c>
      <c r="O35" s="63">
        <v>54680.647486695365</v>
      </c>
      <c r="P35" s="19">
        <f>O35+($T35-$O35)/(COLUMN($T35)-COLUMN($O35))</f>
        <v>88479.904052097627</v>
      </c>
      <c r="Q35" s="19">
        <f t="shared" ref="Q35:S36" si="17">P35+($T35-$O35)/(COLUMN($T35)-COLUMN($O35))</f>
        <v>122279.16061749989</v>
      </c>
      <c r="R35" s="19">
        <f t="shared" si="17"/>
        <v>156078.41718290217</v>
      </c>
      <c r="S35" s="19">
        <f t="shared" si="17"/>
        <v>189877.67374830443</v>
      </c>
      <c r="T35" s="63">
        <v>223676.93031370669</v>
      </c>
      <c r="U35" s="19">
        <f>T35+($Y35-$T35)/(COLUMN($Y35)-COLUMN($T35))</f>
        <v>305841.01248605695</v>
      </c>
      <c r="V35" s="19">
        <f t="shared" ref="V35:X36" si="18">U35+($Y35-$T35)/(COLUMN($Y35)-COLUMN($T35))</f>
        <v>388005.09465840721</v>
      </c>
      <c r="W35" s="19">
        <f t="shared" si="18"/>
        <v>470169.17683075747</v>
      </c>
      <c r="X35" s="19">
        <f t="shared" si="18"/>
        <v>552333.25900310779</v>
      </c>
      <c r="Y35" s="63">
        <v>634497.34117545804</v>
      </c>
      <c r="Z35" s="19">
        <f>Y35+($AD35-$Y35)/(COLUMN($AD35)-COLUMN($Y35))</f>
        <v>764402.98752623517</v>
      </c>
      <c r="AA35" s="19">
        <f t="shared" ref="AA35:AA36" si="19">Z35+($AD35-$Y35)/(COLUMN($AD35)-COLUMN($Y35))</f>
        <v>894308.6338770123</v>
      </c>
      <c r="AB35" s="19">
        <f>AA35+($AD35-$Y35)/(COLUMN($AD35)-COLUMN($Y35))</f>
        <v>1024214.2802277894</v>
      </c>
      <c r="AC35" s="19">
        <f t="shared" ref="AC35:AC36" si="20">AB35+($AD35-$Y35)/(COLUMN($AD35)-COLUMN($Y35))</f>
        <v>1154119.9265785664</v>
      </c>
      <c r="AD35" s="63">
        <v>1284025.5729293437</v>
      </c>
    </row>
    <row r="36" spans="1:30" x14ac:dyDescent="0.35">
      <c r="A36" s="88" t="s">
        <v>146</v>
      </c>
      <c r="B36" s="88" t="s">
        <v>145</v>
      </c>
      <c r="C36" s="88" t="s">
        <v>144</v>
      </c>
      <c r="D36" s="63">
        <v>5267.7658737530246</v>
      </c>
      <c r="E36" s="19">
        <f>D36+($J36-$D36)/(COLUMN($J36)-COLUMN($D36))</f>
        <v>14553.906003485823</v>
      </c>
      <c r="F36" s="19">
        <f t="shared" si="15"/>
        <v>23840.046133218624</v>
      </c>
      <c r="G36" s="19">
        <f t="shared" si="15"/>
        <v>33126.186262951422</v>
      </c>
      <c r="H36" s="19">
        <f t="shared" si="15"/>
        <v>42412.326392684219</v>
      </c>
      <c r="I36" s="19">
        <f t="shared" si="15"/>
        <v>51698.466522417017</v>
      </c>
      <c r="J36" s="63">
        <v>60984.606652149814</v>
      </c>
      <c r="K36" s="19">
        <f>J36+($O36-$J36)/(COLUMN($O36)-COLUMN($J36))</f>
        <v>94166.99969442554</v>
      </c>
      <c r="L36" s="19">
        <f t="shared" si="16"/>
        <v>127349.39273670127</v>
      </c>
      <c r="M36" s="19">
        <f t="shared" si="16"/>
        <v>160531.78577897698</v>
      </c>
      <c r="N36" s="19">
        <f t="shared" si="16"/>
        <v>193714.17882125272</v>
      </c>
      <c r="O36" s="63">
        <v>226896.57186352843</v>
      </c>
      <c r="P36" s="19">
        <f>O36+($T36-$O36)/(COLUMN($T36)-COLUMN($O36))</f>
        <v>367146.10801050987</v>
      </c>
      <c r="Q36" s="19">
        <f t="shared" si="17"/>
        <v>507395.64415749128</v>
      </c>
      <c r="R36" s="19">
        <f t="shared" si="17"/>
        <v>647645.18030447268</v>
      </c>
      <c r="S36" s="19">
        <f t="shared" si="17"/>
        <v>787894.71645145409</v>
      </c>
      <c r="T36" s="63">
        <v>928144.2525984355</v>
      </c>
      <c r="U36" s="19">
        <f>T36+($Y36-$T36)/(COLUMN($Y36)-COLUMN($T36))</f>
        <v>1269082.9472207988</v>
      </c>
      <c r="V36" s="19">
        <f t="shared" si="18"/>
        <v>1610021.641843162</v>
      </c>
      <c r="W36" s="19">
        <f t="shared" si="18"/>
        <v>1950960.3364655254</v>
      </c>
      <c r="X36" s="19">
        <f t="shared" si="18"/>
        <v>2291899.0310878889</v>
      </c>
      <c r="Y36" s="63">
        <v>2632837.7257102523</v>
      </c>
      <c r="Z36" s="19">
        <f>Y36+($AD36-$Y36)/(COLUMN($AD36)-COLUMN($Y36))</f>
        <v>3171879.3643426215</v>
      </c>
      <c r="AA36" s="19">
        <f t="shared" si="19"/>
        <v>3710921.0029749908</v>
      </c>
      <c r="AB36" s="19">
        <f>AA36+($AD36-$Y36)/(COLUMN($AD36)-COLUMN($Y36))</f>
        <v>4249962.64160736</v>
      </c>
      <c r="AC36" s="19">
        <f t="shared" si="20"/>
        <v>4789004.2802397292</v>
      </c>
      <c r="AD36" s="63">
        <v>5328045.9188720975</v>
      </c>
    </row>
    <row r="37" spans="1:30" ht="29" x14ac:dyDescent="0.35">
      <c r="A37" s="3" t="s">
        <v>147</v>
      </c>
      <c r="B37" s="3" t="s">
        <v>148</v>
      </c>
      <c r="C37" s="88" t="s">
        <v>144</v>
      </c>
      <c r="D37" s="63">
        <v>4851900.5486829933</v>
      </c>
      <c r="E37" s="63">
        <v>5548844.3300555516</v>
      </c>
      <c r="F37" s="63">
        <v>5954616.7726334753</v>
      </c>
      <c r="G37" s="63">
        <v>6363779.4526433833</v>
      </c>
      <c r="H37" s="63">
        <v>6862697.0831286758</v>
      </c>
      <c r="I37" s="63">
        <v>7430779.6337906746</v>
      </c>
      <c r="J37" s="63">
        <v>7958090.1696787169</v>
      </c>
      <c r="K37" s="63">
        <v>8741153.0658613946</v>
      </c>
      <c r="L37" s="63">
        <v>9549664.1025375165</v>
      </c>
      <c r="M37" s="63">
        <v>10292607.096280362</v>
      </c>
      <c r="N37" s="63">
        <v>11249460.561061727</v>
      </c>
      <c r="O37" s="63">
        <v>12276853.639271129</v>
      </c>
      <c r="P37" s="63">
        <v>13383547.522738636</v>
      </c>
      <c r="Q37" s="63">
        <v>14497043.817288639</v>
      </c>
      <c r="R37" s="63">
        <v>15635893.67975487</v>
      </c>
      <c r="S37" s="63">
        <v>16957354.939872339</v>
      </c>
      <c r="T37" s="63">
        <v>18318405.619574133</v>
      </c>
      <c r="U37" s="63">
        <v>19745850.774965178</v>
      </c>
      <c r="V37" s="63">
        <v>21095026.297130056</v>
      </c>
      <c r="W37" s="63">
        <v>22704288.873824503</v>
      </c>
      <c r="X37" s="63">
        <v>24150941.08390535</v>
      </c>
      <c r="Y37" s="63">
        <v>25640390.025576863</v>
      </c>
      <c r="Z37" s="63">
        <v>27294530.676883005</v>
      </c>
      <c r="AA37" s="63">
        <v>28943497.249719981</v>
      </c>
      <c r="AB37" s="63">
        <v>30674535.32627473</v>
      </c>
      <c r="AC37" s="63">
        <v>32278079.823059451</v>
      </c>
      <c r="AD37" s="63">
        <v>33822039.209754735</v>
      </c>
    </row>
    <row r="39" spans="1:30" x14ac:dyDescent="0.35">
      <c r="A39" s="88"/>
      <c r="B39" s="88"/>
      <c r="C39" s="88" t="s">
        <v>149</v>
      </c>
      <c r="D39" s="63">
        <f>'Cost Assumptions'!$B$4</f>
        <v>40</v>
      </c>
      <c r="E39" s="63">
        <f>D39*'Cost Assumptions'!$B$5</f>
        <v>41</v>
      </c>
      <c r="F39" s="63">
        <f>E39*'Cost Assumptions'!$B$5</f>
        <v>42.024999999999999</v>
      </c>
      <c r="G39" s="63">
        <f>F39*'Cost Assumptions'!$B$5</f>
        <v>43.075624999999995</v>
      </c>
      <c r="H39" s="10">
        <f>G39*'Cost Assumptions'!$B$5</f>
        <v>44.152515624999992</v>
      </c>
      <c r="I39" s="10">
        <f>H39*'Cost Assumptions'!$B$5</f>
        <v>45.256328515624986</v>
      </c>
      <c r="J39" s="10">
        <f>I39*'Cost Assumptions'!$B$5</f>
        <v>46.387736728515605</v>
      </c>
      <c r="K39" s="10">
        <f>J39*'Cost Assumptions'!$B$5</f>
        <v>47.547430146728495</v>
      </c>
      <c r="L39" s="10">
        <f>K39*'Cost Assumptions'!$B$5</f>
        <v>48.736115900396705</v>
      </c>
      <c r="M39" s="10">
        <f>L39*'Cost Assumptions'!$B$5</f>
        <v>49.954518797906616</v>
      </c>
      <c r="N39" s="10">
        <f>M39*'Cost Assumptions'!$B$5</f>
        <v>51.203381767854275</v>
      </c>
      <c r="O39" s="10">
        <f>N39*'Cost Assumptions'!$B$5</f>
        <v>52.483466312050624</v>
      </c>
      <c r="P39" s="10">
        <f>O39*'Cost Assumptions'!$B$5</f>
        <v>53.795552969851883</v>
      </c>
      <c r="Q39" s="10">
        <f>P39*'Cost Assumptions'!$B$5</f>
        <v>55.140441794098173</v>
      </c>
      <c r="R39" s="10">
        <f>Q39*'Cost Assumptions'!$B$5</f>
        <v>56.518952838950625</v>
      </c>
      <c r="S39" s="10">
        <f>R39*'Cost Assumptions'!$B$5</f>
        <v>57.931926659924386</v>
      </c>
      <c r="T39" s="10">
        <f>S39*'Cost Assumptions'!$B$5</f>
        <v>59.380224826422491</v>
      </c>
      <c r="U39" s="10">
        <f>T39*'Cost Assumptions'!$B$5</f>
        <v>60.864730447083048</v>
      </c>
      <c r="V39" s="10">
        <f>U39*'Cost Assumptions'!$B$5</f>
        <v>62.386348708260115</v>
      </c>
      <c r="W39" s="10">
        <f>V39*'Cost Assumptions'!$B$5</f>
        <v>63.946007425966613</v>
      </c>
      <c r="X39" s="10">
        <f>W39*'Cost Assumptions'!$B$5</f>
        <v>65.544657611615776</v>
      </c>
      <c r="Y39" s="10">
        <f>X39*'Cost Assumptions'!$B$5</f>
        <v>67.183274051906167</v>
      </c>
      <c r="Z39" s="10">
        <f>Y39*'Cost Assumptions'!$B$5</f>
        <v>68.862855903203823</v>
      </c>
      <c r="AA39" s="10">
        <f>Z39*'Cost Assumptions'!$B$5</f>
        <v>70.584427300783915</v>
      </c>
      <c r="AB39" s="10">
        <f>AA39*'Cost Assumptions'!$B$5</f>
        <v>72.349037983303504</v>
      </c>
      <c r="AC39" s="10">
        <f>AB39*'Cost Assumptions'!$B$5</f>
        <v>74.157763932886084</v>
      </c>
      <c r="AD39" s="10">
        <f>AC39*'Cost Assumptions'!$B$5</f>
        <v>76.011708031208229</v>
      </c>
    </row>
    <row r="40" spans="1:30" x14ac:dyDescent="0.35">
      <c r="A40" s="88"/>
      <c r="B40" s="88"/>
      <c r="C40" s="88"/>
      <c r="D40" s="88"/>
      <c r="E40" s="88"/>
      <c r="F40" s="88"/>
      <c r="G40" s="63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 ht="23.5" x14ac:dyDescent="0.55000000000000004">
      <c r="A41" s="88"/>
      <c r="B41" s="167" t="s">
        <v>150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</row>
    <row r="42" spans="1:30" ht="20" thickBot="1" x14ac:dyDescent="0.5">
      <c r="A42" s="117"/>
      <c r="B42" s="128" t="s">
        <v>151</v>
      </c>
      <c r="C42" s="117" t="s">
        <v>118</v>
      </c>
      <c r="D42" s="117">
        <v>2022</v>
      </c>
      <c r="E42" s="117">
        <v>2023</v>
      </c>
      <c r="F42" s="117">
        <v>2024</v>
      </c>
      <c r="G42" s="117">
        <v>2025</v>
      </c>
      <c r="H42" s="117">
        <v>2026</v>
      </c>
      <c r="I42" s="117">
        <v>2027</v>
      </c>
      <c r="J42" s="117">
        <v>2028</v>
      </c>
      <c r="K42" s="117">
        <v>2029</v>
      </c>
      <c r="L42" s="117">
        <v>2030</v>
      </c>
      <c r="M42" s="117">
        <v>2031</v>
      </c>
      <c r="N42" s="117">
        <v>2032</v>
      </c>
      <c r="O42" s="117">
        <v>2033</v>
      </c>
      <c r="P42" s="117">
        <v>2034</v>
      </c>
      <c r="Q42" s="117">
        <v>2035</v>
      </c>
      <c r="R42" s="117">
        <v>2036</v>
      </c>
      <c r="S42" s="117">
        <v>2037</v>
      </c>
      <c r="T42" s="117">
        <v>2038</v>
      </c>
      <c r="U42" s="117">
        <v>2039</v>
      </c>
      <c r="V42" s="117">
        <v>2040</v>
      </c>
      <c r="W42" s="117">
        <v>2041</v>
      </c>
      <c r="X42" s="117">
        <v>2042</v>
      </c>
      <c r="Y42" s="117">
        <v>2043</v>
      </c>
      <c r="Z42" s="117">
        <v>2044</v>
      </c>
      <c r="AA42" s="117">
        <v>2045</v>
      </c>
      <c r="AB42" s="117">
        <v>2046</v>
      </c>
      <c r="AC42" s="117">
        <v>2047</v>
      </c>
      <c r="AD42" s="117">
        <v>2048</v>
      </c>
    </row>
    <row r="43" spans="1:30" ht="15" thickTop="1" x14ac:dyDescent="0.35">
      <c r="A43" s="5">
        <f t="shared" ref="A43:A57" si="21">SUM(D43:AD43)/1000</f>
        <v>19.220962499993131</v>
      </c>
      <c r="B43" s="11">
        <f>NPV('Cost Assumptions'!$B$3,'Valley South to Valley North'!D43:'Valley South to Valley North'!AD43)</f>
        <v>5189.5094573972383</v>
      </c>
      <c r="C43" s="88" t="s">
        <v>120</v>
      </c>
      <c r="D43" s="63">
        <f t="shared" ref="D43:AD43" si="22">D2-D18</f>
        <v>338.7999999991298</v>
      </c>
      <c r="E43" s="63">
        <f t="shared" si="22"/>
        <v>367.49903846071538</v>
      </c>
      <c r="F43" s="63">
        <f t="shared" si="22"/>
        <v>396.19807692230097</v>
      </c>
      <c r="G43" s="63">
        <f t="shared" si="22"/>
        <v>424.89711538388656</v>
      </c>
      <c r="H43" s="63">
        <f t="shared" si="22"/>
        <v>453.59615384547214</v>
      </c>
      <c r="I43" s="63">
        <f t="shared" si="22"/>
        <v>482.29519230705773</v>
      </c>
      <c r="J43" s="63">
        <f t="shared" si="22"/>
        <v>510.99423076864332</v>
      </c>
      <c r="K43" s="63">
        <f t="shared" si="22"/>
        <v>539.69326923022891</v>
      </c>
      <c r="L43" s="63">
        <f t="shared" si="22"/>
        <v>568.39230769181449</v>
      </c>
      <c r="M43" s="63">
        <f t="shared" si="22"/>
        <v>597.09134615340008</v>
      </c>
      <c r="N43" s="63">
        <f t="shared" si="22"/>
        <v>625.79038461498567</v>
      </c>
      <c r="O43" s="63">
        <f t="shared" si="22"/>
        <v>654.48942307657126</v>
      </c>
      <c r="P43" s="63">
        <f t="shared" si="22"/>
        <v>683.18846153815684</v>
      </c>
      <c r="Q43" s="63">
        <f t="shared" si="22"/>
        <v>711.88749999974243</v>
      </c>
      <c r="R43" s="63">
        <f t="shared" si="22"/>
        <v>740.58653846132802</v>
      </c>
      <c r="S43" s="63">
        <f t="shared" si="22"/>
        <v>769.28557692291361</v>
      </c>
      <c r="T43" s="63">
        <f t="shared" si="22"/>
        <v>797.98461538449919</v>
      </c>
      <c r="U43" s="63">
        <f t="shared" si="22"/>
        <v>826.68365384608478</v>
      </c>
      <c r="V43" s="63">
        <f t="shared" si="22"/>
        <v>855.38269230767037</v>
      </c>
      <c r="W43" s="63">
        <f t="shared" si="22"/>
        <v>884.08173076925596</v>
      </c>
      <c r="X43" s="63">
        <f t="shared" si="22"/>
        <v>912.78076923084154</v>
      </c>
      <c r="Y43" s="63">
        <f t="shared" si="22"/>
        <v>941.47980769242713</v>
      </c>
      <c r="Z43" s="63">
        <f t="shared" si="22"/>
        <v>970.17884615401272</v>
      </c>
      <c r="AA43" s="63">
        <f t="shared" si="22"/>
        <v>998.8778846155983</v>
      </c>
      <c r="AB43" s="63">
        <f t="shared" si="22"/>
        <v>1027.5769230771839</v>
      </c>
      <c r="AC43" s="63">
        <f t="shared" si="22"/>
        <v>1056.2759615387695</v>
      </c>
      <c r="AD43" s="63">
        <f t="shared" si="22"/>
        <v>1084.9750000004424</v>
      </c>
    </row>
    <row r="44" spans="1:30" x14ac:dyDescent="0.35">
      <c r="A44" s="5">
        <f t="shared" si="21"/>
        <v>1144.2806338478113</v>
      </c>
      <c r="B44" s="11">
        <f>NPV('Cost Assumptions'!$B$3,'Valley South to Valley North'!D44:'Valley South to Valley North'!AD44)</f>
        <v>270551.44109136565</v>
      </c>
      <c r="C44" s="88" t="s">
        <v>152</v>
      </c>
      <c r="D44" s="63">
        <f>D43*D39</f>
        <v>13551.999999965192</v>
      </c>
      <c r="E44" s="63">
        <f>E43*E39</f>
        <v>15067.460576889331</v>
      </c>
      <c r="F44" s="63">
        <f>F43*F39</f>
        <v>16650.224182659698</v>
      </c>
      <c r="G44" s="63">
        <f>G43*G39</f>
        <v>18302.708805858027</v>
      </c>
      <c r="H44" s="63">
        <f t="shared" ref="H44:AD44" si="23">H43*H39</f>
        <v>20027.411270102108</v>
      </c>
      <c r="I44" s="63">
        <f t="shared" si="23"/>
        <v>21826.909664554732</v>
      </c>
      <c r="J44" s="63">
        <f t="shared" si="23"/>
        <v>23703.865846686174</v>
      </c>
      <c r="K44" s="63">
        <f t="shared" si="23"/>
        <v>25661.028019383844</v>
      </c>
      <c r="L44" s="63">
        <f t="shared" si="23"/>
        <v>27701.233384562216</v>
      </c>
      <c r="M44" s="63">
        <f t="shared" si="23"/>
        <v>29827.410875487389</v>
      </c>
      <c r="N44" s="63">
        <f t="shared" si="23"/>
        <v>32042.58397009347</v>
      </c>
      <c r="O44" s="63">
        <f t="shared" si="23"/>
        <v>34349.873587632675</v>
      </c>
      <c r="P44" s="63">
        <f t="shared" si="23"/>
        <v>36752.501071067534</v>
      </c>
      <c r="Q44" s="63">
        <f t="shared" si="23"/>
        <v>39253.791257681863</v>
      </c>
      <c r="R44" s="63">
        <f t="shared" si="23"/>
        <v>41857.175640457492</v>
      </c>
      <c r="S44" s="63">
        <f t="shared" si="23"/>
        <v>44566.195622835854</v>
      </c>
      <c r="T44" s="63">
        <f t="shared" si="23"/>
        <v>47384.505869557841</v>
      </c>
      <c r="U44" s="63">
        <f t="shared" si="23"/>
        <v>50315.877756351656</v>
      </c>
      <c r="V44" s="63">
        <f t="shared" si="23"/>
        <v>53364.20292131669</v>
      </c>
      <c r="W44" s="63">
        <f t="shared" si="23"/>
        <v>56533.496920932259</v>
      </c>
      <c r="X44" s="63">
        <f t="shared" si="23"/>
        <v>59827.902993702781</v>
      </c>
      <c r="Y44" s="63">
        <f t="shared" si="23"/>
        <v>63251.695934536248</v>
      </c>
      <c r="Z44" s="63">
        <f t="shared" si="23"/>
        <v>66809.286083040322</v>
      </c>
      <c r="AA44" s="63">
        <f t="shared" si="23"/>
        <v>70505.223429010526</v>
      </c>
      <c r="AB44" s="63">
        <f t="shared" si="23"/>
        <v>74344.201838477326</v>
      </c>
      <c r="AC44" s="63">
        <f t="shared" si="23"/>
        <v>78331.063403774329</v>
      </c>
      <c r="AD44" s="63">
        <f t="shared" si="23"/>
        <v>82470.802921193768</v>
      </c>
    </row>
    <row r="45" spans="1:30" x14ac:dyDescent="0.35">
      <c r="A45" s="5">
        <f t="shared" si="21"/>
        <v>2.7526499999999992</v>
      </c>
      <c r="B45" s="11">
        <f>NPV('Cost Assumptions'!$B$3,'Valley South to Valley North'!D45:'Valley South to Valley North'!AD45)</f>
        <v>399.52411549923175</v>
      </c>
      <c r="C45" s="88" t="s">
        <v>31</v>
      </c>
      <c r="D45" s="63">
        <f t="shared" ref="D45:AD45" si="24">D3-D19</f>
        <v>4.2000000000000171</v>
      </c>
      <c r="E45" s="63">
        <f t="shared" si="24"/>
        <v>6.0166666666666799</v>
      </c>
      <c r="F45" s="63">
        <f t="shared" si="24"/>
        <v>6.7133333333333383</v>
      </c>
      <c r="G45" s="63">
        <f t="shared" si="24"/>
        <v>7.4099999999999966</v>
      </c>
      <c r="H45" s="63">
        <f t="shared" si="24"/>
        <v>8.1066666666666549</v>
      </c>
      <c r="I45" s="63">
        <f t="shared" si="24"/>
        <v>8.8033333333333132</v>
      </c>
      <c r="J45" s="63">
        <f t="shared" si="24"/>
        <v>9.4999999999999716</v>
      </c>
      <c r="K45" s="63">
        <f t="shared" si="24"/>
        <v>6.75</v>
      </c>
      <c r="L45" s="63">
        <f t="shared" si="24"/>
        <v>4.0000000000000284</v>
      </c>
      <c r="M45" s="63">
        <f t="shared" si="24"/>
        <v>1.2500000000000568</v>
      </c>
      <c r="N45" s="63">
        <f t="shared" si="24"/>
        <v>-1.4999999999999432</v>
      </c>
      <c r="O45" s="63">
        <f t="shared" si="24"/>
        <v>57.566666666666748</v>
      </c>
      <c r="P45" s="63">
        <f t="shared" si="24"/>
        <v>59.773333333333426</v>
      </c>
      <c r="Q45" s="63">
        <f t="shared" si="24"/>
        <v>61.980000000000075</v>
      </c>
      <c r="R45" s="63">
        <f t="shared" si="24"/>
        <v>64.186666666666724</v>
      </c>
      <c r="S45" s="63">
        <f t="shared" si="24"/>
        <v>66.39333333333343</v>
      </c>
      <c r="T45" s="63">
        <f t="shared" si="24"/>
        <v>68.600000000000136</v>
      </c>
      <c r="U45" s="63">
        <f t="shared" si="24"/>
        <v>121.82000000000005</v>
      </c>
      <c r="V45" s="63">
        <f t="shared" si="24"/>
        <v>175.03999999999996</v>
      </c>
      <c r="W45" s="63">
        <f t="shared" si="24"/>
        <v>228.26</v>
      </c>
      <c r="X45" s="63">
        <f t="shared" si="24"/>
        <v>281.48</v>
      </c>
      <c r="Y45" s="63">
        <f t="shared" si="24"/>
        <v>179.39999999999941</v>
      </c>
      <c r="Z45" s="63">
        <f t="shared" si="24"/>
        <v>208.05999999999949</v>
      </c>
      <c r="AA45" s="63">
        <f t="shared" si="24"/>
        <v>236.71999999999957</v>
      </c>
      <c r="AB45" s="63">
        <f t="shared" si="24"/>
        <v>265.37999999999965</v>
      </c>
      <c r="AC45" s="63">
        <f t="shared" si="24"/>
        <v>294.03999999999996</v>
      </c>
      <c r="AD45" s="63">
        <f t="shared" si="24"/>
        <v>322.70000000000027</v>
      </c>
    </row>
    <row r="46" spans="1:30" x14ac:dyDescent="0.35">
      <c r="A46" s="5">
        <f t="shared" si="21"/>
        <v>-0.14979999999999977</v>
      </c>
      <c r="B46" s="11">
        <f>NPV('Cost Assumptions'!$B$3,'Valley South to Valley North'!D46:'Valley South to Valley North'!AD46)</f>
        <v>-35.07387381283089</v>
      </c>
      <c r="C46" s="88" t="s">
        <v>32</v>
      </c>
      <c r="D46" s="63">
        <f t="shared" ref="D46:AD46" si="25">D4-D20</f>
        <v>-1</v>
      </c>
      <c r="E46" s="63">
        <f t="shared" si="25"/>
        <v>-1.916666666666667</v>
      </c>
      <c r="F46" s="63">
        <f t="shared" si="25"/>
        <v>-2.1533333333333387</v>
      </c>
      <c r="G46" s="63">
        <f t="shared" si="25"/>
        <v>-2.3900000000000095</v>
      </c>
      <c r="H46" s="63">
        <f t="shared" si="25"/>
        <v>-2.6266666666666794</v>
      </c>
      <c r="I46" s="63">
        <f t="shared" si="25"/>
        <v>-2.8633333333333493</v>
      </c>
      <c r="J46" s="63">
        <f t="shared" si="25"/>
        <v>-3.1000000000000227</v>
      </c>
      <c r="K46" s="63">
        <f t="shared" si="25"/>
        <v>-3.9400000000000084</v>
      </c>
      <c r="L46" s="63">
        <f t="shared" si="25"/>
        <v>-4.779999999999994</v>
      </c>
      <c r="M46" s="63">
        <f t="shared" si="25"/>
        <v>-5.6199999999999797</v>
      </c>
      <c r="N46" s="63">
        <f t="shared" si="25"/>
        <v>-6.4599999999999653</v>
      </c>
      <c r="O46" s="63">
        <f t="shared" si="25"/>
        <v>-6.3499999999999659</v>
      </c>
      <c r="P46" s="63">
        <f t="shared" si="25"/>
        <v>-5.6799999999999713</v>
      </c>
      <c r="Q46" s="63">
        <f t="shared" si="25"/>
        <v>-5.0099999999999767</v>
      </c>
      <c r="R46" s="63">
        <f t="shared" si="25"/>
        <v>-4.3399999999999821</v>
      </c>
      <c r="S46" s="63">
        <f t="shared" si="25"/>
        <v>-3.6699999999999875</v>
      </c>
      <c r="T46" s="63">
        <f t="shared" si="25"/>
        <v>-3</v>
      </c>
      <c r="U46" s="63">
        <f t="shared" si="25"/>
        <v>-3.3600000000000065</v>
      </c>
      <c r="V46" s="63">
        <f t="shared" si="25"/>
        <v>-3.7200000000000131</v>
      </c>
      <c r="W46" s="63">
        <f t="shared" si="25"/>
        <v>-4.0800000000000196</v>
      </c>
      <c r="X46" s="63">
        <f t="shared" si="25"/>
        <v>-4.4400000000000261</v>
      </c>
      <c r="Y46" s="63">
        <f t="shared" si="25"/>
        <v>-4.8000000000000256</v>
      </c>
      <c r="Z46" s="63">
        <f t="shared" si="25"/>
        <v>-7.5</v>
      </c>
      <c r="AA46" s="63">
        <f t="shared" si="25"/>
        <v>-10.199999999999974</v>
      </c>
      <c r="AB46" s="63">
        <f t="shared" si="25"/>
        <v>-12.899999999999949</v>
      </c>
      <c r="AC46" s="63">
        <f t="shared" si="25"/>
        <v>-15.599999999999923</v>
      </c>
      <c r="AD46" s="63">
        <f t="shared" si="25"/>
        <v>-18.299999999999926</v>
      </c>
    </row>
    <row r="47" spans="1:30" x14ac:dyDescent="0.35">
      <c r="A47" s="5">
        <f t="shared" si="21"/>
        <v>0.27719706757332963</v>
      </c>
      <c r="B47" s="11">
        <f>NPV('Cost Assumptions'!$B$3,'Valley South to Valley North'!D47:'Valley South to Valley North'!AD47)</f>
        <v>14.304616225082567</v>
      </c>
      <c r="C47" s="88" t="s">
        <v>33</v>
      </c>
      <c r="D47" s="63">
        <f t="shared" ref="D47:AD47" si="26">D5-D21</f>
        <v>6.8917982049977566E-2</v>
      </c>
      <c r="E47" s="63">
        <f t="shared" si="26"/>
        <v>0.15906981935651673</v>
      </c>
      <c r="F47" s="63">
        <f t="shared" si="26"/>
        <v>0.18882910507601286</v>
      </c>
      <c r="G47" s="63">
        <f t="shared" si="26"/>
        <v>0.21858839079550896</v>
      </c>
      <c r="H47" s="63">
        <f t="shared" si="26"/>
        <v>0.24834767651500511</v>
      </c>
      <c r="I47" s="63">
        <f t="shared" si="26"/>
        <v>0.27810696223450126</v>
      </c>
      <c r="J47" s="63">
        <f t="shared" si="26"/>
        <v>0.30786624795399731</v>
      </c>
      <c r="K47" s="63">
        <f t="shared" si="26"/>
        <v>-2.9087713262150592</v>
      </c>
      <c r="L47" s="63">
        <f t="shared" si="26"/>
        <v>-6.1254089003841159</v>
      </c>
      <c r="M47" s="63">
        <f t="shared" si="26"/>
        <v>-9.3420464745531717</v>
      </c>
      <c r="N47" s="63">
        <f t="shared" si="26"/>
        <v>-12.558684048722229</v>
      </c>
      <c r="O47" s="63">
        <f t="shared" si="26"/>
        <v>-12.559846483658303</v>
      </c>
      <c r="P47" s="63">
        <f t="shared" si="26"/>
        <v>-9.3979017059551389</v>
      </c>
      <c r="Q47" s="63">
        <f t="shared" si="26"/>
        <v>-6.2359569282519747</v>
      </c>
      <c r="R47" s="63">
        <f t="shared" si="26"/>
        <v>-3.0740121505488105</v>
      </c>
      <c r="S47" s="63">
        <f t="shared" si="26"/>
        <v>8.7932627154355458E-2</v>
      </c>
      <c r="T47" s="63">
        <f t="shared" si="26"/>
        <v>3.2498774048575179</v>
      </c>
      <c r="U47" s="63">
        <f t="shared" si="26"/>
        <v>6.8877766962458651</v>
      </c>
      <c r="V47" s="63">
        <f t="shared" si="26"/>
        <v>10.525675987634216</v>
      </c>
      <c r="W47" s="63">
        <f t="shared" si="26"/>
        <v>14.163575279022567</v>
      </c>
      <c r="X47" s="63">
        <f t="shared" si="26"/>
        <v>17.801474570410917</v>
      </c>
      <c r="Y47" s="63">
        <f t="shared" si="26"/>
        <v>21.439373861799254</v>
      </c>
      <c r="Z47" s="63">
        <f t="shared" si="26"/>
        <v>31.877868106566979</v>
      </c>
      <c r="AA47" s="63">
        <f t="shared" si="26"/>
        <v>42.316362351334703</v>
      </c>
      <c r="AB47" s="63">
        <f t="shared" si="26"/>
        <v>52.754856596102428</v>
      </c>
      <c r="AC47" s="63">
        <f t="shared" si="26"/>
        <v>63.193350840870181</v>
      </c>
      <c r="AD47" s="63">
        <f t="shared" si="26"/>
        <v>73.631845085637906</v>
      </c>
    </row>
    <row r="48" spans="1:30" x14ac:dyDescent="0.35">
      <c r="A48" s="5">
        <f t="shared" si="21"/>
        <v>1.3885839790270084E-3</v>
      </c>
      <c r="B48" s="11">
        <f>NPV('Cost Assumptions'!$B$3,'Valley South to Valley North'!D48:'Valley South to Valley North'!AD48)</f>
        <v>0.17509021452793863</v>
      </c>
      <c r="C48" s="88" t="s">
        <v>34</v>
      </c>
      <c r="D48" s="63">
        <f t="shared" ref="D48:AD48" si="27">D6-D22</f>
        <v>7.5996463269141067E-4</v>
      </c>
      <c r="E48" s="63">
        <f t="shared" si="27"/>
        <v>4.541872046191173E-3</v>
      </c>
      <c r="F48" s="63">
        <f t="shared" si="27"/>
        <v>3.8850528478319817E-3</v>
      </c>
      <c r="G48" s="63">
        <f t="shared" si="27"/>
        <v>3.2282336494727851E-3</v>
      </c>
      <c r="H48" s="63">
        <f t="shared" si="27"/>
        <v>2.571414451113592E-3</v>
      </c>
      <c r="I48" s="63">
        <f t="shared" si="27"/>
        <v>1.9145952527543988E-3</v>
      </c>
      <c r="J48" s="63">
        <f t="shared" si="27"/>
        <v>1.2577760543952127E-3</v>
      </c>
      <c r="K48" s="63">
        <f t="shared" si="27"/>
        <v>-3.5945948340189993E-3</v>
      </c>
      <c r="L48" s="63">
        <f t="shared" si="27"/>
        <v>-8.4469657224332112E-3</v>
      </c>
      <c r="M48" s="63">
        <f t="shared" si="27"/>
        <v>-1.3299336610847423E-2</v>
      </c>
      <c r="N48" s="63">
        <f t="shared" si="27"/>
        <v>-1.8151707499261621E-2</v>
      </c>
      <c r="O48" s="63">
        <f t="shared" si="27"/>
        <v>3.3966432972864169E-2</v>
      </c>
      <c r="P48" s="63">
        <f t="shared" si="27"/>
        <v>3.2892044053172698E-2</v>
      </c>
      <c r="Q48" s="63">
        <f t="shared" si="27"/>
        <v>3.1817655133481226E-2</v>
      </c>
      <c r="R48" s="63">
        <f t="shared" si="27"/>
        <v>3.0743266213789755E-2</v>
      </c>
      <c r="S48" s="63">
        <f t="shared" si="27"/>
        <v>2.9668877294098228E-2</v>
      </c>
      <c r="T48" s="63">
        <f t="shared" si="27"/>
        <v>2.8594488374406812E-2</v>
      </c>
      <c r="U48" s="63">
        <f t="shared" si="27"/>
        <v>4.333719303946082E-2</v>
      </c>
      <c r="V48" s="63">
        <f t="shared" si="27"/>
        <v>5.8079897704514827E-2</v>
      </c>
      <c r="W48" s="63">
        <f t="shared" si="27"/>
        <v>7.2822602369568834E-2</v>
      </c>
      <c r="X48" s="63">
        <f t="shared" si="27"/>
        <v>8.7565307034622952E-2</v>
      </c>
      <c r="Y48" s="63">
        <f t="shared" si="27"/>
        <v>0.10230801169967685</v>
      </c>
      <c r="Z48" s="63">
        <f t="shared" si="27"/>
        <v>0.12568013439108205</v>
      </c>
      <c r="AA48" s="63">
        <f t="shared" si="27"/>
        <v>0.14905225708248726</v>
      </c>
      <c r="AB48" s="63">
        <f t="shared" si="27"/>
        <v>0.17242437977389224</v>
      </c>
      <c r="AC48" s="63">
        <f t="shared" si="27"/>
        <v>0.19579650246529745</v>
      </c>
      <c r="AD48" s="63">
        <f t="shared" si="27"/>
        <v>0.2191686251567031</v>
      </c>
    </row>
    <row r="49" spans="1:30" x14ac:dyDescent="0.35">
      <c r="A49" s="5">
        <f t="shared" si="21"/>
        <v>1.0774999999999999</v>
      </c>
      <c r="B49" s="11">
        <f>NPV('Cost Assumptions'!$B$3,'Valley South to Valley North'!D49:'Valley South to Valley North'!AD49)</f>
        <v>266.95611400997069</v>
      </c>
      <c r="C49" s="88" t="s">
        <v>35</v>
      </c>
      <c r="D49" s="63">
        <f t="shared" ref="D49:AD49" si="28">D7-D23</f>
        <v>11</v>
      </c>
      <c r="E49" s="63">
        <f t="shared" si="28"/>
        <v>17.166666666666668</v>
      </c>
      <c r="F49" s="63">
        <f t="shared" si="28"/>
        <v>18.533333333333331</v>
      </c>
      <c r="G49" s="63">
        <f t="shared" si="28"/>
        <v>19.899999999999999</v>
      </c>
      <c r="H49" s="63">
        <f t="shared" si="28"/>
        <v>21.266666666666666</v>
      </c>
      <c r="I49" s="63">
        <f t="shared" si="28"/>
        <v>22.633333333333333</v>
      </c>
      <c r="J49" s="63">
        <f t="shared" si="28"/>
        <v>24</v>
      </c>
      <c r="K49" s="63">
        <f t="shared" si="28"/>
        <v>25.55</v>
      </c>
      <c r="L49" s="63">
        <f t="shared" si="28"/>
        <v>27.1</v>
      </c>
      <c r="M49" s="63">
        <f t="shared" si="28"/>
        <v>28.650000000000002</v>
      </c>
      <c r="N49" s="63">
        <f t="shared" si="28"/>
        <v>30.200000000000003</v>
      </c>
      <c r="O49" s="63">
        <f t="shared" si="28"/>
        <v>34.833333333333336</v>
      </c>
      <c r="P49" s="63">
        <f t="shared" si="28"/>
        <v>37.666666666666671</v>
      </c>
      <c r="Q49" s="63">
        <f t="shared" si="28"/>
        <v>40.5</v>
      </c>
      <c r="R49" s="63">
        <f t="shared" si="28"/>
        <v>43.333333333333329</v>
      </c>
      <c r="S49" s="63">
        <f t="shared" si="28"/>
        <v>46.166666666666657</v>
      </c>
      <c r="T49" s="63">
        <f t="shared" si="28"/>
        <v>49</v>
      </c>
      <c r="U49" s="63">
        <f t="shared" si="28"/>
        <v>50.800000000000004</v>
      </c>
      <c r="V49" s="63">
        <f t="shared" si="28"/>
        <v>52.600000000000009</v>
      </c>
      <c r="W49" s="63">
        <f t="shared" si="28"/>
        <v>54.400000000000013</v>
      </c>
      <c r="X49" s="63">
        <f t="shared" si="28"/>
        <v>56.200000000000017</v>
      </c>
      <c r="Y49" s="63">
        <f t="shared" si="28"/>
        <v>58</v>
      </c>
      <c r="Z49" s="63">
        <f t="shared" si="28"/>
        <v>59.199999999999989</v>
      </c>
      <c r="AA49" s="63">
        <f t="shared" si="28"/>
        <v>60.399999999999977</v>
      </c>
      <c r="AB49" s="63">
        <f t="shared" si="28"/>
        <v>61.599999999999966</v>
      </c>
      <c r="AC49" s="63">
        <f t="shared" si="28"/>
        <v>62.799999999999955</v>
      </c>
      <c r="AD49" s="63">
        <f t="shared" si="28"/>
        <v>64</v>
      </c>
    </row>
    <row r="50" spans="1:30" x14ac:dyDescent="0.35">
      <c r="A50" s="5">
        <f t="shared" si="21"/>
        <v>233.80450234722554</v>
      </c>
      <c r="B50" s="11">
        <f>NPV('Cost Assumptions'!$B$3,'Valley South to Valley North'!D50:'Valley South to Valley North'!AD50)</f>
        <v>53918.136094856709</v>
      </c>
      <c r="C50" s="86" t="s">
        <v>153</v>
      </c>
      <c r="D50" s="63">
        <f>D13-D24</f>
        <v>1637.4650100268436</v>
      </c>
      <c r="E50" s="63">
        <f t="shared" ref="E50:AD50" si="29">E13-E24</f>
        <v>2177.3309561137412</v>
      </c>
      <c r="F50" s="63">
        <f t="shared" si="29"/>
        <v>2717.1969022006379</v>
      </c>
      <c r="G50" s="63">
        <f t="shared" si="29"/>
        <v>3257.0628482875345</v>
      </c>
      <c r="H50" s="63">
        <f t="shared" si="29"/>
        <v>3796.928794374433</v>
      </c>
      <c r="I50" s="63">
        <f t="shared" si="29"/>
        <v>4336.7947404613296</v>
      </c>
      <c r="J50" s="63">
        <f t="shared" si="29"/>
        <v>4876.6606865482263</v>
      </c>
      <c r="K50" s="63">
        <f t="shared" si="29"/>
        <v>5416.526632635123</v>
      </c>
      <c r="L50" s="63">
        <f t="shared" si="29"/>
        <v>6056.3925787219796</v>
      </c>
      <c r="M50" s="63">
        <f t="shared" si="29"/>
        <v>6496.2585248089163</v>
      </c>
      <c r="N50" s="63">
        <f t="shared" si="29"/>
        <v>7036.1244708958129</v>
      </c>
      <c r="O50" s="63">
        <f t="shared" si="29"/>
        <v>7575.9904169827096</v>
      </c>
      <c r="P50" s="63">
        <f t="shared" si="29"/>
        <v>8115.8563630696081</v>
      </c>
      <c r="Q50" s="63">
        <f t="shared" si="29"/>
        <v>8655.7223091565029</v>
      </c>
      <c r="R50" s="63">
        <f t="shared" si="29"/>
        <v>9195.5882552433977</v>
      </c>
      <c r="S50" s="63">
        <f t="shared" si="29"/>
        <v>9735.4542013302962</v>
      </c>
      <c r="T50" s="63">
        <f t="shared" si="29"/>
        <v>10275.320147417195</v>
      </c>
      <c r="U50" s="63">
        <f t="shared" si="29"/>
        <v>10815.18609350409</v>
      </c>
      <c r="V50" s="63">
        <f t="shared" si="29"/>
        <v>11355.052039590984</v>
      </c>
      <c r="W50" s="63">
        <f t="shared" si="29"/>
        <v>11894.917985677883</v>
      </c>
      <c r="X50" s="63">
        <f t="shared" si="29"/>
        <v>12434.783931764781</v>
      </c>
      <c r="Y50" s="63">
        <f t="shared" si="29"/>
        <v>12974.649877851676</v>
      </c>
      <c r="Z50" s="63">
        <f t="shared" si="29"/>
        <v>13514.515823938571</v>
      </c>
      <c r="AA50" s="63">
        <f t="shared" si="29"/>
        <v>14054.381770025469</v>
      </c>
      <c r="AB50" s="63">
        <f t="shared" si="29"/>
        <v>14594.247716112368</v>
      </c>
      <c r="AC50" s="63">
        <f t="shared" si="29"/>
        <v>15134.113662199263</v>
      </c>
      <c r="AD50" s="63">
        <f t="shared" si="29"/>
        <v>15673.979608286165</v>
      </c>
    </row>
    <row r="51" spans="1:30" x14ac:dyDescent="0.35">
      <c r="A51" s="5">
        <f t="shared" si="21"/>
        <v>0</v>
      </c>
      <c r="B51" s="11">
        <f>NPV('Cost Assumptions'!$B$3,'Valley South to Valley North'!D51:'Valley South to Valley North'!AD51)</f>
        <v>0</v>
      </c>
      <c r="C51" s="86" t="s">
        <v>154</v>
      </c>
      <c r="D51" s="63">
        <f>D14-D25</f>
        <v>0</v>
      </c>
      <c r="E51" s="63">
        <f t="shared" ref="E51:AD51" si="30">E14-E25</f>
        <v>0</v>
      </c>
      <c r="F51" s="63">
        <f t="shared" si="30"/>
        <v>0</v>
      </c>
      <c r="G51" s="63">
        <f t="shared" si="30"/>
        <v>0</v>
      </c>
      <c r="H51" s="63">
        <f t="shared" si="30"/>
        <v>0</v>
      </c>
      <c r="I51" s="63">
        <f t="shared" si="30"/>
        <v>0</v>
      </c>
      <c r="J51" s="63">
        <f t="shared" si="30"/>
        <v>0</v>
      </c>
      <c r="K51" s="63">
        <f t="shared" si="30"/>
        <v>0</v>
      </c>
      <c r="L51" s="63">
        <f t="shared" si="30"/>
        <v>0</v>
      </c>
      <c r="M51" s="63">
        <f t="shared" si="30"/>
        <v>0</v>
      </c>
      <c r="N51" s="63">
        <f t="shared" si="30"/>
        <v>0</v>
      </c>
      <c r="O51" s="63">
        <f t="shared" si="30"/>
        <v>0</v>
      </c>
      <c r="P51" s="63">
        <f t="shared" si="30"/>
        <v>0</v>
      </c>
      <c r="Q51" s="63">
        <f t="shared" si="30"/>
        <v>0</v>
      </c>
      <c r="R51" s="63">
        <f t="shared" si="30"/>
        <v>0</v>
      </c>
      <c r="S51" s="63">
        <f t="shared" si="30"/>
        <v>0</v>
      </c>
      <c r="T51" s="63">
        <f t="shared" si="30"/>
        <v>0</v>
      </c>
      <c r="U51" s="63">
        <f t="shared" si="30"/>
        <v>0</v>
      </c>
      <c r="V51" s="63">
        <f t="shared" si="30"/>
        <v>0</v>
      </c>
      <c r="W51" s="63">
        <f t="shared" si="30"/>
        <v>0</v>
      </c>
      <c r="X51" s="63">
        <f t="shared" si="30"/>
        <v>0</v>
      </c>
      <c r="Y51" s="63">
        <f t="shared" si="30"/>
        <v>0</v>
      </c>
      <c r="Z51" s="63">
        <f t="shared" si="30"/>
        <v>0</v>
      </c>
      <c r="AA51" s="63">
        <f t="shared" si="30"/>
        <v>0</v>
      </c>
      <c r="AB51" s="63">
        <f t="shared" si="30"/>
        <v>0</v>
      </c>
      <c r="AC51" s="63">
        <f t="shared" si="30"/>
        <v>0</v>
      </c>
      <c r="AD51" s="63">
        <f t="shared" si="30"/>
        <v>0</v>
      </c>
    </row>
    <row r="52" spans="1:30" s="82" customFormat="1" x14ac:dyDescent="0.35">
      <c r="A52" s="5">
        <f t="shared" si="21"/>
        <v>1848.4207520057885</v>
      </c>
      <c r="B52" s="11">
        <f>NPV('Cost Assumptions'!$B$3,'Valley South to Valley North'!D52:'Valley South to Valley North'!AD52)</f>
        <v>528219.78220107977</v>
      </c>
      <c r="C52" s="86" t="s">
        <v>155</v>
      </c>
      <c r="D52" s="63">
        <f>D15-D26</f>
        <v>41950.270664950898</v>
      </c>
      <c r="E52" s="63">
        <f t="shared" ref="E52:AD52" si="31">E15-E26</f>
        <v>44543.511863020707</v>
      </c>
      <c r="F52" s="63">
        <f t="shared" si="31"/>
        <v>45828.868549568069</v>
      </c>
      <c r="G52" s="63">
        <f t="shared" si="31"/>
        <v>47153.388319177473</v>
      </c>
      <c r="H52" s="63">
        <f t="shared" si="31"/>
        <v>48574.508171559806</v>
      </c>
      <c r="I52" s="63">
        <f t="shared" si="31"/>
        <v>50215.756740615325</v>
      </c>
      <c r="J52" s="63">
        <f t="shared" si="31"/>
        <v>51874.628505256784</v>
      </c>
      <c r="K52" s="63">
        <f t="shared" si="31"/>
        <v>53948.57443924679</v>
      </c>
      <c r="L52" s="63">
        <f t="shared" si="31"/>
        <v>56088.226650565055</v>
      </c>
      <c r="M52" s="63">
        <f t="shared" si="31"/>
        <v>58289.349617770917</v>
      </c>
      <c r="N52" s="63">
        <f t="shared" si="31"/>
        <v>60550.041456789753</v>
      </c>
      <c r="O52" s="63">
        <f t="shared" si="31"/>
        <v>62901.781122832261</v>
      </c>
      <c r="P52" s="63">
        <f t="shared" si="31"/>
        <v>65336.06110877014</v>
      </c>
      <c r="Q52" s="63">
        <f t="shared" si="31"/>
        <v>67785.831116802379</v>
      </c>
      <c r="R52" s="63">
        <f t="shared" si="31"/>
        <v>70278.290238368936</v>
      </c>
      <c r="S52" s="63">
        <f t="shared" si="31"/>
        <v>72822.215885590063</v>
      </c>
      <c r="T52" s="63">
        <f t="shared" si="31"/>
        <v>75385.324227160687</v>
      </c>
      <c r="U52" s="63">
        <f t="shared" si="31"/>
        <v>77761.621420701849</v>
      </c>
      <c r="V52" s="63">
        <f t="shared" si="31"/>
        <v>80141.816348201392</v>
      </c>
      <c r="W52" s="63">
        <f t="shared" si="31"/>
        <v>82517.070702119643</v>
      </c>
      <c r="X52" s="63">
        <f t="shared" si="31"/>
        <v>84916.872847499122</v>
      </c>
      <c r="Y52" s="63">
        <f t="shared" si="31"/>
        <v>86969.427205090877</v>
      </c>
      <c r="Z52" s="63">
        <f t="shared" si="31"/>
        <v>88983.439541289321</v>
      </c>
      <c r="AA52" s="63">
        <f t="shared" si="31"/>
        <v>90925.104045702174</v>
      </c>
      <c r="AB52" s="63">
        <f t="shared" si="31"/>
        <v>92815.793002230304</v>
      </c>
      <c r="AC52" s="63">
        <f t="shared" si="31"/>
        <v>94275.031559094467</v>
      </c>
      <c r="AD52" s="63">
        <f t="shared" si="31"/>
        <v>95587.946655813459</v>
      </c>
    </row>
    <row r="53" spans="1:30" x14ac:dyDescent="0.35">
      <c r="A53" s="5">
        <f t="shared" si="21"/>
        <v>45.491883181818196</v>
      </c>
      <c r="B53" s="11">
        <f>NPV('Cost Assumptions'!$B$3,'Valley South to Valley North'!D53:'Valley South to Valley North'!AD53)</f>
        <v>7513.0403353797101</v>
      </c>
      <c r="C53" s="88" t="s">
        <v>31</v>
      </c>
      <c r="D53" s="63">
        <f>D8-SUM(D28,D27)</f>
        <v>22.2</v>
      </c>
      <c r="E53" s="63">
        <f t="shared" ref="E53:AD53" si="32">E8-SUM(E28,E27)</f>
        <v>65.8</v>
      </c>
      <c r="F53" s="63">
        <f t="shared" si="32"/>
        <v>102.72</v>
      </c>
      <c r="G53" s="63">
        <f t="shared" si="32"/>
        <v>139.63999999999999</v>
      </c>
      <c r="H53" s="63">
        <f t="shared" si="32"/>
        <v>176.56</v>
      </c>
      <c r="I53" s="63">
        <f t="shared" si="32"/>
        <v>213.48000000000002</v>
      </c>
      <c r="J53" s="63">
        <f t="shared" si="32"/>
        <v>250.4</v>
      </c>
      <c r="K53" s="63">
        <f t="shared" si="32"/>
        <v>348.67500000000001</v>
      </c>
      <c r="L53" s="63">
        <f t="shared" si="32"/>
        <v>446.95000000000005</v>
      </c>
      <c r="M53" s="63">
        <f t="shared" si="32"/>
        <v>545.22500000000002</v>
      </c>
      <c r="N53" s="63">
        <f t="shared" si="32"/>
        <v>643.5</v>
      </c>
      <c r="O53" s="63">
        <f t="shared" si="32"/>
        <v>904.91666666666674</v>
      </c>
      <c r="P53" s="63">
        <f t="shared" si="32"/>
        <v>1166.3333333333335</v>
      </c>
      <c r="Q53" s="63">
        <f t="shared" si="32"/>
        <v>1427.7500000000002</v>
      </c>
      <c r="R53" s="63">
        <f t="shared" si="32"/>
        <v>1689.166666666667</v>
      </c>
      <c r="S53" s="63">
        <f t="shared" si="32"/>
        <v>1942.3733333333337</v>
      </c>
      <c r="T53" s="63">
        <f t="shared" si="32"/>
        <v>2076.0250000000001</v>
      </c>
      <c r="U53" s="63">
        <f t="shared" si="32"/>
        <v>2342.7399999999998</v>
      </c>
      <c r="V53" s="63">
        <f t="shared" si="32"/>
        <v>2609.4549999999999</v>
      </c>
      <c r="W53" s="63">
        <f t="shared" si="32"/>
        <v>2876.17</v>
      </c>
      <c r="X53" s="63">
        <f t="shared" si="32"/>
        <v>3142.8850000000002</v>
      </c>
      <c r="Y53" s="63">
        <f t="shared" si="32"/>
        <v>3405.2000000000007</v>
      </c>
      <c r="Z53" s="63">
        <f t="shared" si="32"/>
        <v>3575.5318181818188</v>
      </c>
      <c r="AA53" s="63">
        <f t="shared" si="32"/>
        <v>3745.8636363636369</v>
      </c>
      <c r="AB53" s="63">
        <f t="shared" si="32"/>
        <v>3916.1954545454555</v>
      </c>
      <c r="AC53" s="63">
        <f t="shared" si="32"/>
        <v>4086.5272727272732</v>
      </c>
      <c r="AD53" s="63">
        <f t="shared" si="32"/>
        <v>3629.5999999999985</v>
      </c>
    </row>
    <row r="54" spans="1:30" x14ac:dyDescent="0.35">
      <c r="A54" s="5">
        <f t="shared" si="21"/>
        <v>3.2114253516111595</v>
      </c>
      <c r="B54" s="11">
        <f>NPV('Cost Assumptions'!$B$3,'Valley South to Valley North'!D54:'Valley South to Valley North'!AD54)</f>
        <v>766.21308358335477</v>
      </c>
      <c r="C54" s="88" t="s">
        <v>32</v>
      </c>
      <c r="D54" s="63">
        <f t="shared" ref="D54:AD54" si="33">D9-D29</f>
        <v>13</v>
      </c>
      <c r="E54" s="63">
        <f t="shared" si="33"/>
        <v>27</v>
      </c>
      <c r="F54" s="63">
        <f t="shared" si="33"/>
        <v>34.519999999999982</v>
      </c>
      <c r="G54" s="63">
        <f t="shared" si="33"/>
        <v>42.039999999999964</v>
      </c>
      <c r="H54" s="63">
        <f t="shared" si="33"/>
        <v>49.559999999999945</v>
      </c>
      <c r="I54" s="63">
        <f t="shared" si="33"/>
        <v>57.079999999999927</v>
      </c>
      <c r="J54" s="63">
        <f t="shared" si="33"/>
        <v>64.599999999999909</v>
      </c>
      <c r="K54" s="63">
        <f t="shared" si="33"/>
        <v>75.024999999999935</v>
      </c>
      <c r="L54" s="63">
        <f t="shared" si="33"/>
        <v>85.44999999999996</v>
      </c>
      <c r="M54" s="63">
        <f t="shared" si="33"/>
        <v>95.874999999999986</v>
      </c>
      <c r="N54" s="63">
        <f t="shared" si="33"/>
        <v>106.3</v>
      </c>
      <c r="O54" s="63">
        <f t="shared" si="33"/>
        <v>120.25</v>
      </c>
      <c r="P54" s="63">
        <f t="shared" si="33"/>
        <v>134.19999999999999</v>
      </c>
      <c r="Q54" s="63">
        <f t="shared" si="33"/>
        <v>148.14999999999998</v>
      </c>
      <c r="R54" s="63">
        <f t="shared" si="33"/>
        <v>162.09999999999997</v>
      </c>
      <c r="S54" s="63">
        <f t="shared" si="33"/>
        <v>167.84810046033135</v>
      </c>
      <c r="T54" s="63">
        <f t="shared" si="33"/>
        <v>175.84841705027617</v>
      </c>
      <c r="U54" s="63">
        <f t="shared" si="33"/>
        <v>181.09873364022093</v>
      </c>
      <c r="V54" s="63">
        <f t="shared" si="33"/>
        <v>186.34905023016569</v>
      </c>
      <c r="W54" s="63">
        <f t="shared" si="33"/>
        <v>191.59936682011045</v>
      </c>
      <c r="X54" s="63">
        <f t="shared" si="33"/>
        <v>196.84968341005521</v>
      </c>
      <c r="Y54" s="63">
        <f t="shared" si="33"/>
        <v>202.1</v>
      </c>
      <c r="Z54" s="63">
        <f t="shared" si="33"/>
        <v>181.03880000000004</v>
      </c>
      <c r="AA54" s="63">
        <f t="shared" si="33"/>
        <v>159.97760000000005</v>
      </c>
      <c r="AB54" s="63">
        <f t="shared" si="33"/>
        <v>138.91640000000007</v>
      </c>
      <c r="AC54" s="63">
        <f t="shared" si="33"/>
        <v>117.85520000000008</v>
      </c>
      <c r="AD54" s="63">
        <f t="shared" si="33"/>
        <v>96.794000000000096</v>
      </c>
    </row>
    <row r="55" spans="1:30" x14ac:dyDescent="0.35">
      <c r="A55" s="5">
        <f t="shared" si="21"/>
        <v>2.7473804354722557</v>
      </c>
      <c r="B55" s="11">
        <f>NPV('Cost Assumptions'!$B$3,'Valley South to Valley North'!D55:'Valley South to Valley North'!AD55)</f>
        <v>354.80511539308065</v>
      </c>
      <c r="C55" s="88" t="s">
        <v>33</v>
      </c>
      <c r="D55" s="63">
        <f t="shared" ref="D55:AD55" si="34">D10-D30</f>
        <v>4.7253529883901121E-2</v>
      </c>
      <c r="E55" s="63">
        <f t="shared" si="34"/>
        <v>0.28011551949195379</v>
      </c>
      <c r="F55" s="63">
        <f t="shared" si="34"/>
        <v>0.59718244793816533</v>
      </c>
      <c r="G55" s="63">
        <f t="shared" si="34"/>
        <v>0.91424937638437687</v>
      </c>
      <c r="H55" s="63">
        <f t="shared" si="34"/>
        <v>1.2313163048305884</v>
      </c>
      <c r="I55" s="63">
        <f t="shared" si="34"/>
        <v>1.5483832332767999</v>
      </c>
      <c r="J55" s="63">
        <f t="shared" si="34"/>
        <v>1.8654501617230115</v>
      </c>
      <c r="K55" s="63">
        <f t="shared" si="34"/>
        <v>3.796086780774603</v>
      </c>
      <c r="L55" s="63">
        <f t="shared" si="34"/>
        <v>5.726723399826195</v>
      </c>
      <c r="M55" s="63">
        <f t="shared" si="34"/>
        <v>7.6573600188777871</v>
      </c>
      <c r="N55" s="63">
        <f t="shared" si="34"/>
        <v>9.5879966379293773</v>
      </c>
      <c r="O55" s="63">
        <f t="shared" si="34"/>
        <v>22.507331657050738</v>
      </c>
      <c r="P55" s="63">
        <f t="shared" si="34"/>
        <v>35.426666676172097</v>
      </c>
      <c r="Q55" s="63">
        <f t="shared" si="34"/>
        <v>48.346001695293459</v>
      </c>
      <c r="R55" s="63">
        <f t="shared" si="34"/>
        <v>61.265336714414822</v>
      </c>
      <c r="S55" s="63">
        <f t="shared" si="34"/>
        <v>74.175035565174028</v>
      </c>
      <c r="T55" s="63">
        <f t="shared" si="34"/>
        <v>84.212755885987676</v>
      </c>
      <c r="U55" s="63">
        <f t="shared" si="34"/>
        <v>111.11559449322213</v>
      </c>
      <c r="V55" s="63">
        <f t="shared" si="34"/>
        <v>138.01843310045658</v>
      </c>
      <c r="W55" s="63">
        <f t="shared" si="34"/>
        <v>164.92127170769103</v>
      </c>
      <c r="X55" s="63">
        <f t="shared" si="34"/>
        <v>191.82411031492549</v>
      </c>
      <c r="Y55" s="63">
        <f t="shared" si="34"/>
        <v>218.72694892215998</v>
      </c>
      <c r="Z55" s="63">
        <f t="shared" si="34"/>
        <v>250.05722137002471</v>
      </c>
      <c r="AA55" s="63">
        <f t="shared" si="34"/>
        <v>281.38749381788944</v>
      </c>
      <c r="AB55" s="63">
        <f t="shared" si="34"/>
        <v>312.71776626575411</v>
      </c>
      <c r="AC55" s="63">
        <f t="shared" si="34"/>
        <v>344.04803871361878</v>
      </c>
      <c r="AD55" s="63">
        <f t="shared" si="34"/>
        <v>375.37831116148357</v>
      </c>
    </row>
    <row r="56" spans="1:30" x14ac:dyDescent="0.35">
      <c r="A56" s="5">
        <f t="shared" si="21"/>
        <v>4.8563896995730785E-2</v>
      </c>
      <c r="B56" s="11">
        <f>NPV('Cost Assumptions'!$B$3,'Valley South to Valley North'!D56:'Valley South to Valley North'!AD56)</f>
        <v>7.9806125039048075</v>
      </c>
      <c r="C56" s="88" t="s">
        <v>34</v>
      </c>
      <c r="D56" s="63">
        <f t="shared" ref="D56:AD56" si="35">D11-D31</f>
        <v>2.3626764941950561E-2</v>
      </c>
      <c r="E56" s="63">
        <f t="shared" si="35"/>
        <v>7.0028879872988448E-2</v>
      </c>
      <c r="F56" s="63">
        <f t="shared" si="35"/>
        <v>0.10932167994761965</v>
      </c>
      <c r="G56" s="63">
        <f t="shared" si="35"/>
        <v>0.14861448002225086</v>
      </c>
      <c r="H56" s="63">
        <f t="shared" si="35"/>
        <v>0.18790728009688207</v>
      </c>
      <c r="I56" s="63">
        <f t="shared" si="35"/>
        <v>0.22720008017151327</v>
      </c>
      <c r="J56" s="63">
        <f t="shared" si="35"/>
        <v>0.26649288024614448</v>
      </c>
      <c r="K56" s="63">
        <f t="shared" si="35"/>
        <v>0.37108388586191865</v>
      </c>
      <c r="L56" s="63">
        <f t="shared" si="35"/>
        <v>0.47567489147769282</v>
      </c>
      <c r="M56" s="63">
        <f t="shared" si="35"/>
        <v>0.58026589709346699</v>
      </c>
      <c r="N56" s="63">
        <f t="shared" si="35"/>
        <v>0.68485690270924116</v>
      </c>
      <c r="O56" s="63">
        <f t="shared" si="35"/>
        <v>0.96307447636877097</v>
      </c>
      <c r="P56" s="63">
        <f t="shared" si="35"/>
        <v>1.2412920500283007</v>
      </c>
      <c r="Q56" s="63">
        <f t="shared" si="35"/>
        <v>1.5195096236878305</v>
      </c>
      <c r="R56" s="63">
        <f t="shared" si="35"/>
        <v>1.7977271973473603</v>
      </c>
      <c r="S56" s="63">
        <f t="shared" si="35"/>
        <v>2.0663086026447446</v>
      </c>
      <c r="T56" s="63">
        <f t="shared" si="35"/>
        <v>2.1937798113298888</v>
      </c>
      <c r="U56" s="63">
        <f t="shared" si="35"/>
        <v>2.4628661596122892</v>
      </c>
      <c r="V56" s="63">
        <f t="shared" si="35"/>
        <v>2.7319525078946891</v>
      </c>
      <c r="W56" s="63">
        <f t="shared" si="35"/>
        <v>3.0010388561770891</v>
      </c>
      <c r="X56" s="63">
        <f t="shared" si="35"/>
        <v>3.2701252044594895</v>
      </c>
      <c r="Y56" s="63">
        <f t="shared" si="35"/>
        <v>3.5392115527418899</v>
      </c>
      <c r="Z56" s="63">
        <f t="shared" si="35"/>
        <v>3.7349368572277113</v>
      </c>
      <c r="AA56" s="63">
        <f t="shared" si="35"/>
        <v>3.9306621617135327</v>
      </c>
      <c r="AB56" s="63">
        <f t="shared" si="35"/>
        <v>4.126387466199354</v>
      </c>
      <c r="AC56" s="63">
        <f t="shared" si="35"/>
        <v>4.322112770685175</v>
      </c>
      <c r="AD56" s="63">
        <f t="shared" si="35"/>
        <v>4.5178380751709977</v>
      </c>
    </row>
    <row r="57" spans="1:30" x14ac:dyDescent="0.35">
      <c r="A57" s="5">
        <f t="shared" si="21"/>
        <v>0.53649999999999998</v>
      </c>
      <c r="B57" s="11">
        <f>NPV('Cost Assumptions'!$B$3,'Valley South to Valley North'!D57:'Valley South to Valley North'!AD57)</f>
        <v>117.47766013713918</v>
      </c>
      <c r="C57" s="88" t="s">
        <v>35</v>
      </c>
      <c r="D57" s="63">
        <f t="shared" ref="D57:AD57" si="36">D12-D32</f>
        <v>2</v>
      </c>
      <c r="E57" s="63">
        <f t="shared" si="36"/>
        <v>4</v>
      </c>
      <c r="F57" s="63">
        <f t="shared" si="36"/>
        <v>4.5999999999999996</v>
      </c>
      <c r="G57" s="63">
        <f t="shared" si="36"/>
        <v>5.1999999999999993</v>
      </c>
      <c r="H57" s="63">
        <f t="shared" si="36"/>
        <v>5.7999999999999989</v>
      </c>
      <c r="I57" s="63">
        <f t="shared" si="36"/>
        <v>6.3999999999999986</v>
      </c>
      <c r="J57" s="63">
        <f t="shared" si="36"/>
        <v>7</v>
      </c>
      <c r="K57" s="63">
        <f t="shared" si="36"/>
        <v>8.75</v>
      </c>
      <c r="L57" s="63">
        <f t="shared" si="36"/>
        <v>10.5</v>
      </c>
      <c r="M57" s="63">
        <f t="shared" si="36"/>
        <v>12.25</v>
      </c>
      <c r="N57" s="63">
        <f t="shared" si="36"/>
        <v>14</v>
      </c>
      <c r="O57" s="63">
        <f t="shared" si="36"/>
        <v>17.833333333333332</v>
      </c>
      <c r="P57" s="63">
        <f t="shared" si="36"/>
        <v>21.666666666666664</v>
      </c>
      <c r="Q57" s="63">
        <f t="shared" si="36"/>
        <v>25.499999999999996</v>
      </c>
      <c r="R57" s="63">
        <f t="shared" si="36"/>
        <v>29.333333333333329</v>
      </c>
      <c r="S57" s="63">
        <f t="shared" si="36"/>
        <v>32.166666666666664</v>
      </c>
      <c r="T57" s="63">
        <f t="shared" si="36"/>
        <v>32.833333333333336</v>
      </c>
      <c r="U57" s="63">
        <f t="shared" si="36"/>
        <v>32.866666666666674</v>
      </c>
      <c r="V57" s="63">
        <f t="shared" si="36"/>
        <v>32.900000000000006</v>
      </c>
      <c r="W57" s="63">
        <f t="shared" si="36"/>
        <v>32.933333333333344</v>
      </c>
      <c r="X57" s="63">
        <f t="shared" si="36"/>
        <v>32.966666666666683</v>
      </c>
      <c r="Y57" s="63">
        <f t="shared" si="36"/>
        <v>33</v>
      </c>
      <c r="Z57" s="63">
        <f t="shared" si="36"/>
        <v>30.799999999999997</v>
      </c>
      <c r="AA57" s="63">
        <f t="shared" si="36"/>
        <v>28.599999999999994</v>
      </c>
      <c r="AB57" s="63">
        <f t="shared" si="36"/>
        <v>26.399999999999991</v>
      </c>
      <c r="AC57" s="63">
        <f t="shared" si="36"/>
        <v>24.199999999999989</v>
      </c>
      <c r="AD57" s="63">
        <f t="shared" si="36"/>
        <v>22</v>
      </c>
    </row>
    <row r="58" spans="1:30" x14ac:dyDescent="0.35">
      <c r="A58" s="88"/>
      <c r="B58" s="88"/>
      <c r="C58" s="88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5" thickBot="1" x14ac:dyDescent="0.4">
      <c r="A59" s="166" t="s">
        <v>156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.5" thickTop="1" thickBot="1" x14ac:dyDescent="0.4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</row>
    <row r="61" spans="1:30" ht="15" thickTop="1" x14ac:dyDescent="0.35">
      <c r="A61" s="88" t="str">
        <f>'Baseline System Analysis'!A17</f>
        <v>Residential</v>
      </c>
      <c r="B61" s="88" t="str">
        <f>'Baseline System Analysis'!B17</f>
        <v>Cost of Reliability (N-1)</v>
      </c>
      <c r="C61" s="88" t="str">
        <f>'Baseline System Analysis'!C17</f>
        <v>$/kWh</v>
      </c>
      <c r="D61" s="5">
        <f>'Baseline System Analysis'!D17</f>
        <v>4.4933261328125003</v>
      </c>
      <c r="E61" s="5">
        <f>'Baseline System Analysis'!E17</f>
        <v>4.6056592861328127</v>
      </c>
      <c r="F61" s="5">
        <f>'Baseline System Analysis'!F17</f>
        <v>4.720800768286133</v>
      </c>
      <c r="G61" s="5">
        <f>'Baseline System Analysis'!G17</f>
        <v>4.8388207874932858</v>
      </c>
      <c r="H61" s="5">
        <f>'Baseline System Analysis'!H17</f>
        <v>4.9597913071806179</v>
      </c>
      <c r="I61" s="5">
        <f>'Baseline System Analysis'!I17</f>
        <v>5.0837860898601326</v>
      </c>
      <c r="J61" s="5">
        <f>'Baseline System Analysis'!J17</f>
        <v>5.2108807421066352</v>
      </c>
      <c r="K61" s="5">
        <f>'Baseline System Analysis'!K17</f>
        <v>5.341152760659301</v>
      </c>
      <c r="L61" s="5">
        <f>'Baseline System Analysis'!L17</f>
        <v>5.4746815796757833</v>
      </c>
      <c r="M61" s="5">
        <f>'Baseline System Analysis'!M17</f>
        <v>5.6115486191676771</v>
      </c>
      <c r="N61" s="5">
        <f>'Baseline System Analysis'!N17</f>
        <v>5.7518373346468685</v>
      </c>
      <c r="O61" s="5">
        <f>'Baseline System Analysis'!O17</f>
        <v>5.8956332680130394</v>
      </c>
      <c r="P61" s="5">
        <f>'Baseline System Analysis'!P17</f>
        <v>6.0430240997133646</v>
      </c>
      <c r="Q61" s="5">
        <f>'Baseline System Analysis'!Q17</f>
        <v>6.1940997022061985</v>
      </c>
      <c r="R61" s="5">
        <f>'Baseline System Analysis'!R17</f>
        <v>6.3489521947613525</v>
      </c>
      <c r="S61" s="5">
        <f>'Baseline System Analysis'!S17</f>
        <v>6.5076759996303855</v>
      </c>
      <c r="T61" s="5">
        <f>'Baseline System Analysis'!T17</f>
        <v>6.6703678996211444</v>
      </c>
      <c r="U61" s="5">
        <f>'Baseline System Analysis'!U17</f>
        <v>6.8371270971116722</v>
      </c>
      <c r="V61" s="5">
        <f>'Baseline System Analysis'!V17</f>
        <v>7.0080552745394638</v>
      </c>
      <c r="W61" s="5">
        <f>'Baseline System Analysis'!W17</f>
        <v>7.1832566564029499</v>
      </c>
      <c r="X61" s="5">
        <f>'Baseline System Analysis'!X17</f>
        <v>7.3628380728130232</v>
      </c>
      <c r="Y61" s="5">
        <f>'Baseline System Analysis'!Y17</f>
        <v>7.5469090246333481</v>
      </c>
      <c r="Z61" s="5">
        <f>'Baseline System Analysis'!Z17</f>
        <v>7.7355817502491808</v>
      </c>
      <c r="AA61" s="5">
        <f>'Baseline System Analysis'!AA17</f>
        <v>7.92897129400541</v>
      </c>
      <c r="AB61" s="5">
        <f>'Baseline System Analysis'!AB17</f>
        <v>8.127195576355545</v>
      </c>
      <c r="AC61" s="5">
        <f>'Baseline System Analysis'!AC17</f>
        <v>8.3303754657644333</v>
      </c>
      <c r="AD61" s="5">
        <f>'Baseline System Analysis'!AD17</f>
        <v>8.5386348524085438</v>
      </c>
    </row>
    <row r="62" spans="1:30" x14ac:dyDescent="0.35">
      <c r="A62" s="88" t="str">
        <f>'Baseline System Analysis'!A18</f>
        <v>Residential</v>
      </c>
      <c r="B62" s="88" t="str">
        <f>'Baseline System Analysis'!B18</f>
        <v>Cost of Reliability (N-0)</v>
      </c>
      <c r="C62" s="88" t="str">
        <f>'Baseline System Analysis'!C18</f>
        <v>$/kWh</v>
      </c>
      <c r="D62" s="5">
        <f>'Baseline System Analysis'!D18</f>
        <v>3.7920011132812492</v>
      </c>
      <c r="E62" s="5">
        <f>'Baseline System Analysis'!E18</f>
        <v>3.8868011411132799</v>
      </c>
      <c r="F62" s="5">
        <f>'Baseline System Analysis'!F18</f>
        <v>3.9839711696411118</v>
      </c>
      <c r="G62" s="5">
        <f>'Baseline System Analysis'!G18</f>
        <v>4.0835704488821394</v>
      </c>
      <c r="H62" s="5">
        <f>'Baseline System Analysis'!H18</f>
        <v>4.1856597101041926</v>
      </c>
      <c r="I62" s="5">
        <f>'Baseline System Analysis'!I18</f>
        <v>4.2903012028567966</v>
      </c>
      <c r="J62" s="5">
        <f>'Baseline System Analysis'!J18</f>
        <v>4.397558732928216</v>
      </c>
      <c r="K62" s="5">
        <f>'Baseline System Analysis'!K18</f>
        <v>4.5074977012514212</v>
      </c>
      <c r="L62" s="5">
        <f>'Baseline System Analysis'!L18</f>
        <v>4.6201851437827059</v>
      </c>
      <c r="M62" s="5">
        <f>'Baseline System Analysis'!M18</f>
        <v>4.7356897723772731</v>
      </c>
      <c r="N62" s="5">
        <f>'Baseline System Analysis'!N18</f>
        <v>4.8540820166867045</v>
      </c>
      <c r="O62" s="5">
        <f>'Baseline System Analysis'!O18</f>
        <v>4.9754340671038717</v>
      </c>
      <c r="P62" s="5">
        <f>'Baseline System Analysis'!P18</f>
        <v>5.0998199187814679</v>
      </c>
      <c r="Q62" s="5">
        <f>'Baseline System Analysis'!Q18</f>
        <v>5.2273154167510043</v>
      </c>
      <c r="R62" s="5">
        <f>'Baseline System Analysis'!R18</f>
        <v>5.3579983021697792</v>
      </c>
      <c r="S62" s="5">
        <f>'Baseline System Analysis'!S18</f>
        <v>5.4919482597240235</v>
      </c>
      <c r="T62" s="5">
        <f>'Baseline System Analysis'!T18</f>
        <v>5.6292469662171234</v>
      </c>
      <c r="U62" s="5">
        <f>'Baseline System Analysis'!U18</f>
        <v>5.769978140372551</v>
      </c>
      <c r="V62" s="5">
        <f>'Baseline System Analysis'!V18</f>
        <v>5.914227593881864</v>
      </c>
      <c r="W62" s="5">
        <f>'Baseline System Analysis'!W18</f>
        <v>6.06208328372891</v>
      </c>
      <c r="X62" s="5">
        <f>'Baseline System Analysis'!X18</f>
        <v>6.2136353658221326</v>
      </c>
      <c r="Y62" s="5">
        <f>'Baseline System Analysis'!Y18</f>
        <v>6.3689762499676856</v>
      </c>
      <c r="Z62" s="5">
        <f>'Baseline System Analysis'!Z18</f>
        <v>6.5282006562168773</v>
      </c>
      <c r="AA62" s="5">
        <f>'Baseline System Analysis'!AA18</f>
        <v>6.6914056726222988</v>
      </c>
      <c r="AB62" s="5">
        <f>'Baseline System Analysis'!AB18</f>
        <v>6.858690814437856</v>
      </c>
      <c r="AC62" s="5">
        <f>'Baseline System Analysis'!AC18</f>
        <v>7.0301580847988019</v>
      </c>
      <c r="AD62" s="5">
        <f>'Baseline System Analysis'!AD18</f>
        <v>7.2059120369187717</v>
      </c>
    </row>
    <row r="63" spans="1:30" x14ac:dyDescent="0.35">
      <c r="A63" s="88" t="str">
        <f>'Baseline System Analysis'!A19</f>
        <v>Commerical</v>
      </c>
      <c r="B63" s="88" t="str">
        <f>'Baseline System Analysis'!B19</f>
        <v>Cost of Reliability (N-1)</v>
      </c>
      <c r="C63" s="88" t="str">
        <f>'Baseline System Analysis'!C19</f>
        <v>$/kWh</v>
      </c>
      <c r="D63" s="5">
        <f>'Baseline System Analysis'!D19</f>
        <v>166.59767191406246</v>
      </c>
      <c r="E63" s="5">
        <f>'Baseline System Analysis'!E19</f>
        <v>170.76261371191401</v>
      </c>
      <c r="F63" s="5">
        <f>'Baseline System Analysis'!F19</f>
        <v>175.03167905471184</v>
      </c>
      <c r="G63" s="5">
        <f>'Baseline System Analysis'!G19</f>
        <v>179.40747103107964</v>
      </c>
      <c r="H63" s="5">
        <f>'Baseline System Analysis'!H19</f>
        <v>183.89265780685662</v>
      </c>
      <c r="I63" s="5">
        <f>'Baseline System Analysis'!I19</f>
        <v>188.48997425202802</v>
      </c>
      <c r="J63" s="5">
        <f>'Baseline System Analysis'!J19</f>
        <v>193.20222360832869</v>
      </c>
      <c r="K63" s="5">
        <f>'Baseline System Analysis'!K19</f>
        <v>198.03227919853688</v>
      </c>
      <c r="L63" s="5">
        <f>'Baseline System Analysis'!L19</f>
        <v>202.98308617850029</v>
      </c>
      <c r="M63" s="5">
        <f>'Baseline System Analysis'!M19</f>
        <v>208.05766333296279</v>
      </c>
      <c r="N63" s="5">
        <f>'Baseline System Analysis'!N19</f>
        <v>213.25910491628684</v>
      </c>
      <c r="O63" s="5">
        <f>'Baseline System Analysis'!O19</f>
        <v>218.590582539194</v>
      </c>
      <c r="P63" s="5">
        <f>'Baseline System Analysis'!P19</f>
        <v>224.05534710267384</v>
      </c>
      <c r="Q63" s="5">
        <f>'Baseline System Analysis'!Q19</f>
        <v>229.65673078024065</v>
      </c>
      <c r="R63" s="5">
        <f>'Baseline System Analysis'!R19</f>
        <v>235.39814904974665</v>
      </c>
      <c r="S63" s="5">
        <f>'Baseline System Analysis'!S19</f>
        <v>241.2831027759903</v>
      </c>
      <c r="T63" s="5">
        <f>'Baseline System Analysis'!T19</f>
        <v>247.31518034539005</v>
      </c>
      <c r="U63" s="5">
        <f>'Baseline System Analysis'!U19</f>
        <v>253.49805985402477</v>
      </c>
      <c r="V63" s="5">
        <f>'Baseline System Analysis'!V19</f>
        <v>259.83551135037538</v>
      </c>
      <c r="W63" s="5">
        <f>'Baseline System Analysis'!W19</f>
        <v>266.33139913413476</v>
      </c>
      <c r="X63" s="5">
        <f>'Baseline System Analysis'!X19</f>
        <v>272.98968411248808</v>
      </c>
      <c r="Y63" s="5">
        <f>'Baseline System Analysis'!Y19</f>
        <v>279.81442621530027</v>
      </c>
      <c r="Z63" s="5">
        <f>'Baseline System Analysis'!Z19</f>
        <v>286.80978687068273</v>
      </c>
      <c r="AA63" s="5">
        <f>'Baseline System Analysis'!AA19</f>
        <v>293.98003154244975</v>
      </c>
      <c r="AB63" s="5">
        <f>'Baseline System Analysis'!AB19</f>
        <v>301.32953233101097</v>
      </c>
      <c r="AC63" s="5">
        <f>'Baseline System Analysis'!AC19</f>
        <v>308.86277063928623</v>
      </c>
      <c r="AD63" s="5">
        <f>'Baseline System Analysis'!AD19</f>
        <v>316.58433990526834</v>
      </c>
    </row>
    <row r="64" spans="1:30" x14ac:dyDescent="0.35">
      <c r="A64" s="88" t="str">
        <f>'Baseline System Analysis'!A20</f>
        <v>Commerical</v>
      </c>
      <c r="B64" s="88" t="str">
        <f>'Baseline System Analysis'!B20</f>
        <v>Cost of Reliability (N-0)</v>
      </c>
      <c r="C64" s="88" t="str">
        <f>'Baseline System Analysis'!C20</f>
        <v>$/kWh</v>
      </c>
      <c r="D64" s="5">
        <f>'Baseline System Analysis'!D20</f>
        <v>153.83719106445315</v>
      </c>
      <c r="E64" s="5">
        <f>'Baseline System Analysis'!E20</f>
        <v>157.68312084106446</v>
      </c>
      <c r="F64" s="5">
        <f>'Baseline System Analysis'!F20</f>
        <v>161.62519886209105</v>
      </c>
      <c r="G64" s="5">
        <f>'Baseline System Analysis'!G20</f>
        <v>165.6658288336433</v>
      </c>
      <c r="H64" s="5">
        <f>'Baseline System Analysis'!H20</f>
        <v>169.80747455448437</v>
      </c>
      <c r="I64" s="5">
        <f>'Baseline System Analysis'!I20</f>
        <v>174.05266141834647</v>
      </c>
      <c r="J64" s="5">
        <f>'Baseline System Analysis'!J20</f>
        <v>178.40397795380511</v>
      </c>
      <c r="K64" s="5">
        <f>'Baseline System Analysis'!K20</f>
        <v>182.86407740265022</v>
      </c>
      <c r="L64" s="5">
        <f>'Baseline System Analysis'!L20</f>
        <v>187.43567933771646</v>
      </c>
      <c r="M64" s="5">
        <f>'Baseline System Analysis'!M20</f>
        <v>192.12157132115937</v>
      </c>
      <c r="N64" s="5">
        <f>'Baseline System Analysis'!N20</f>
        <v>196.92461060418833</v>
      </c>
      <c r="O64" s="5">
        <f>'Baseline System Analysis'!O20</f>
        <v>201.84772586929301</v>
      </c>
      <c r="P64" s="5">
        <f>'Baseline System Analysis'!P20</f>
        <v>206.89391901602534</v>
      </c>
      <c r="Q64" s="5">
        <f>'Baseline System Analysis'!Q20</f>
        <v>212.06626699142595</v>
      </c>
      <c r="R64" s="5">
        <f>'Baseline System Analysis'!R20</f>
        <v>217.36792366621157</v>
      </c>
      <c r="S64" s="5">
        <f>'Baseline System Analysis'!S20</f>
        <v>222.80212175786684</v>
      </c>
      <c r="T64" s="5">
        <f>'Baseline System Analysis'!T20</f>
        <v>228.37217480181349</v>
      </c>
      <c r="U64" s="5">
        <f>'Baseline System Analysis'!U20</f>
        <v>234.0814791718588</v>
      </c>
      <c r="V64" s="5">
        <f>'Baseline System Analysis'!V20</f>
        <v>239.93351615115526</v>
      </c>
      <c r="W64" s="5">
        <f>'Baseline System Analysis'!W20</f>
        <v>245.93185405493412</v>
      </c>
      <c r="X64" s="5">
        <f>'Baseline System Analysis'!X20</f>
        <v>252.08015040630744</v>
      </c>
      <c r="Y64" s="5">
        <f>'Baseline System Analysis'!Y20</f>
        <v>258.38215416646511</v>
      </c>
      <c r="Z64" s="5">
        <f>'Baseline System Analysis'!Z20</f>
        <v>264.8417080206267</v>
      </c>
      <c r="AA64" s="5">
        <f>'Baseline System Analysis'!AA20</f>
        <v>271.46275072114236</v>
      </c>
      <c r="AB64" s="5">
        <f>'Baseline System Analysis'!AB20</f>
        <v>278.24931948917089</v>
      </c>
      <c r="AC64" s="5">
        <f>'Baseline System Analysis'!AC20</f>
        <v>285.20555247640016</v>
      </c>
      <c r="AD64" s="5">
        <f>'Baseline System Analysis'!AD20</f>
        <v>292.33569128831016</v>
      </c>
    </row>
    <row r="66" spans="1:30" x14ac:dyDescent="0.35">
      <c r="A66" s="88" t="s">
        <v>130</v>
      </c>
      <c r="B66" s="88" t="s">
        <v>31</v>
      </c>
      <c r="C66" s="20">
        <f>NPV('Cost Assumptions'!$B$3,D66:AD66)</f>
        <v>269381.12700425152</v>
      </c>
      <c r="D66" s="5">
        <f>'Baseline System Analysis'!D24-D35</f>
        <v>85.467055666139231</v>
      </c>
      <c r="E66" s="5">
        <f>'Baseline System Analysis'!E24-E35</f>
        <v>-38.570120586914072</v>
      </c>
      <c r="F66" s="5">
        <f>'Baseline System Analysis'!F24-F35</f>
        <v>-162.6072968399676</v>
      </c>
      <c r="G66" s="5">
        <f>'Baseline System Analysis'!G24-G35</f>
        <v>-286.64447309302159</v>
      </c>
      <c r="H66" s="5">
        <f>'Baseline System Analysis'!H24-H35</f>
        <v>-410.68164934607557</v>
      </c>
      <c r="I66" s="5">
        <f>'Baseline System Analysis'!I24-I35</f>
        <v>-534.71882559912774</v>
      </c>
      <c r="J66" s="5">
        <f>'Baseline System Analysis'!J24-J35</f>
        <v>-658.75600185218173</v>
      </c>
      <c r="K66" s="5">
        <f>'Baseline System Analysis'!K24-K35</f>
        <v>-2391.6345996189375</v>
      </c>
      <c r="L66" s="5">
        <f>'Baseline System Analysis'!L24-L35</f>
        <v>-4124.5131973856915</v>
      </c>
      <c r="M66" s="5">
        <f>'Baseline System Analysis'!M24-M35</f>
        <v>-5857.391795152449</v>
      </c>
      <c r="N66" s="5">
        <f>'Baseline System Analysis'!N24-N35</f>
        <v>-7590.2703929191994</v>
      </c>
      <c r="O66" s="5">
        <f>'Baseline System Analysis'!O24-O35</f>
        <v>24057.891091915619</v>
      </c>
      <c r="P66" s="5">
        <f>'Baseline System Analysis'!P24-P35</f>
        <v>29903.544141156759</v>
      </c>
      <c r="Q66" s="5">
        <f>'Baseline System Analysis'!Q24-Q35</f>
        <v>35749.197190397899</v>
      </c>
      <c r="R66" s="5">
        <f>'Baseline System Analysis'!R24-R35</f>
        <v>41594.850239639025</v>
      </c>
      <c r="S66" s="5">
        <f>'Baseline System Analysis'!S24-S35</f>
        <v>47440.503288880165</v>
      </c>
      <c r="T66" s="5">
        <f>'Baseline System Analysis'!T24-T35</f>
        <v>53286.156338121335</v>
      </c>
      <c r="U66" s="5">
        <f>'Baseline System Analysis'!U24-U35</f>
        <v>75095.461311902967</v>
      </c>
      <c r="V66" s="5">
        <f>'Baseline System Analysis'!V24-V35</f>
        <v>96904.7662856846</v>
      </c>
      <c r="W66" s="5">
        <f>'Baseline System Analysis'!W24-W35</f>
        <v>118714.07125946629</v>
      </c>
      <c r="X66" s="5">
        <f>'Baseline System Analysis'!X24-X35</f>
        <v>140523.37623324792</v>
      </c>
      <c r="Y66" s="5">
        <f>'Baseline System Analysis'!Y24-Y35</f>
        <v>162332.6812070295</v>
      </c>
      <c r="Z66" s="5">
        <f>'Baseline System Analysis'!Z24-Z35</f>
        <v>208367.22552696557</v>
      </c>
      <c r="AA66" s="5">
        <f>'Baseline System Analysis'!AA24-AA35</f>
        <v>254401.76984690165</v>
      </c>
      <c r="AB66" s="5">
        <f>'Baseline System Analysis'!AB24-AB35</f>
        <v>300436.31416683784</v>
      </c>
      <c r="AC66" s="5">
        <f>'Baseline System Analysis'!AC24-AC35</f>
        <v>346470.85848677414</v>
      </c>
      <c r="AD66" s="5">
        <f>'Baseline System Analysis'!AD24-AD35</f>
        <v>392505.40280670999</v>
      </c>
    </row>
    <row r="67" spans="1:30" x14ac:dyDescent="0.35">
      <c r="A67" s="88" t="s">
        <v>132</v>
      </c>
      <c r="B67" s="88" t="s">
        <v>31</v>
      </c>
      <c r="C67" s="20">
        <f>NPV('Cost Assumptions'!$B$3,D67:AD67)</f>
        <v>1117793.1690891238</v>
      </c>
      <c r="D67" s="5">
        <f>'Baseline System Analysis'!D25-D36</f>
        <v>354.64433632821692</v>
      </c>
      <c r="E67" s="5">
        <f>'Baseline System Analysis'!E25-E36</f>
        <v>-160.04616879606328</v>
      </c>
      <c r="F67" s="5">
        <f>'Baseline System Analysis'!F25-F36</f>
        <v>-674.73667392034622</v>
      </c>
      <c r="G67" s="5">
        <f>'Baseline System Analysis'!G25-G36</f>
        <v>-1189.4271790446255</v>
      </c>
      <c r="H67" s="5">
        <f>'Baseline System Analysis'!H25-H36</f>
        <v>-1704.1176841689012</v>
      </c>
      <c r="I67" s="5">
        <f>'Baseline System Analysis'!I25-I36</f>
        <v>-2218.8081892931805</v>
      </c>
      <c r="J67" s="5">
        <f>'Baseline System Analysis'!J25-J36</f>
        <v>-2733.498694417467</v>
      </c>
      <c r="K67" s="5">
        <f>'Baseline System Analysis'!K25-K36</f>
        <v>-9924.0538791310828</v>
      </c>
      <c r="L67" s="5">
        <f>'Baseline System Analysis'!L25-L36</f>
        <v>-17114.609063844706</v>
      </c>
      <c r="M67" s="5">
        <f>'Baseline System Analysis'!M25-M36</f>
        <v>-24305.164248558314</v>
      </c>
      <c r="N67" s="5">
        <f>'Baseline System Analysis'!N25-N36</f>
        <v>-31495.719433271966</v>
      </c>
      <c r="O67" s="5">
        <f>'Baseline System Analysis'!O25-O36</f>
        <v>99827.87816018358</v>
      </c>
      <c r="P67" s="5">
        <f>'Baseline System Analysis'!P25-P36</f>
        <v>124084.3326489334</v>
      </c>
      <c r="Q67" s="5">
        <f>'Baseline System Analysis'!Q25-Q36</f>
        <v>148340.78713768325</v>
      </c>
      <c r="R67" s="5">
        <f>'Baseline System Analysis'!R25-R36</f>
        <v>172597.2416264331</v>
      </c>
      <c r="S67" s="5">
        <f>'Baseline System Analysis'!S25-S36</f>
        <v>196853.69611518295</v>
      </c>
      <c r="T67" s="5">
        <f>'Baseline System Analysis'!T25-T36</f>
        <v>221110.15060393268</v>
      </c>
      <c r="U67" s="5">
        <f>'Baseline System Analysis'!U25-U36</f>
        <v>311607.55253175902</v>
      </c>
      <c r="V67" s="5">
        <f>'Baseline System Analysis'!V25-V36</f>
        <v>402104.95445958525</v>
      </c>
      <c r="W67" s="5">
        <f>'Baseline System Analysis'!W25-W36</f>
        <v>492602.35638741124</v>
      </c>
      <c r="X67" s="5">
        <f>'Baseline System Analysis'!X25-X36</f>
        <v>583099.75831523724</v>
      </c>
      <c r="Y67" s="5">
        <f>'Baseline System Analysis'!Y25-Y36</f>
        <v>673597.1602430637</v>
      </c>
      <c r="Z67" s="5">
        <f>'Baseline System Analysis'!Z25-Z36</f>
        <v>864616.84954053629</v>
      </c>
      <c r="AA67" s="5">
        <f>'Baseline System Analysis'!AA25-AA36</f>
        <v>1055636.5388380084</v>
      </c>
      <c r="AB67" s="5">
        <f>'Baseline System Analysis'!AB25-AB36</f>
        <v>1246656.2281354805</v>
      </c>
      <c r="AC67" s="5">
        <f>'Baseline System Analysis'!AC25-AC36</f>
        <v>1437675.9174329527</v>
      </c>
      <c r="AD67" s="5">
        <f>'Baseline System Analysis'!AD25-AD36</f>
        <v>1628695.6067304276</v>
      </c>
    </row>
    <row r="68" spans="1:30" x14ac:dyDescent="0.35">
      <c r="A68" s="88" t="s">
        <v>24</v>
      </c>
      <c r="B68" s="88" t="s">
        <v>31</v>
      </c>
      <c r="C68" s="20">
        <f>NPV('Cost Assumptions'!$B$3,D68:AD68)</f>
        <v>1387174.2960933757</v>
      </c>
      <c r="D68" s="5">
        <f>SUM(D66:D67)</f>
        <v>440.11139199435615</v>
      </c>
      <c r="E68" s="5">
        <f t="shared" ref="E68:AD68" si="37">SUM(E66:E67)</f>
        <v>-198.61628938297736</v>
      </c>
      <c r="F68" s="5">
        <f t="shared" si="37"/>
        <v>-837.34397076031382</v>
      </c>
      <c r="G68" s="5">
        <f t="shared" si="37"/>
        <v>-1476.0716521376471</v>
      </c>
      <c r="H68" s="5">
        <f t="shared" si="37"/>
        <v>-2114.7993335149768</v>
      </c>
      <c r="I68" s="5">
        <f t="shared" si="37"/>
        <v>-2753.5270148923082</v>
      </c>
      <c r="J68" s="5">
        <f t="shared" si="37"/>
        <v>-3392.2546962696488</v>
      </c>
      <c r="K68" s="5">
        <f t="shared" si="37"/>
        <v>-12315.68847875002</v>
      </c>
      <c r="L68" s="5">
        <f t="shared" si="37"/>
        <v>-21239.122261230397</v>
      </c>
      <c r="M68" s="5">
        <f t="shared" si="37"/>
        <v>-30162.556043710763</v>
      </c>
      <c r="N68" s="5">
        <f t="shared" si="37"/>
        <v>-39085.989826191166</v>
      </c>
      <c r="O68" s="5">
        <f t="shared" si="37"/>
        <v>123885.7692520992</v>
      </c>
      <c r="P68" s="5">
        <f t="shared" si="37"/>
        <v>153987.87679009017</v>
      </c>
      <c r="Q68" s="5">
        <f t="shared" si="37"/>
        <v>184089.98432808113</v>
      </c>
      <c r="R68" s="5">
        <f t="shared" si="37"/>
        <v>214192.09186607212</v>
      </c>
      <c r="S68" s="5">
        <f t="shared" si="37"/>
        <v>244294.19940406311</v>
      </c>
      <c r="T68" s="5">
        <f t="shared" si="37"/>
        <v>274396.30694205401</v>
      </c>
      <c r="U68" s="5">
        <f t="shared" si="37"/>
        <v>386703.01384366199</v>
      </c>
      <c r="V68" s="5">
        <f t="shared" si="37"/>
        <v>499009.72074526985</v>
      </c>
      <c r="W68" s="5">
        <f t="shared" si="37"/>
        <v>611316.42764687748</v>
      </c>
      <c r="X68" s="5">
        <f t="shared" si="37"/>
        <v>723623.13454848516</v>
      </c>
      <c r="Y68" s="5">
        <f t="shared" si="37"/>
        <v>835929.8414500932</v>
      </c>
      <c r="Z68" s="5">
        <f t="shared" si="37"/>
        <v>1072984.075067502</v>
      </c>
      <c r="AA68" s="5">
        <f t="shared" si="37"/>
        <v>1310038.3086849102</v>
      </c>
      <c r="AB68" s="5">
        <f t="shared" si="37"/>
        <v>1547092.5423023184</v>
      </c>
      <c r="AC68" s="5">
        <f t="shared" si="37"/>
        <v>1784146.7759197268</v>
      </c>
      <c r="AD68" s="5">
        <f t="shared" si="37"/>
        <v>2021201.0095371376</v>
      </c>
    </row>
    <row r="69" spans="1:30" x14ac:dyDescent="0.35">
      <c r="A69" s="88"/>
      <c r="B69" s="88"/>
      <c r="C69" s="8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x14ac:dyDescent="0.35">
      <c r="A70" s="88" t="s">
        <v>133</v>
      </c>
      <c r="B70" s="88" t="s">
        <v>31</v>
      </c>
      <c r="C70" s="20">
        <f>NPV('Cost Assumptions'!$B$3,D70:AD70)</f>
        <v>46148462.877493083</v>
      </c>
      <c r="D70" s="5">
        <f>'Baseline System Analysis'!D28-D33</f>
        <v>160316.96625268596</v>
      </c>
      <c r="E70" s="5">
        <f>'Baseline System Analysis'!E28-E33</f>
        <v>426669.25690772623</v>
      </c>
      <c r="F70" s="5">
        <f>'Baseline System Analysis'!F28-F33</f>
        <v>622795.96524369309</v>
      </c>
      <c r="G70" s="5">
        <f>'Baseline System Analysis'!G28-G33</f>
        <v>833703.43870740035</v>
      </c>
      <c r="H70" s="5">
        <f>'Baseline System Analysis'!H28-H33</f>
        <v>1064554.7712044911</v>
      </c>
      <c r="I70" s="5">
        <f>'Baseline System Analysis'!I28-I33</f>
        <v>1155250.6032801536</v>
      </c>
      <c r="J70" s="5">
        <f>'Baseline System Analysis'!J28-J33</f>
        <v>1567814.7930424134</v>
      </c>
      <c r="K70" s="5">
        <f>'Baseline System Analysis'!K28-K33</f>
        <v>2064587.6916558424</v>
      </c>
      <c r="L70" s="5">
        <f>'Baseline System Analysis'!L28-L33</f>
        <v>2485972.1963254735</v>
      </c>
      <c r="M70" s="5">
        <f>'Baseline System Analysis'!M28-M33</f>
        <v>2907214.7827229644</v>
      </c>
      <c r="N70" s="5">
        <f>'Baseline System Analysis'!N28-N33</f>
        <v>3653487.05439856</v>
      </c>
      <c r="O70" s="5">
        <f>'Baseline System Analysis'!O28-O33</f>
        <v>4512360.7012723647</v>
      </c>
      <c r="P70" s="5">
        <f>'Baseline System Analysis'!P28-P33</f>
        <v>5845712.9395959051</v>
      </c>
      <c r="Q70" s="5">
        <f>'Baseline System Analysis'!Q28-Q33</f>
        <v>7145234.3901076168</v>
      </c>
      <c r="R70" s="5">
        <f>'Baseline System Analysis'!R28-R33</f>
        <v>9104342.6872677077</v>
      </c>
      <c r="S70" s="5">
        <f>'Baseline System Analysis'!S28-S33</f>
        <v>11293600.929913701</v>
      </c>
      <c r="T70" s="5">
        <f>'Baseline System Analysis'!T28-T33</f>
        <v>13653110.827528737</v>
      </c>
      <c r="U70" s="5">
        <f>'Baseline System Analysis'!U28-U33</f>
        <v>15952211.347053576</v>
      </c>
      <c r="V70" s="5">
        <f>'Baseline System Analysis'!V28-V33</f>
        <v>17606189.214987557</v>
      </c>
      <c r="W70" s="5">
        <f>'Baseline System Analysis'!W28-W33</f>
        <v>19191520.464875378</v>
      </c>
      <c r="X70" s="5">
        <f>'Baseline System Analysis'!X28-X33</f>
        <v>21130925.636408489</v>
      </c>
      <c r="Y70" s="5">
        <f>'Baseline System Analysis'!Y28-Y33</f>
        <v>22556427.857603773</v>
      </c>
      <c r="Z70" s="5">
        <f>'Baseline System Analysis'!Z28-Z33</f>
        <v>23932953.467595533</v>
      </c>
      <c r="AA70" s="5">
        <f>'Baseline System Analysis'!AA28-AA33</f>
        <v>24679846.960469812</v>
      </c>
      <c r="AB70" s="5">
        <f>'Baseline System Analysis'!AB28-AB33</f>
        <v>25472555.13066636</v>
      </c>
      <c r="AC70" s="5">
        <f>'Baseline System Analysis'!AC28-AC33</f>
        <v>25277468.626900051</v>
      </c>
      <c r="AD70" s="5">
        <f>'Baseline System Analysis'!AD28-AD33</f>
        <v>24224314.714087073</v>
      </c>
    </row>
    <row r="71" spans="1:30" x14ac:dyDescent="0.35">
      <c r="A71" s="88" t="s">
        <v>134</v>
      </c>
      <c r="B71" s="88" t="s">
        <v>31</v>
      </c>
      <c r="C71" s="20">
        <f>NPV('Cost Assumptions'!$B$3,D71:AD71)</f>
        <v>202793803.49667048</v>
      </c>
      <c r="D71" s="5">
        <f>'Baseline System Analysis'!D29-D34</f>
        <v>903378.82566768141</v>
      </c>
      <c r="E71" s="5">
        <f>'Baseline System Analysis'!E29-E34</f>
        <v>2253314.5961599764</v>
      </c>
      <c r="F71" s="5">
        <f>'Baseline System Analysis'!F29-F34</f>
        <v>3310509.516156707</v>
      </c>
      <c r="G71" s="5">
        <f>'Baseline System Analysis'!G29-G34</f>
        <v>4447440.2170750583</v>
      </c>
      <c r="H71" s="5">
        <f>'Baseline System Analysis'!H29-H34</f>
        <v>5587242.1815372296</v>
      </c>
      <c r="I71" s="5">
        <f>'Baseline System Analysis'!I29-I34</f>
        <v>5454561.6522228802</v>
      </c>
      <c r="J71" s="5">
        <f>'Baseline System Analysis'!J29-J34</f>
        <v>7543245.1947770724</v>
      </c>
      <c r="K71" s="5">
        <f>'Baseline System Analysis'!K29-K34</f>
        <v>10054559.779896669</v>
      </c>
      <c r="L71" s="5">
        <f>'Baseline System Analysis'!L29-L34</f>
        <v>11610814.214658689</v>
      </c>
      <c r="M71" s="5">
        <f>'Baseline System Analysis'!M29-M34</f>
        <v>12826351.057208685</v>
      </c>
      <c r="N71" s="5">
        <f>'Baseline System Analysis'!N29-N34</f>
        <v>16062284.122916382</v>
      </c>
      <c r="O71" s="5">
        <f>'Baseline System Analysis'!O29-O34</f>
        <v>19403643.120637149</v>
      </c>
      <c r="P71" s="5">
        <f>'Baseline System Analysis'!P29-P34</f>
        <v>25219740.504592769</v>
      </c>
      <c r="Q71" s="5">
        <f>'Baseline System Analysis'!Q29-Q34</f>
        <v>31071411.196852271</v>
      </c>
      <c r="R71" s="5">
        <f>'Baseline System Analysis'!R29-R34</f>
        <v>39644741.256940469</v>
      </c>
      <c r="S71" s="5">
        <f>'Baseline System Analysis'!S29-S34</f>
        <v>49599271.300797775</v>
      </c>
      <c r="T71" s="5">
        <f>'Baseline System Analysis'!T29-T34</f>
        <v>60430397.751430772</v>
      </c>
      <c r="U71" s="5">
        <f>'Baseline System Analysis'!U29-U34</f>
        <v>70869056.210212797</v>
      </c>
      <c r="V71" s="5">
        <f>'Baseline System Analysis'!V29-V34</f>
        <v>77016835.258961186</v>
      </c>
      <c r="W71" s="5">
        <f>'Baseline System Analysis'!W29-W34</f>
        <v>83157933.201460063</v>
      </c>
      <c r="X71" s="5">
        <f>'Baseline System Analysis'!X29-X34</f>
        <v>90916024.340420872</v>
      </c>
      <c r="Y71" s="5">
        <f>'Baseline System Analysis'!Y29-Y34</f>
        <v>96739963.141800642</v>
      </c>
      <c r="Z71" s="5">
        <f>'Baseline System Analysis'!Z29-Z34</f>
        <v>102827921.72216666</v>
      </c>
      <c r="AA71" s="5">
        <f>'Baseline System Analysis'!AA29-AA34</f>
        <v>104206158.13417274</v>
      </c>
      <c r="AB71" s="5">
        <f>'Baseline System Analysis'!AB29-AB34</f>
        <v>106199262.12275255</v>
      </c>
      <c r="AC71" s="5">
        <f>'Baseline System Analysis'!AC29-AC34</f>
        <v>105198491.99873449</v>
      </c>
      <c r="AD71" s="5">
        <f>'Baseline System Analysis'!AD29-AD34</f>
        <v>98385818.289623424</v>
      </c>
    </row>
    <row r="72" spans="1:30" x14ac:dyDescent="0.35">
      <c r="A72" s="88" t="s">
        <v>24</v>
      </c>
      <c r="B72" s="88" t="s">
        <v>31</v>
      </c>
      <c r="C72" s="20">
        <f>NPV('Cost Assumptions'!$B$3,D72:AD72)</f>
        <v>248942266.37416357</v>
      </c>
      <c r="D72" s="5">
        <f>SUM(D70:D71)</f>
        <v>1063695.7919203674</v>
      </c>
      <c r="E72" s="5">
        <f t="shared" ref="E72:AD72" si="38">SUM(E70:E71)</f>
        <v>2679983.8530677026</v>
      </c>
      <c r="F72" s="5">
        <f t="shared" si="38"/>
        <v>3933305.4814003999</v>
      </c>
      <c r="G72" s="5">
        <f t="shared" si="38"/>
        <v>5281143.6557824584</v>
      </c>
      <c r="H72" s="5">
        <f t="shared" si="38"/>
        <v>6651796.9527417207</v>
      </c>
      <c r="I72" s="5">
        <f t="shared" si="38"/>
        <v>6609812.2555030342</v>
      </c>
      <c r="J72" s="5">
        <f t="shared" si="38"/>
        <v>9111059.9878194854</v>
      </c>
      <c r="K72" s="5">
        <f t="shared" si="38"/>
        <v>12119147.471552512</v>
      </c>
      <c r="L72" s="5">
        <f t="shared" si="38"/>
        <v>14096786.410984162</v>
      </c>
      <c r="M72" s="5">
        <f t="shared" si="38"/>
        <v>15733565.83993165</v>
      </c>
      <c r="N72" s="5">
        <f t="shared" si="38"/>
        <v>19715771.177314941</v>
      </c>
      <c r="O72" s="5">
        <f t="shared" si="38"/>
        <v>23916003.821909513</v>
      </c>
      <c r="P72" s="5">
        <f t="shared" si="38"/>
        <v>31065453.444188673</v>
      </c>
      <c r="Q72" s="5">
        <f t="shared" si="38"/>
        <v>38216645.586959884</v>
      </c>
      <c r="R72" s="5">
        <f t="shared" si="38"/>
        <v>48749083.944208175</v>
      </c>
      <c r="S72" s="5">
        <f t="shared" si="38"/>
        <v>60892872.230711475</v>
      </c>
      <c r="T72" s="5">
        <f t="shared" si="38"/>
        <v>74083508.57895951</v>
      </c>
      <c r="U72" s="5">
        <f t="shared" si="38"/>
        <v>86821267.557266369</v>
      </c>
      <c r="V72" s="5">
        <f t="shared" si="38"/>
        <v>94623024.473948747</v>
      </c>
      <c r="W72" s="5">
        <f t="shared" si="38"/>
        <v>102349453.66633543</v>
      </c>
      <c r="X72" s="5">
        <f t="shared" si="38"/>
        <v>112046949.97682936</v>
      </c>
      <c r="Y72" s="5">
        <f t="shared" si="38"/>
        <v>119296390.99940442</v>
      </c>
      <c r="Z72" s="5">
        <f t="shared" si="38"/>
        <v>126760875.18976219</v>
      </c>
      <c r="AA72" s="5">
        <f t="shared" si="38"/>
        <v>128886005.09464255</v>
      </c>
      <c r="AB72" s="5">
        <f t="shared" si="38"/>
        <v>131671817.25341891</v>
      </c>
      <c r="AC72" s="5">
        <f t="shared" si="38"/>
        <v>130475960.62563454</v>
      </c>
      <c r="AD72" s="5">
        <f t="shared" si="38"/>
        <v>122610133.00371049</v>
      </c>
    </row>
    <row r="74" spans="1:30" x14ac:dyDescent="0.35">
      <c r="A74" s="88" t="s">
        <v>130</v>
      </c>
      <c r="B74" s="88" t="s">
        <v>157</v>
      </c>
      <c r="C74" s="20">
        <f>NPV('Cost Assumptions'!$B$3,D74:AD74)</f>
        <v>297333610.12366217</v>
      </c>
      <c r="D74" s="63">
        <f>ABS((D50*D61*1000*'Cost Assumptions'!$B$6)/'Cost Assumptions'!$B$14)</f>
        <v>6621897.8890077285</v>
      </c>
      <c r="E74" s="63">
        <f>ABS((E50*E61*1000*'Cost Assumptions'!$B$6)/'Cost Assumptions'!$B$14)</f>
        <v>9025240.0833087191</v>
      </c>
      <c r="F74" s="63">
        <f>ABS((F50*F61*1000*'Cost Assumptions'!$B$6)/'Cost Assumptions'!$B$14)</f>
        <v>11544610.701144125</v>
      </c>
      <c r="G74" s="63">
        <f>ABS((G50*G61*1000*'Cost Assumptions'!$B$6)/'Cost Assumptions'!$B$14)</f>
        <v>14184309.074819231</v>
      </c>
      <c r="H74" s="63">
        <f>ABS((H50*H61*1000*'Cost Assumptions'!$B$6)/'Cost Assumptions'!$B$14)</f>
        <v>16948776.985489886</v>
      </c>
      <c r="I74" s="63">
        <f>ABS((I50*I61*1000*'Cost Assumptions'!$B$6)/'Cost Assumptions'!$B$14)</f>
        <v>19842603.098522302</v>
      </c>
      <c r="J74" s="63">
        <f>ABS((J50*J61*1000*'Cost Assumptions'!$B$6)/'Cost Assumptions'!$B$14)</f>
        <v>22870527.531590406</v>
      </c>
      <c r="K74" s="63">
        <f>ABS((K50*K61*1000*'Cost Assumptions'!$B$6)/'Cost Assumptions'!$B$14)</f>
        <v>26037446.559375346</v>
      </c>
      <c r="L74" s="63">
        <f>ABS((L50*L61*1000*'Cost Assumptions'!$B$6)/'Cost Assumptions'!$B$14)</f>
        <v>29841138.801012903</v>
      </c>
      <c r="M74" s="63">
        <f>ABS((M50*M61*1000*'Cost Assumptions'!$B$6)/'Cost Assumptions'!$B$14)</f>
        <v>32808663.499182958</v>
      </c>
      <c r="N74" s="63">
        <f>ABS((N50*N61*1000*'Cost Assumptions'!$B$6)/'Cost Assumptions'!$B$14)</f>
        <v>36423579.080628879</v>
      </c>
      <c r="O74" s="63">
        <f>ABS((O50*O61*1000*'Cost Assumptions'!$B$6)/'Cost Assumptions'!$B$14)</f>
        <v>40198735.026460111</v>
      </c>
      <c r="P74" s="63">
        <f>ABS((P50*P61*1000*'Cost Assumptions'!$B$6)/'Cost Assumptions'!$B$14)</f>
        <v>44139884.032657534</v>
      </c>
      <c r="Q74" s="63">
        <f>ABS((Q50*Q61*1000*'Cost Assumptions'!$B$6)/'Cost Assumptions'!$B$14)</f>
        <v>48252966.279773265</v>
      </c>
      <c r="R74" s="63">
        <f>ABS((R50*R61*1000*'Cost Assumptions'!$B$6)/'Cost Assumptions'!$B$14)</f>
        <v>52544115.211724363</v>
      </c>
      <c r="S74" s="63">
        <f>ABS((S50*S61*1000*'Cost Assumptions'!$B$6)/'Cost Assumptions'!$B$14)</f>
        <v>57019663.486348182</v>
      </c>
      <c r="T74" s="63">
        <f>ABS((T50*T61*1000*'Cost Assumptions'!$B$6)/'Cost Assumptions'!$B$14)</f>
        <v>61686149.102695853</v>
      </c>
      <c r="U74" s="63">
        <f>ABS((U50*U61*1000*'Cost Assumptions'!$B$6)/'Cost Assumptions'!$B$14)</f>
        <v>66550321.710181929</v>
      </c>
      <c r="V74" s="63">
        <f>ABS((V50*V61*1000*'Cost Assumptions'!$B$6)/'Cost Assumptions'!$B$14)</f>
        <v>71619149.104853138</v>
      </c>
      <c r="W74" s="63">
        <f>ABS((W50*W61*1000*'Cost Assumptions'!$B$6)/'Cost Assumptions'!$B$14)</f>
        <v>76899823.918189034</v>
      </c>
      <c r="X74" s="63">
        <f>ABS((X50*X61*1000*'Cost Assumptions'!$B$6)/'Cost Assumptions'!$B$14)</f>
        <v>82399770.504001215</v>
      </c>
      <c r="Y74" s="63">
        <f>ABS((Y50*Y61*1000*'Cost Assumptions'!$B$6)/'Cost Assumptions'!$B$14)</f>
        <v>88126652.029155105</v>
      </c>
      <c r="Z74" s="63">
        <f>ABS((Z50*Z61*1000*'Cost Assumptions'!$B$6)/'Cost Assumptions'!$B$14)</f>
        <v>94088377.774001688</v>
      </c>
      <c r="AA74" s="63">
        <f>ABS((AA50*AA61*1000*'Cost Assumptions'!$B$6)/'Cost Assumptions'!$B$14)</f>
        <v>100293110.6485724</v>
      </c>
      <c r="AB74" s="63">
        <f>ABS((AB50*AB61*1000*'Cost Assumptions'!$B$6)/'Cost Assumptions'!$B$14)</f>
        <v>106749274.9307629</v>
      </c>
      <c r="AC74" s="63">
        <f>ABS((AC50*AC61*1000*'Cost Assumptions'!$B$6)/'Cost Assumptions'!$B$14)</f>
        <v>113465564.23290756</v>
      </c>
      <c r="AD74" s="63">
        <f>ABS((AD50*AD61*1000*'Cost Assumptions'!$B$6)/'Cost Assumptions'!$B$14)</f>
        <v>120450949.70332776</v>
      </c>
    </row>
    <row r="75" spans="1:30" x14ac:dyDescent="0.35">
      <c r="A75" s="88" t="s">
        <v>132</v>
      </c>
      <c r="B75" s="88" t="s">
        <v>157</v>
      </c>
      <c r="C75" s="20">
        <f>NPV('Cost Assumptions'!$B$3,D75:AD75)</f>
        <v>1224905207.9130771</v>
      </c>
      <c r="D75" s="63">
        <f>ABS((D50*D63*1000*'Cost Assumptions'!$B$7)/'Cost Assumptions'!$B$14)</f>
        <v>27279785.8511209</v>
      </c>
      <c r="E75" s="63">
        <f>ABS((E50*E63*1000*'Cost Assumptions'!$B$7)/'Cost Assumptions'!$B$14)</f>
        <v>37180672.498184308</v>
      </c>
      <c r="F75" s="63">
        <f>ABS((F50*F63*1000*'Cost Assumptions'!$B$7)/'Cost Assumptions'!$B$14)</f>
        <v>47559553.611443922</v>
      </c>
      <c r="G75" s="63">
        <f>ABS((G50*G63*1000*'Cost Assumptions'!$B$7)/'Cost Assumptions'!$B$14)</f>
        <v>58434140.860055134</v>
      </c>
      <c r="H75" s="63">
        <f>ABS((H50*H63*1000*'Cost Assumptions'!$B$7)/'Cost Assumptions'!$B$14)</f>
        <v>69822732.750089809</v>
      </c>
      <c r="I75" s="63">
        <f>ABS((I50*I63*1000*'Cost Assumptions'!$B$7)/'Cost Assumptions'!$B$14)</f>
        <v>81744232.896588638</v>
      </c>
      <c r="J75" s="63">
        <f>ABS((J50*J63*1000*'Cost Assumptions'!$B$7)/'Cost Assumptions'!$B$14)</f>
        <v>94218168.842443585</v>
      </c>
      <c r="K75" s="63">
        <f>ABS((K50*K63*1000*'Cost Assumptions'!$B$7)/'Cost Assumptions'!$B$14)</f>
        <v>107264711.44003093</v>
      </c>
      <c r="L75" s="63">
        <f>ABS((L50*L63*1000*'Cost Assumptions'!$B$7)/'Cost Assumptions'!$B$14)</f>
        <v>122934525.67375529</v>
      </c>
      <c r="M75" s="63">
        <f>ABS((M50*M63*1000*'Cost Assumptions'!$B$7)/'Cost Assumptions'!$B$14)</f>
        <v>135159636.90785828</v>
      </c>
      <c r="N75" s="63">
        <f>ABS((N50*N63*1000*'Cost Assumptions'!$B$7)/'Cost Assumptions'!$B$14)</f>
        <v>150051760.67428231</v>
      </c>
      <c r="O75" s="63">
        <f>ABS((O50*O63*1000*'Cost Assumptions'!$B$7)/'Cost Assumptions'!$B$14)</f>
        <v>165604015.85596013</v>
      </c>
      <c r="P75" s="63">
        <f>ABS((P50*P63*1000*'Cost Assumptions'!$B$7)/'Cost Assumptions'!$B$14)</f>
        <v>181840101.44630048</v>
      </c>
      <c r="Q75" s="63">
        <f>ABS((Q50*Q63*1000*'Cost Assumptions'!$B$7)/'Cost Assumptions'!$B$14)</f>
        <v>198784488.80624774</v>
      </c>
      <c r="R75" s="63">
        <f>ABS((R50*R63*1000*'Cost Assumptions'!$B$7)/'Cost Assumptions'!$B$14)</f>
        <v>216462445.47078848</v>
      </c>
      <c r="S75" s="63">
        <f>ABS((S50*S63*1000*'Cost Assumptions'!$B$7)/'Cost Assumptions'!$B$14)</f>
        <v>234900059.66305235</v>
      </c>
      <c r="T75" s="63">
        <f>ABS((T50*T63*1000*'Cost Assumptions'!$B$7)/'Cost Assumptions'!$B$14)</f>
        <v>254124265.53651026</v>
      </c>
      <c r="U75" s="63">
        <f>ABS((U50*U63*1000*'Cost Assumptions'!$B$7)/'Cost Assumptions'!$B$14)</f>
        <v>274162869.16635156</v>
      </c>
      <c r="V75" s="63">
        <f>ABS((V50*V63*1000*'Cost Assumptions'!$B$7)/'Cost Assumptions'!$B$14)</f>
        <v>295044575.3117246</v>
      </c>
      <c r="W75" s="63">
        <f>ABS((W50*W63*1000*'Cost Assumptions'!$B$7)/'Cost Assumptions'!$B$14)</f>
        <v>316799014.97113734</v>
      </c>
      <c r="X75" s="63">
        <f>ABS((X50*X63*1000*'Cost Assumptions'!$B$7)/'Cost Assumptions'!$B$14)</f>
        <v>339456773.75395095</v>
      </c>
      <c r="Y75" s="63">
        <f>ABS((Y50*Y63*1000*'Cost Assumptions'!$B$7)/'Cost Assumptions'!$B$14)</f>
        <v>363049421.09154814</v>
      </c>
      <c r="Z75" s="63">
        <f>ABS((Z50*Z63*1000*'Cost Assumptions'!$B$7)/'Cost Assumptions'!$B$14)</f>
        <v>387609540.31242895</v>
      </c>
      <c r="AA75" s="63">
        <f>ABS((AA50*AA63*1000*'Cost Assumptions'!$B$7)/'Cost Assumptions'!$B$14)</f>
        <v>413170759.60617173</v>
      </c>
      <c r="AB75" s="63">
        <f>ABS((AB50*AB63*1000*'Cost Assumptions'!$B$7)/'Cost Assumptions'!$B$14)</f>
        <v>439767783.90190637</v>
      </c>
      <c r="AC75" s="63">
        <f>ABS((AC50*AC63*1000*'Cost Assumptions'!$B$7)/'Cost Assumptions'!$B$14)</f>
        <v>467436427.68767387</v>
      </c>
      <c r="AD75" s="63">
        <f>ABS((AD50*AD63*1000*'Cost Assumptions'!$B$7)/'Cost Assumptions'!$B$14)</f>
        <v>496213648.79779106</v>
      </c>
    </row>
    <row r="76" spans="1:30" x14ac:dyDescent="0.35">
      <c r="A76" s="88" t="s">
        <v>24</v>
      </c>
      <c r="B76" s="88" t="s">
        <v>157</v>
      </c>
      <c r="C76" s="20">
        <f>NPV('Cost Assumptions'!$B$3,D76:AD76)</f>
        <v>1522238818.0367386</v>
      </c>
      <c r="D76" s="63">
        <f>SUM(D74:D75)</f>
        <v>33901683.740128629</v>
      </c>
      <c r="E76" s="63">
        <f t="shared" ref="E76:AD76" si="39">SUM(E74:E75)</f>
        <v>46205912.581493028</v>
      </c>
      <c r="F76" s="63">
        <f t="shared" si="39"/>
        <v>59104164.312588051</v>
      </c>
      <c r="G76" s="63">
        <f t="shared" si="39"/>
        <v>72618449.934874371</v>
      </c>
      <c r="H76" s="63">
        <f t="shared" si="39"/>
        <v>86771509.735579699</v>
      </c>
      <c r="I76" s="63">
        <f t="shared" si="39"/>
        <v>101586835.99511094</v>
      </c>
      <c r="J76" s="63">
        <f t="shared" si="39"/>
        <v>117088696.37403399</v>
      </c>
      <c r="K76" s="63">
        <f t="shared" si="39"/>
        <v>133302157.99940628</v>
      </c>
      <c r="L76" s="63">
        <f t="shared" si="39"/>
        <v>152775664.47476819</v>
      </c>
      <c r="M76" s="63">
        <f t="shared" si="39"/>
        <v>167968300.40704125</v>
      </c>
      <c r="N76" s="63">
        <f t="shared" si="39"/>
        <v>186475339.75491118</v>
      </c>
      <c r="O76" s="63">
        <f t="shared" si="39"/>
        <v>205802750.88242024</v>
      </c>
      <c r="P76" s="63">
        <f t="shared" si="39"/>
        <v>225979985.47895801</v>
      </c>
      <c r="Q76" s="63">
        <f t="shared" si="39"/>
        <v>247037455.08602101</v>
      </c>
      <c r="R76" s="63">
        <f t="shared" si="39"/>
        <v>269006560.68251282</v>
      </c>
      <c r="S76" s="63">
        <f t="shared" si="39"/>
        <v>291919723.14940053</v>
      </c>
      <c r="T76" s="63">
        <f t="shared" si="39"/>
        <v>315810414.63920611</v>
      </c>
      <c r="U76" s="63">
        <f t="shared" si="39"/>
        <v>340713190.87653351</v>
      </c>
      <c r="V76" s="63">
        <f t="shared" si="39"/>
        <v>366663724.41657776</v>
      </c>
      <c r="W76" s="63">
        <f t="shared" si="39"/>
        <v>393698838.88932639</v>
      </c>
      <c r="X76" s="63">
        <f t="shared" si="39"/>
        <v>421856544.25795215</v>
      </c>
      <c r="Y76" s="63">
        <f t="shared" si="39"/>
        <v>451176073.12070322</v>
      </c>
      <c r="Z76" s="63">
        <f t="shared" si="39"/>
        <v>481697918.08643067</v>
      </c>
      <c r="AA76" s="63">
        <f t="shared" si="39"/>
        <v>513463870.25474411</v>
      </c>
      <c r="AB76" s="63">
        <f t="shared" si="39"/>
        <v>546517058.83266926</v>
      </c>
      <c r="AC76" s="63">
        <f t="shared" si="39"/>
        <v>580901991.92058146</v>
      </c>
      <c r="AD76" s="63">
        <f t="shared" si="39"/>
        <v>616664598.50111878</v>
      </c>
    </row>
    <row r="77" spans="1:30" x14ac:dyDescent="0.35">
      <c r="A77" s="88"/>
      <c r="B77" s="88"/>
      <c r="C77" s="20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x14ac:dyDescent="0.35">
      <c r="A78" s="88" t="s">
        <v>130</v>
      </c>
      <c r="B78" s="88" t="s">
        <v>164</v>
      </c>
      <c r="C78" s="20">
        <f>NPV('Cost Assumptions'!$B$3,D78:AD78)</f>
        <v>0</v>
      </c>
      <c r="D78" s="63">
        <f>ABS(((MIN(ABS(D51),'Baseline System Analysis'!D14)*D62*1000*'Cost Assumptions'!$B$6)*'Cost Assumptions'!$B$13))</f>
        <v>0</v>
      </c>
      <c r="E78" s="63">
        <f>ABS((E51*E61*1000*'Cost Assumptions'!$B$6)*'Cost Assumptions'!$B$13)</f>
        <v>0</v>
      </c>
      <c r="F78" s="63">
        <f>ABS((F51*F61*1000*'Cost Assumptions'!$B$6)*'Cost Assumptions'!$B$13)</f>
        <v>0</v>
      </c>
      <c r="G78" s="63">
        <f>ABS((G51*G61*1000*'Cost Assumptions'!$B$6)*'Cost Assumptions'!$B$13)</f>
        <v>0</v>
      </c>
      <c r="H78" s="63">
        <f>ABS((H51*H61*1000*'Cost Assumptions'!$B$6)*'Cost Assumptions'!$B$13)</f>
        <v>0</v>
      </c>
      <c r="I78" s="63">
        <f>ABS((I51*I61*1000*'Cost Assumptions'!$B$6)*'Cost Assumptions'!$B$13)</f>
        <v>0</v>
      </c>
      <c r="J78" s="63">
        <f>ABS((J51*J61*1000*'Cost Assumptions'!$B$6)*'Cost Assumptions'!$B$13)</f>
        <v>0</v>
      </c>
      <c r="K78" s="63">
        <f>ABS((K51*K61*1000*'Cost Assumptions'!$B$6)*'Cost Assumptions'!$B$13)</f>
        <v>0</v>
      </c>
      <c r="L78" s="63">
        <f>ABS((L51*L61*1000*'Cost Assumptions'!$B$6)*'Cost Assumptions'!$B$13)</f>
        <v>0</v>
      </c>
      <c r="M78" s="63">
        <f>ABS((M51*M61*1000*'Cost Assumptions'!$B$6)*'Cost Assumptions'!$B$13)</f>
        <v>0</v>
      </c>
      <c r="N78" s="63">
        <f>ABS((N51*N61*1000*'Cost Assumptions'!$B$6)*'Cost Assumptions'!$B$13)</f>
        <v>0</v>
      </c>
      <c r="O78" s="63">
        <f>ABS((O51*O61*1000*'Cost Assumptions'!$B$6)*'Cost Assumptions'!$B$13)</f>
        <v>0</v>
      </c>
      <c r="P78" s="63">
        <f>ABS((P51*P61*1000*'Cost Assumptions'!$B$6)*'Cost Assumptions'!$B$13)</f>
        <v>0</v>
      </c>
      <c r="Q78" s="63">
        <f>ABS((Q51*Q61*1000*'Cost Assumptions'!$B$6)*'Cost Assumptions'!$B$13)</f>
        <v>0</v>
      </c>
      <c r="R78" s="63">
        <f>ABS((R51*R61*1000*'Cost Assumptions'!$B$6)*'Cost Assumptions'!$B$13)</f>
        <v>0</v>
      </c>
      <c r="S78" s="63">
        <f>ABS((S51*S61*1000*'Cost Assumptions'!$B$6)*'Cost Assumptions'!$B$13)</f>
        <v>0</v>
      </c>
      <c r="T78" s="63">
        <f>ABS((T51*T61*1000*'Cost Assumptions'!$B$6)*'Cost Assumptions'!$B$13)</f>
        <v>0</v>
      </c>
      <c r="U78" s="63">
        <f>ABS((U51*U61*1000*'Cost Assumptions'!$B$6)*'Cost Assumptions'!$B$13)</f>
        <v>0</v>
      </c>
      <c r="V78" s="63">
        <f>ABS((V51*V61*1000*'Cost Assumptions'!$B$6)*'Cost Assumptions'!$B$13)</f>
        <v>0</v>
      </c>
      <c r="W78" s="63">
        <f>ABS((W51*W61*1000*'Cost Assumptions'!$B$6)*'Cost Assumptions'!$B$13)</f>
        <v>0</v>
      </c>
      <c r="X78" s="63">
        <f>ABS((X51*X61*1000*'Cost Assumptions'!$B$6)*'Cost Assumptions'!$B$13)</f>
        <v>0</v>
      </c>
      <c r="Y78" s="63">
        <f>ABS((Y51*Y61*1000*'Cost Assumptions'!$B$6)*'Cost Assumptions'!$B$13)</f>
        <v>0</v>
      </c>
      <c r="Z78" s="63">
        <f>ABS((Z51*Z61*1000*'Cost Assumptions'!$B$6)*'Cost Assumptions'!$B$13)</f>
        <v>0</v>
      </c>
      <c r="AA78" s="63">
        <f>ABS((AA51*AA61*1000*'Cost Assumptions'!$B$6)*'Cost Assumptions'!$B$13)</f>
        <v>0</v>
      </c>
      <c r="AB78" s="63">
        <f>ABS((AB51*AB61*1000*'Cost Assumptions'!$B$6)*'Cost Assumptions'!$B$13)</f>
        <v>0</v>
      </c>
      <c r="AC78" s="63">
        <f>ABS((AC51*AC61*1000*'Cost Assumptions'!$B$6)*'Cost Assumptions'!$B$13)</f>
        <v>0</v>
      </c>
      <c r="AD78" s="63">
        <f>ABS((AD51*AD61*1000*'Cost Assumptions'!$B$6)*'Cost Assumptions'!$B$13)</f>
        <v>0</v>
      </c>
    </row>
    <row r="79" spans="1:30" x14ac:dyDescent="0.35">
      <c r="A79" s="88" t="s">
        <v>132</v>
      </c>
      <c r="B79" s="88" t="s">
        <v>164</v>
      </c>
      <c r="C79" s="20">
        <f>NPV('Cost Assumptions'!$B$3,D79:AD79)</f>
        <v>0</v>
      </c>
      <c r="D79" s="63">
        <f>ABS(((MIN(ABS(D51),'Baseline System Analysis'!D14)*D64*1000*'Cost Assumptions'!$B$6)*'Cost Assumptions'!$B$13))</f>
        <v>0</v>
      </c>
      <c r="E79" s="63">
        <f>ABS((E51*E63*1000*'Cost Assumptions'!$B$6)*'Cost Assumptions'!$B$13)</f>
        <v>0</v>
      </c>
      <c r="F79" s="63">
        <f>ABS((F51*F63*1000*'Cost Assumptions'!$B$6)*'Cost Assumptions'!$B$13)</f>
        <v>0</v>
      </c>
      <c r="G79" s="63">
        <f>ABS((G51*G63*1000*'Cost Assumptions'!$B$6)*'Cost Assumptions'!$B$13)</f>
        <v>0</v>
      </c>
      <c r="H79" s="63">
        <f>ABS((H51*H63*1000*'Cost Assumptions'!$B$6)*'Cost Assumptions'!$B$13)</f>
        <v>0</v>
      </c>
      <c r="I79" s="63">
        <f>ABS((I51*I63*1000*'Cost Assumptions'!$B$6)*'Cost Assumptions'!$B$13)</f>
        <v>0</v>
      </c>
      <c r="J79" s="63">
        <f>ABS((J51*J63*1000*'Cost Assumptions'!$B$6)*'Cost Assumptions'!$B$13)</f>
        <v>0</v>
      </c>
      <c r="K79" s="63">
        <f>ABS((K51*K63*1000*'Cost Assumptions'!$B$6)*'Cost Assumptions'!$B$13)</f>
        <v>0</v>
      </c>
      <c r="L79" s="63">
        <f>ABS((L51*L63*1000*'Cost Assumptions'!$B$6)*'Cost Assumptions'!$B$13)</f>
        <v>0</v>
      </c>
      <c r="M79" s="63">
        <f>ABS((M51*M63*1000*'Cost Assumptions'!$B$6)*'Cost Assumptions'!$B$13)</f>
        <v>0</v>
      </c>
      <c r="N79" s="63">
        <f>ABS((N51*N63*1000*'Cost Assumptions'!$B$6)*'Cost Assumptions'!$B$13)</f>
        <v>0</v>
      </c>
      <c r="O79" s="63">
        <f>ABS((O51*O63*1000*'Cost Assumptions'!$B$6)*'Cost Assumptions'!$B$13)</f>
        <v>0</v>
      </c>
      <c r="P79" s="63">
        <f>ABS((P51*P63*1000*'Cost Assumptions'!$B$6)*'Cost Assumptions'!$B$13)</f>
        <v>0</v>
      </c>
      <c r="Q79" s="63">
        <f>ABS((Q51*Q63*1000*'Cost Assumptions'!$B$6)*'Cost Assumptions'!$B$13)</f>
        <v>0</v>
      </c>
      <c r="R79" s="63">
        <f>ABS((R51*R63*1000*'Cost Assumptions'!$B$6)*'Cost Assumptions'!$B$13)</f>
        <v>0</v>
      </c>
      <c r="S79" s="63">
        <f>ABS((S51*S63*1000*'Cost Assumptions'!$B$6)*'Cost Assumptions'!$B$13)</f>
        <v>0</v>
      </c>
      <c r="T79" s="63">
        <f>ABS((T51*T63*1000*'Cost Assumptions'!$B$6)*'Cost Assumptions'!$B$13)</f>
        <v>0</v>
      </c>
      <c r="U79" s="63">
        <f>ABS((U51*U63*1000*'Cost Assumptions'!$B$6)*'Cost Assumptions'!$B$13)</f>
        <v>0</v>
      </c>
      <c r="V79" s="63">
        <f>ABS((V51*V63*1000*'Cost Assumptions'!$B$6)*'Cost Assumptions'!$B$13)</f>
        <v>0</v>
      </c>
      <c r="W79" s="63">
        <f>ABS((W51*W63*1000*'Cost Assumptions'!$B$6)*'Cost Assumptions'!$B$13)</f>
        <v>0</v>
      </c>
      <c r="X79" s="63">
        <f>ABS((X51*X63*1000*'Cost Assumptions'!$B$6)*'Cost Assumptions'!$B$13)</f>
        <v>0</v>
      </c>
      <c r="Y79" s="63">
        <f>ABS((Y51*Y63*1000*'Cost Assumptions'!$B$6)*'Cost Assumptions'!$B$13)</f>
        <v>0</v>
      </c>
      <c r="Z79" s="63">
        <f>ABS((Z51*Z63*1000*'Cost Assumptions'!$B$6)*'Cost Assumptions'!$B$13)</f>
        <v>0</v>
      </c>
      <c r="AA79" s="63">
        <f>ABS((AA51*AA63*1000*'Cost Assumptions'!$B$6)*'Cost Assumptions'!$B$13)</f>
        <v>0</v>
      </c>
      <c r="AB79" s="63">
        <f>ABS((AB51*AB63*1000*'Cost Assumptions'!$B$6)*'Cost Assumptions'!$B$13)</f>
        <v>0</v>
      </c>
      <c r="AC79" s="63">
        <f>ABS((AC51*AC63*1000*'Cost Assumptions'!$B$6)*'Cost Assumptions'!$B$13)</f>
        <v>0</v>
      </c>
      <c r="AD79" s="63">
        <f>ABS((AD51*AD63*1000*'Cost Assumptions'!$B$6)*'Cost Assumptions'!$B$13)</f>
        <v>0</v>
      </c>
    </row>
    <row r="80" spans="1:30" ht="29" x14ac:dyDescent="0.35">
      <c r="A80" s="3" t="s">
        <v>159</v>
      </c>
      <c r="B80" s="88" t="s">
        <v>164</v>
      </c>
      <c r="C80" s="20">
        <f>NPV('Cost Assumptions'!$B$3,D80:AD80)</f>
        <v>0</v>
      </c>
      <c r="D80" s="63">
        <f>SUM(D78:D79)</f>
        <v>0</v>
      </c>
      <c r="E80" s="63">
        <f t="shared" ref="E80:AD80" si="40">SUM(E78:E79)</f>
        <v>0</v>
      </c>
      <c r="F80" s="63">
        <f t="shared" si="40"/>
        <v>0</v>
      </c>
      <c r="G80" s="63">
        <f t="shared" si="40"/>
        <v>0</v>
      </c>
      <c r="H80" s="63">
        <f t="shared" si="40"/>
        <v>0</v>
      </c>
      <c r="I80" s="63">
        <f t="shared" si="40"/>
        <v>0</v>
      </c>
      <c r="J80" s="63">
        <f t="shared" si="40"/>
        <v>0</v>
      </c>
      <c r="K80" s="63">
        <f t="shared" si="40"/>
        <v>0</v>
      </c>
      <c r="L80" s="63">
        <f t="shared" si="40"/>
        <v>0</v>
      </c>
      <c r="M80" s="63">
        <f t="shared" si="40"/>
        <v>0</v>
      </c>
      <c r="N80" s="63">
        <f t="shared" si="40"/>
        <v>0</v>
      </c>
      <c r="O80" s="63">
        <f t="shared" si="40"/>
        <v>0</v>
      </c>
      <c r="P80" s="63">
        <f t="shared" si="40"/>
        <v>0</v>
      </c>
      <c r="Q80" s="63">
        <f t="shared" si="40"/>
        <v>0</v>
      </c>
      <c r="R80" s="63">
        <f t="shared" si="40"/>
        <v>0</v>
      </c>
      <c r="S80" s="63">
        <f t="shared" si="40"/>
        <v>0</v>
      </c>
      <c r="T80" s="63">
        <f t="shared" si="40"/>
        <v>0</v>
      </c>
      <c r="U80" s="63">
        <f t="shared" si="40"/>
        <v>0</v>
      </c>
      <c r="V80" s="63">
        <f t="shared" si="40"/>
        <v>0</v>
      </c>
      <c r="W80" s="63">
        <f t="shared" si="40"/>
        <v>0</v>
      </c>
      <c r="X80" s="63">
        <f t="shared" si="40"/>
        <v>0</v>
      </c>
      <c r="Y80" s="63">
        <f t="shared" si="40"/>
        <v>0</v>
      </c>
      <c r="Z80" s="63">
        <f t="shared" si="40"/>
        <v>0</v>
      </c>
      <c r="AA80" s="63">
        <f t="shared" si="40"/>
        <v>0</v>
      </c>
      <c r="AB80" s="63">
        <f t="shared" si="40"/>
        <v>0</v>
      </c>
      <c r="AC80" s="63">
        <f t="shared" si="40"/>
        <v>0</v>
      </c>
      <c r="AD80" s="63">
        <f t="shared" si="40"/>
        <v>0</v>
      </c>
    </row>
    <row r="81" spans="1:30" x14ac:dyDescent="0.35">
      <c r="A81" s="3"/>
      <c r="B81" s="88"/>
      <c r="C81" s="20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ht="29" x14ac:dyDescent="0.35">
      <c r="A82" s="3" t="s">
        <v>160</v>
      </c>
      <c r="B82" s="88" t="s">
        <v>161</v>
      </c>
      <c r="C82" s="20">
        <f>NPV('Cost Assumptions'!$B$3,D82:AD82)</f>
        <v>175558613.66991127</v>
      </c>
      <c r="D82" s="63">
        <f>('Baseline System Analysis'!D42-D37)</f>
        <v>11220653.292733105</v>
      </c>
      <c r="E82" s="63">
        <f>('Baseline System Analysis'!E42-E37)</f>
        <v>12144894.242926663</v>
      </c>
      <c r="F82" s="63">
        <f>('Baseline System Analysis'!F42-F37)</f>
        <v>12786906.835430916</v>
      </c>
      <c r="G82" s="63">
        <f>('Baseline System Analysis'!G42-G37)</f>
        <v>13548988.63648127</v>
      </c>
      <c r="H82" s="63">
        <f>('Baseline System Analysis'!H42-H37)</f>
        <v>14198598.168851539</v>
      </c>
      <c r="I82" s="63">
        <f>('Baseline System Analysis'!I42-I37)</f>
        <v>15000919.041780714</v>
      </c>
      <c r="J82" s="63">
        <f>('Baseline System Analysis'!J42-J37)</f>
        <v>15909040.459199362</v>
      </c>
      <c r="K82" s="63">
        <f>('Baseline System Analysis'!K42-K37)</f>
        <v>16834711.499928072</v>
      </c>
      <c r="L82" s="63">
        <f>('Baseline System Analysis'!L42-L37)</f>
        <v>17913721.538628906</v>
      </c>
      <c r="M82" s="63">
        <f>('Baseline System Analysis'!M42-M37)</f>
        <v>19199934.429166906</v>
      </c>
      <c r="N82" s="63">
        <f>('Baseline System Analysis'!N42-N37)</f>
        <v>20113909.105925448</v>
      </c>
      <c r="O82" s="63">
        <f>('Baseline System Analysis'!O42-O37)</f>
        <v>21304230.047225248</v>
      </c>
      <c r="P82" s="63">
        <f>('Baseline System Analysis'!P42-P37)</f>
        <v>22569755.278816275</v>
      </c>
      <c r="Q82" s="63">
        <f>('Baseline System Analysis'!Q42-Q37)</f>
        <v>23956380.495810196</v>
      </c>
      <c r="R82" s="63">
        <f>('Baseline System Analysis'!R42-R37)</f>
        <v>25296897.755682193</v>
      </c>
      <c r="S82" s="63">
        <f>('Baseline System Analysis'!S42-S37)</f>
        <v>26952539.311523363</v>
      </c>
      <c r="T82" s="63">
        <f>('Baseline System Analysis'!T42-T37)</f>
        <v>28393160.81304479</v>
      </c>
      <c r="U82" s="63">
        <f>('Baseline System Analysis'!U42-U37)</f>
        <v>29763730.613962401</v>
      </c>
      <c r="V82" s="63">
        <f>('Baseline System Analysis'!V42-V37)</f>
        <v>31534269.371617243</v>
      </c>
      <c r="W82" s="63">
        <f>('Baseline System Analysis'!W42-W37)</f>
        <v>33150927.659656551</v>
      </c>
      <c r="X82" s="63">
        <f>('Baseline System Analysis'!X42-X37)</f>
        <v>34881141.395379439</v>
      </c>
      <c r="Y82" s="63">
        <f>('Baseline System Analysis'!Y42-Y37)</f>
        <v>36681692.56157808</v>
      </c>
      <c r="Z82" s="63">
        <f>('Baseline System Analysis'!Z42-Z37)</f>
        <v>38262714.182135426</v>
      </c>
      <c r="AA82" s="63">
        <f>('Baseline System Analysis'!AA42-AA37)</f>
        <v>40061533.984164849</v>
      </c>
      <c r="AB82" s="63">
        <f>('Baseline System Analysis'!AB42-AB37)</f>
        <v>41857863.189521752</v>
      </c>
      <c r="AC82" s="63">
        <f>('Baseline System Analysis'!AC42-AC37)</f>
        <v>43385910.880934775</v>
      </c>
      <c r="AD82" s="63">
        <f>('Baseline System Analysis'!AD42-AD37)</f>
        <v>45034968.483143762</v>
      </c>
    </row>
    <row r="84" spans="1:30" ht="20" thickBot="1" x14ac:dyDescent="0.5">
      <c r="A84" s="142" t="s">
        <v>74</v>
      </c>
      <c r="B84" s="171"/>
      <c r="C84" s="20">
        <f>NPV('Cost Assumptions'!$B$3,D84:AD84)/1000000</f>
        <v>1948.1268723769072</v>
      </c>
      <c r="D84" s="63">
        <f>SUM(D68,D72,D76,D80,D82)</f>
        <v>46186472.936174095</v>
      </c>
      <c r="E84" s="63">
        <f t="shared" ref="E84:AD84" si="41">SUM(E68,E72,E76,E80,E82)</f>
        <v>61030592.061198011</v>
      </c>
      <c r="F84" s="63">
        <f t="shared" si="41"/>
        <v>75823539.285448611</v>
      </c>
      <c r="G84" s="63">
        <f t="shared" si="41"/>
        <v>91447106.155485958</v>
      </c>
      <c r="H84" s="63">
        <f t="shared" si="41"/>
        <v>107619790.05783944</v>
      </c>
      <c r="I84" s="63">
        <f t="shared" si="41"/>
        <v>123194813.7653798</v>
      </c>
      <c r="J84" s="63">
        <f t="shared" si="41"/>
        <v>142105404.56635657</v>
      </c>
      <c r="K84" s="63">
        <f t="shared" si="41"/>
        <v>162243701.28240812</v>
      </c>
      <c r="L84" s="63">
        <f t="shared" si="41"/>
        <v>184764933.30212003</v>
      </c>
      <c r="M84" s="63">
        <f t="shared" si="41"/>
        <v>202871638.12009612</v>
      </c>
      <c r="N84" s="63">
        <f t="shared" si="41"/>
        <v>226265934.04832536</v>
      </c>
      <c r="O84" s="63">
        <f t="shared" si="41"/>
        <v>251146870.52080709</v>
      </c>
      <c r="P84" s="63">
        <f t="shared" si="41"/>
        <v>279769182.07875305</v>
      </c>
      <c r="Q84" s="63">
        <f t="shared" si="41"/>
        <v>309394571.15311921</v>
      </c>
      <c r="R84" s="63">
        <f t="shared" si="41"/>
        <v>343266734.47426921</v>
      </c>
      <c r="S84" s="63">
        <f t="shared" si="41"/>
        <v>380009428.89103943</v>
      </c>
      <c r="T84" s="63">
        <f t="shared" si="41"/>
        <v>418561480.33815247</v>
      </c>
      <c r="U84" s="63">
        <f t="shared" si="41"/>
        <v>457684892.06160593</v>
      </c>
      <c r="V84" s="63">
        <f t="shared" si="41"/>
        <v>493320027.982889</v>
      </c>
      <c r="W84" s="63">
        <f t="shared" si="41"/>
        <v>529810536.6429652</v>
      </c>
      <c r="X84" s="63">
        <f t="shared" si="41"/>
        <v>569508258.76470947</v>
      </c>
      <c r="Y84" s="63">
        <f t="shared" si="41"/>
        <v>607990086.52313578</v>
      </c>
      <c r="Z84" s="63">
        <f t="shared" si="41"/>
        <v>647794491.53339589</v>
      </c>
      <c r="AA84" s="63">
        <f t="shared" si="41"/>
        <v>683721447.64223635</v>
      </c>
      <c r="AB84" s="63">
        <f t="shared" si="41"/>
        <v>721593831.81791234</v>
      </c>
      <c r="AC84" s="63">
        <f t="shared" si="41"/>
        <v>756548010.2030704</v>
      </c>
      <c r="AD84" s="63">
        <f t="shared" si="41"/>
        <v>786330900.99751019</v>
      </c>
    </row>
    <row r="85" spans="1:30" ht="20.5" thickTop="1" thickBot="1" x14ac:dyDescent="0.5">
      <c r="A85" s="142" t="s">
        <v>169</v>
      </c>
      <c r="B85" s="142"/>
      <c r="C85" s="20">
        <f>NPV('Cost Assumptions'!$B$3,D85:AD85)/1000000</f>
        <v>1948.3974238179992</v>
      </c>
      <c r="D85" s="63">
        <f>D84+D44</f>
        <v>46200024.936174057</v>
      </c>
      <c r="E85" s="63">
        <f>E84+E44</f>
        <v>61045659.521774903</v>
      </c>
      <c r="F85" s="63">
        <f t="shared" ref="F85:AD85" si="42">F84+F44</f>
        <v>75840189.509631276</v>
      </c>
      <c r="G85" s="63">
        <f t="shared" si="42"/>
        <v>91465408.864291817</v>
      </c>
      <c r="H85" s="63">
        <f t="shared" si="42"/>
        <v>107639817.46910954</v>
      </c>
      <c r="I85" s="63">
        <f t="shared" si="42"/>
        <v>123216640.67504436</v>
      </c>
      <c r="J85" s="63">
        <f>J84+J44</f>
        <v>142129108.43220326</v>
      </c>
      <c r="K85" s="63">
        <f t="shared" si="42"/>
        <v>162269362.31042752</v>
      </c>
      <c r="L85" s="63">
        <f t="shared" si="42"/>
        <v>184792634.53550458</v>
      </c>
      <c r="M85" s="63">
        <f t="shared" si="42"/>
        <v>202901465.53097162</v>
      </c>
      <c r="N85" s="63">
        <f t="shared" si="42"/>
        <v>226297976.63229546</v>
      </c>
      <c r="O85" s="63">
        <f t="shared" si="42"/>
        <v>251181220.39439473</v>
      </c>
      <c r="P85" s="63">
        <f t="shared" si="42"/>
        <v>279805934.57982415</v>
      </c>
      <c r="Q85" s="63">
        <f t="shared" si="42"/>
        <v>309433824.94437689</v>
      </c>
      <c r="R85" s="63">
        <f t="shared" si="42"/>
        <v>343308591.64990968</v>
      </c>
      <c r="S85" s="63">
        <f t="shared" si="42"/>
        <v>380053995.08666229</v>
      </c>
      <c r="T85" s="63">
        <f t="shared" si="42"/>
        <v>418608864.84402204</v>
      </c>
      <c r="U85" s="63">
        <f t="shared" si="42"/>
        <v>457735207.93936229</v>
      </c>
      <c r="V85" s="63">
        <f t="shared" si="42"/>
        <v>493373392.18581033</v>
      </c>
      <c r="W85" s="63">
        <f t="shared" si="42"/>
        <v>529867070.13988614</v>
      </c>
      <c r="X85" s="63">
        <f t="shared" si="42"/>
        <v>569568086.66770315</v>
      </c>
      <c r="Y85" s="63">
        <f t="shared" si="42"/>
        <v>608053338.21907032</v>
      </c>
      <c r="Z85" s="63">
        <f t="shared" si="42"/>
        <v>647861300.81947887</v>
      </c>
      <c r="AA85" s="63">
        <f t="shared" si="42"/>
        <v>683791952.86566532</v>
      </c>
      <c r="AB85" s="63">
        <f t="shared" si="42"/>
        <v>721668176.01975083</v>
      </c>
      <c r="AC85" s="63">
        <f t="shared" si="42"/>
        <v>756626341.26647413</v>
      </c>
      <c r="AD85" s="63">
        <f t="shared" si="42"/>
        <v>786413371.80043137</v>
      </c>
    </row>
    <row r="86" spans="1:30" ht="15" thickTop="1" x14ac:dyDescent="0.3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20" thickBot="1" x14ac:dyDescent="0.5">
      <c r="A87" s="142" t="s">
        <v>163</v>
      </c>
      <c r="B87" s="142"/>
      <c r="C87" s="20">
        <f>Summary!$D$19</f>
        <v>185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15" thickTop="1" x14ac:dyDescent="0.35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20" thickBot="1" x14ac:dyDescent="0.5">
      <c r="A89" s="142" t="s">
        <v>7</v>
      </c>
      <c r="B89" s="142"/>
      <c r="C89" s="53">
        <f>C85/C87</f>
        <v>10.53187796658378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ht="15" thickTop="1" x14ac:dyDescent="0.35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</row>
    <row r="91" spans="1:30" x14ac:dyDescent="0.35">
      <c r="A91" s="88"/>
      <c r="B91" s="88"/>
      <c r="C91" s="7">
        <v>2.7526499999999992</v>
      </c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</row>
    <row r="92" spans="1:30" x14ac:dyDescent="0.35">
      <c r="A92" s="88"/>
      <c r="B92" s="88"/>
      <c r="C92" s="7">
        <v>233.80450234722554</v>
      </c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</row>
    <row r="93" spans="1:30" x14ac:dyDescent="0.35">
      <c r="A93" s="88"/>
      <c r="B93" s="88"/>
      <c r="C93" s="7">
        <v>0</v>
      </c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</row>
    <row r="94" spans="1:30" x14ac:dyDescent="0.35">
      <c r="A94" s="88"/>
      <c r="B94" s="88"/>
      <c r="C94" s="7">
        <v>1848.4207520057885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  <row r="95" spans="1:30" x14ac:dyDescent="0.35">
      <c r="A95" s="88"/>
      <c r="B95" s="88"/>
      <c r="C95" s="7">
        <v>45.491883181818196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</row>
  </sheetData>
  <mergeCells count="6">
    <mergeCell ref="B41:AD41"/>
    <mergeCell ref="A59:AD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13"/>
  <sheetViews>
    <sheetView zoomScale="80" zoomScaleNormal="80" workbookViewId="0">
      <selection activeCell="B14" sqref="A14:B17"/>
    </sheetView>
  </sheetViews>
  <sheetFormatPr defaultRowHeight="14.5" x14ac:dyDescent="0.35"/>
  <cols>
    <col min="2" max="2" width="29.7265625" customWidth="1"/>
    <col min="3" max="3" width="15.453125" customWidth="1"/>
    <col min="4" max="4" width="12.453125" customWidth="1"/>
    <col min="5" max="5" width="13.1796875" customWidth="1"/>
    <col min="6" max="6" width="10.7265625" bestFit="1" customWidth="1"/>
    <col min="7" max="7" width="12.453125" bestFit="1" customWidth="1"/>
    <col min="8" max="8" width="13.1796875" bestFit="1" customWidth="1"/>
    <col min="9" max="9" width="12.81640625" customWidth="1"/>
    <col min="10" max="10" width="10" customWidth="1"/>
    <col min="11" max="11" width="11.1796875" customWidth="1"/>
    <col min="12" max="12" width="12" customWidth="1"/>
    <col min="13" max="13" width="12.7265625" bestFit="1" customWidth="1"/>
    <col min="14" max="14" width="12.1796875" bestFit="1" customWidth="1"/>
    <col min="15" max="15" width="11.7265625" bestFit="1" customWidth="1"/>
    <col min="16" max="16" width="10.453125" customWidth="1"/>
    <col min="17" max="17" width="8.54296875" customWidth="1"/>
    <col min="18" max="18" width="10.26953125" bestFit="1" customWidth="1"/>
    <col min="19" max="19" width="8.81640625" customWidth="1"/>
    <col min="20" max="20" width="9.81640625" customWidth="1"/>
    <col min="21" max="21" width="10.453125" customWidth="1"/>
    <col min="23" max="28" width="8.81640625" style="88"/>
    <col min="29" max="29" width="15" customWidth="1"/>
    <col min="31" max="32" width="9.1796875" style="88"/>
    <col min="35" max="36" width="8.81640625" customWidth="1"/>
    <col min="37" max="37" width="17" customWidth="1"/>
    <col min="38" max="38" width="8.81640625" style="33" customWidth="1"/>
    <col min="39" max="39" width="23.7265625" customWidth="1"/>
    <col min="40" max="40" width="38.81640625" style="2" customWidth="1"/>
    <col min="41" max="41" width="32.1796875" customWidth="1"/>
    <col min="42" max="42" width="8.81640625" customWidth="1"/>
  </cols>
  <sheetData>
    <row r="1" spans="1:41" s="88" customFormat="1" x14ac:dyDescent="0.35">
      <c r="AL1" s="33"/>
      <c r="AN1" s="74"/>
    </row>
    <row r="2" spans="1:41" s="88" customFormat="1" ht="21" x14ac:dyDescent="0.5">
      <c r="B2" s="148" t="s">
        <v>22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AL2" s="33"/>
      <c r="AN2" s="74"/>
    </row>
    <row r="3" spans="1:41" ht="15" customHeight="1" x14ac:dyDescent="0.35">
      <c r="A3" s="42" t="s">
        <v>2</v>
      </c>
      <c r="B3" s="42" t="s">
        <v>3</v>
      </c>
      <c r="C3" s="42" t="s">
        <v>23</v>
      </c>
      <c r="D3" s="42" t="s">
        <v>24</v>
      </c>
      <c r="E3" s="88"/>
      <c r="F3" s="88"/>
      <c r="G3" s="87"/>
      <c r="H3" s="87"/>
      <c r="I3" s="87"/>
      <c r="J3" s="87"/>
      <c r="K3" s="87"/>
      <c r="L3" s="87"/>
      <c r="M3" s="88"/>
      <c r="N3" s="88"/>
      <c r="O3" s="88"/>
      <c r="P3" s="88"/>
      <c r="Q3" s="88"/>
      <c r="R3" s="88"/>
      <c r="S3" s="88"/>
      <c r="T3" s="88"/>
      <c r="U3" s="88"/>
      <c r="V3" s="88"/>
      <c r="AC3" s="88"/>
      <c r="AD3" s="88"/>
      <c r="AG3" s="88"/>
      <c r="AH3" s="88"/>
      <c r="AI3" s="88"/>
      <c r="AJ3" s="88" t="s">
        <v>25</v>
      </c>
      <c r="AK3" s="88"/>
      <c r="AM3" s="88"/>
      <c r="AN3" s="74"/>
      <c r="AO3" s="88"/>
    </row>
    <row r="4" spans="1:41" ht="15" customHeight="1" x14ac:dyDescent="0.35">
      <c r="A4" s="125">
        <v>0</v>
      </c>
      <c r="B4" s="73" t="s">
        <v>26</v>
      </c>
      <c r="C4" s="32">
        <v>0</v>
      </c>
      <c r="D4" s="32">
        <v>0</v>
      </c>
      <c r="E4" s="88"/>
      <c r="F4" s="88"/>
      <c r="G4" s="87"/>
      <c r="H4" s="87"/>
      <c r="I4" s="87"/>
      <c r="J4" s="87"/>
      <c r="K4" s="87"/>
      <c r="L4" s="87"/>
      <c r="M4" s="88"/>
      <c r="N4" s="88"/>
      <c r="O4" s="88"/>
      <c r="P4" s="88"/>
      <c r="Q4" s="88"/>
      <c r="R4" s="88"/>
      <c r="S4" s="88"/>
      <c r="T4" s="88"/>
      <c r="U4" s="88"/>
      <c r="V4" s="88"/>
      <c r="AC4" s="88"/>
      <c r="AD4" s="88"/>
      <c r="AG4" s="88"/>
      <c r="AH4" s="88"/>
      <c r="AI4" s="88"/>
      <c r="AJ4" s="140" t="s">
        <v>27</v>
      </c>
      <c r="AK4" s="141"/>
      <c r="AM4" s="88"/>
      <c r="AN4" s="74" t="s">
        <v>28</v>
      </c>
      <c r="AO4" s="88" t="s">
        <v>29</v>
      </c>
    </row>
    <row r="5" spans="1:41" ht="15.75" customHeight="1" x14ac:dyDescent="0.35">
      <c r="A5" s="25">
        <v>13</v>
      </c>
      <c r="B5" s="50" t="s">
        <v>13</v>
      </c>
      <c r="C5" s="32">
        <v>185</v>
      </c>
      <c r="D5" s="32">
        <v>190</v>
      </c>
      <c r="E5" s="88"/>
      <c r="F5" s="88"/>
      <c r="G5" s="87"/>
      <c r="H5" s="87"/>
      <c r="I5" s="87"/>
      <c r="J5" s="87"/>
      <c r="K5" s="87"/>
      <c r="L5" s="87"/>
      <c r="M5" s="88"/>
      <c r="N5" s="88"/>
      <c r="O5" s="88"/>
      <c r="P5" s="88"/>
      <c r="Q5" s="88"/>
      <c r="R5" s="88"/>
      <c r="S5" s="88"/>
      <c r="T5" s="88"/>
      <c r="U5" s="88"/>
      <c r="V5" s="88"/>
      <c r="AC5" s="88"/>
      <c r="AD5" s="88"/>
      <c r="AG5" s="88"/>
      <c r="AH5" s="88"/>
      <c r="AI5" s="88"/>
      <c r="AJ5" s="16" t="s">
        <v>30</v>
      </c>
      <c r="AK5" s="31" t="s">
        <v>31</v>
      </c>
      <c r="AL5" s="33">
        <f t="shared" ref="AL5:AL10" si="0">$C$22</f>
        <v>1</v>
      </c>
      <c r="AM5" s="88" t="str">
        <f>CONCATENATE(AJ5," ",AK5," ",AL5)</f>
        <v>N-1 EENS 1</v>
      </c>
      <c r="AN5" s="17">
        <f t="shared" ref="AN5:AN17" si="1">C23</f>
        <v>2942.7422813102012</v>
      </c>
      <c r="AO5" s="17">
        <f>NPV('Cost Assumptions'!$B$3,'Alberhill System Project'!C19:AD19)</f>
        <v>111.34566401705145</v>
      </c>
    </row>
    <row r="6" spans="1:41" ht="46.5" x14ac:dyDescent="0.35">
      <c r="A6" s="25">
        <v>6</v>
      </c>
      <c r="B6" s="50" t="s">
        <v>15</v>
      </c>
      <c r="C6" s="32">
        <v>201</v>
      </c>
      <c r="D6" s="32">
        <v>295</v>
      </c>
      <c r="E6" s="88"/>
      <c r="F6" s="88"/>
      <c r="G6" s="87"/>
      <c r="H6" s="87"/>
      <c r="I6" s="87"/>
      <c r="J6" s="87"/>
      <c r="K6" s="87"/>
      <c r="L6" s="87"/>
      <c r="M6" s="88"/>
      <c r="N6" s="88"/>
      <c r="O6" s="88"/>
      <c r="P6" s="88"/>
      <c r="Q6" s="88"/>
      <c r="R6" s="88"/>
      <c r="S6" s="88"/>
      <c r="T6" s="88"/>
      <c r="U6" s="88"/>
      <c r="V6" s="88"/>
      <c r="AC6" s="88"/>
      <c r="AD6" s="88"/>
      <c r="AG6" s="88"/>
      <c r="AH6" s="88"/>
      <c r="AI6" s="88"/>
      <c r="AJ6" s="16" t="s">
        <v>30</v>
      </c>
      <c r="AK6" s="31" t="s">
        <v>32</v>
      </c>
      <c r="AL6" s="33">
        <f t="shared" si="0"/>
        <v>1</v>
      </c>
      <c r="AM6" s="88" t="str">
        <f t="shared" ref="AM6:AM77" si="2">CONCATENATE(AJ6," ",AK6," ",AL6)</f>
        <v>N-1 IP 1</v>
      </c>
      <c r="AN6" s="17">
        <f t="shared" si="1"/>
        <v>132.91738933805431</v>
      </c>
      <c r="AO6" s="17">
        <f>NPV('Cost Assumptions'!$B$3,'Alberhill System Project'!C20:AD20)</f>
        <v>20.774855401722238</v>
      </c>
    </row>
    <row r="7" spans="1:41" ht="31" x14ac:dyDescent="0.35">
      <c r="A7" s="25">
        <v>3</v>
      </c>
      <c r="B7" s="50" t="s">
        <v>12</v>
      </c>
      <c r="C7" s="32">
        <v>270</v>
      </c>
      <c r="D7" s="32">
        <v>285</v>
      </c>
      <c r="E7" s="88"/>
      <c r="F7" s="88"/>
      <c r="G7" s="87"/>
      <c r="H7" s="87"/>
      <c r="I7" s="87"/>
      <c r="J7" s="87"/>
      <c r="K7" s="87"/>
      <c r="L7" s="87"/>
      <c r="M7" s="88"/>
      <c r="N7" s="88"/>
      <c r="O7" s="88"/>
      <c r="P7" s="88"/>
      <c r="Q7" s="88"/>
      <c r="R7" s="88"/>
      <c r="S7" s="88"/>
      <c r="T7" s="88"/>
      <c r="U7" s="88"/>
      <c r="V7" s="88"/>
      <c r="AC7" s="88"/>
      <c r="AD7" s="88"/>
      <c r="AG7" s="88"/>
      <c r="AH7" s="88"/>
      <c r="AI7" s="88"/>
      <c r="AJ7" s="16" t="s">
        <v>30</v>
      </c>
      <c r="AK7" s="31" t="s">
        <v>33</v>
      </c>
      <c r="AL7" s="33">
        <f t="shared" si="0"/>
        <v>1</v>
      </c>
      <c r="AM7" s="88" t="str">
        <f t="shared" si="2"/>
        <v>N-1 SAIDI 1</v>
      </c>
      <c r="AN7" s="17">
        <f t="shared" si="1"/>
        <v>155.85848000885468</v>
      </c>
      <c r="AO7" s="17">
        <f>NPV('Cost Assumptions'!$B$3,'Alberhill System Project'!C21:AD21)</f>
        <v>3.5199649008830138</v>
      </c>
    </row>
    <row r="8" spans="1:41" ht="21" x14ac:dyDescent="0.35">
      <c r="A8" s="125">
        <v>8</v>
      </c>
      <c r="B8" s="73" t="s">
        <v>10</v>
      </c>
      <c r="C8" s="32">
        <v>290</v>
      </c>
      <c r="D8" s="32">
        <v>328</v>
      </c>
      <c r="E8" s="88"/>
      <c r="F8" s="88"/>
      <c r="G8" s="87"/>
      <c r="H8" s="87"/>
      <c r="I8" s="87"/>
      <c r="J8" s="87"/>
      <c r="K8" s="87"/>
      <c r="L8" s="87"/>
      <c r="M8" s="88"/>
      <c r="N8" s="88"/>
      <c r="O8" s="88"/>
      <c r="P8" s="88"/>
      <c r="Q8" s="88"/>
      <c r="R8" s="88"/>
      <c r="S8" s="88"/>
      <c r="T8" s="88"/>
      <c r="U8" s="88"/>
      <c r="V8" s="88"/>
      <c r="AC8" s="88"/>
      <c r="AD8" s="88"/>
      <c r="AG8" s="88"/>
      <c r="AH8" s="88"/>
      <c r="AI8" s="88"/>
      <c r="AJ8" s="16" t="s">
        <v>30</v>
      </c>
      <c r="AK8" s="31" t="s">
        <v>34</v>
      </c>
      <c r="AL8" s="33">
        <f t="shared" si="0"/>
        <v>1</v>
      </c>
      <c r="AM8" s="88" t="str">
        <f t="shared" si="2"/>
        <v>N-1 SAIFI 1</v>
      </c>
      <c r="AN8" s="17">
        <f t="shared" si="1"/>
        <v>2.3432448744234167</v>
      </c>
      <c r="AO8" s="17">
        <f>NPV('Cost Assumptions'!$B$3,'Alberhill System Project'!C22:AD22)</f>
        <v>0.28202483448985283</v>
      </c>
    </row>
    <row r="9" spans="1:41" ht="49.15" customHeight="1" x14ac:dyDescent="0.35">
      <c r="A9" s="25">
        <v>11</v>
      </c>
      <c r="B9" s="50" t="s">
        <v>19</v>
      </c>
      <c r="C9" s="32">
        <v>291</v>
      </c>
      <c r="D9" s="32">
        <v>470</v>
      </c>
      <c r="E9" s="88"/>
      <c r="F9" s="88"/>
      <c r="G9" s="87"/>
      <c r="H9" s="87"/>
      <c r="I9" s="87"/>
      <c r="J9" s="87"/>
      <c r="K9" s="87"/>
      <c r="L9" s="87"/>
      <c r="M9" s="88"/>
      <c r="N9" s="88"/>
      <c r="O9" s="88"/>
      <c r="P9" s="88"/>
      <c r="Q9" s="88"/>
      <c r="R9" s="88"/>
      <c r="S9" s="88"/>
      <c r="T9" s="88"/>
      <c r="U9" s="88"/>
      <c r="V9" s="88"/>
      <c r="AC9" s="88"/>
      <c r="AD9" s="88"/>
      <c r="AG9" s="88"/>
      <c r="AH9" s="88"/>
      <c r="AI9" s="88"/>
      <c r="AJ9" s="16" t="s">
        <v>30</v>
      </c>
      <c r="AK9" s="31" t="s">
        <v>35</v>
      </c>
      <c r="AL9" s="33">
        <f t="shared" si="0"/>
        <v>1</v>
      </c>
      <c r="AM9" s="88" t="str">
        <f t="shared" si="2"/>
        <v>N-1 PFD 1</v>
      </c>
      <c r="AN9" s="17">
        <f t="shared" si="1"/>
        <v>420.60748866649169</v>
      </c>
      <c r="AO9" s="17">
        <f>NPV('Cost Assumptions'!$B$3,'Alberhill System Project'!C23:AD23)</f>
        <v>10.587741131357351</v>
      </c>
    </row>
    <row r="10" spans="1:41" ht="34.15" customHeight="1" x14ac:dyDescent="0.35">
      <c r="A10" s="125">
        <v>7</v>
      </c>
      <c r="B10" s="73" t="s">
        <v>18</v>
      </c>
      <c r="C10" s="32">
        <v>315</v>
      </c>
      <c r="D10" s="32">
        <v>358</v>
      </c>
      <c r="E10" s="88"/>
      <c r="F10" s="88"/>
      <c r="G10" s="87"/>
      <c r="H10" s="87"/>
      <c r="I10" s="87"/>
      <c r="J10" s="87"/>
      <c r="K10" s="87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  <c r="AC10" s="88"/>
      <c r="AD10" s="88"/>
      <c r="AG10" s="88"/>
      <c r="AH10" s="88"/>
      <c r="AI10" s="88"/>
      <c r="AJ10" s="16" t="s">
        <v>30</v>
      </c>
      <c r="AK10" s="31" t="s">
        <v>36</v>
      </c>
      <c r="AL10" s="33">
        <f t="shared" si="0"/>
        <v>1</v>
      </c>
      <c r="AM10" s="88" t="str">
        <f t="shared" si="2"/>
        <v>N-1 Available Flex-1 1</v>
      </c>
      <c r="AN10" s="17">
        <f t="shared" si="1"/>
        <v>179220.47581313469</v>
      </c>
      <c r="AO10" s="17">
        <f>NPV('Cost Assumptions'!$B$3,'Alberhill System Project'!C24:AD24)</f>
        <v>0</v>
      </c>
    </row>
    <row r="11" spans="1:41" ht="43.5" x14ac:dyDescent="0.35">
      <c r="A11" s="125">
        <v>10</v>
      </c>
      <c r="B11" s="73" t="s">
        <v>21</v>
      </c>
      <c r="C11" s="32">
        <v>358</v>
      </c>
      <c r="D11" s="32">
        <v>1139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AC11" s="88"/>
      <c r="AD11" s="88"/>
      <c r="AG11" s="88"/>
      <c r="AH11" s="88"/>
      <c r="AI11" s="88"/>
      <c r="AJ11" s="16" t="s">
        <v>30</v>
      </c>
      <c r="AK11" s="31" t="s">
        <v>37</v>
      </c>
      <c r="AL11" s="33">
        <v>1</v>
      </c>
      <c r="AM11" s="88" t="str">
        <f t="shared" si="2"/>
        <v>N-1 Available Flex-2-1 1</v>
      </c>
      <c r="AN11" s="17">
        <f t="shared" si="1"/>
        <v>1797044.0534312564</v>
      </c>
      <c r="AO11" s="17">
        <f>NPV('Cost Assumptions'!$B$3,'Alberhill System Project'!C25:AD25)</f>
        <v>101395.19216021239</v>
      </c>
    </row>
    <row r="12" spans="1:41" ht="15.5" x14ac:dyDescent="0.35">
      <c r="A12" s="25">
        <v>2</v>
      </c>
      <c r="B12" s="50" t="s">
        <v>11</v>
      </c>
      <c r="C12" s="32">
        <v>469</v>
      </c>
      <c r="D12" s="32">
        <v>540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AC12" s="88"/>
      <c r="AD12" s="88"/>
      <c r="AG12" s="88"/>
      <c r="AH12" s="88"/>
      <c r="AI12" s="88"/>
      <c r="AJ12" s="16" t="s">
        <v>30</v>
      </c>
      <c r="AK12" s="31" t="s">
        <v>38</v>
      </c>
      <c r="AL12" s="33">
        <v>1</v>
      </c>
      <c r="AM12" s="88" t="str">
        <f t="shared" si="2"/>
        <v>N-1 Available Flex-2-2 1</v>
      </c>
      <c r="AN12" s="17">
        <f t="shared" si="1"/>
        <v>786730.2969915201</v>
      </c>
      <c r="AO12" s="17">
        <f>NPV('Cost Assumptions'!$B$3,'Alberhill System Project'!C26:AD26)</f>
        <v>56.002807004303214</v>
      </c>
    </row>
    <row r="13" spans="1:41" x14ac:dyDescent="0.35">
      <c r="A13" s="125">
        <v>1</v>
      </c>
      <c r="B13" s="73" t="s">
        <v>9</v>
      </c>
      <c r="C13" s="32">
        <v>545</v>
      </c>
      <c r="D13" s="32">
        <v>545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AC13" s="88"/>
      <c r="AD13" s="88"/>
      <c r="AG13" s="88"/>
      <c r="AH13" s="88"/>
      <c r="AI13" s="88"/>
      <c r="AJ13" s="16" t="s">
        <v>39</v>
      </c>
      <c r="AK13" s="31" t="s">
        <v>31</v>
      </c>
      <c r="AL13" s="33">
        <v>1</v>
      </c>
      <c r="AM13" s="88" t="str">
        <f t="shared" si="2"/>
        <v>N-0 EENS 1</v>
      </c>
      <c r="AN13" s="17">
        <f t="shared" si="1"/>
        <v>8657.0563129862348</v>
      </c>
      <c r="AO13" s="17">
        <f>NPV('Cost Assumptions'!$B$3,'Alberhill System Project'!C27:AD27)</f>
        <v>0.48893995728510786</v>
      </c>
    </row>
    <row r="14" spans="1:41" ht="29" x14ac:dyDescent="0.35">
      <c r="A14" s="125">
        <v>12</v>
      </c>
      <c r="B14" s="73" t="s">
        <v>17</v>
      </c>
      <c r="C14" s="32">
        <v>559</v>
      </c>
      <c r="D14" s="32">
        <v>923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AC14" s="88"/>
      <c r="AD14" s="88"/>
      <c r="AG14" s="88"/>
      <c r="AH14" s="88"/>
      <c r="AI14" s="88"/>
      <c r="AJ14" s="16" t="s">
        <v>39</v>
      </c>
      <c r="AK14" s="31" t="s">
        <v>32</v>
      </c>
      <c r="AL14" s="33">
        <f>$C$22</f>
        <v>1</v>
      </c>
      <c r="AM14" s="88" t="str">
        <f t="shared" si="2"/>
        <v>N-0 IP 1</v>
      </c>
      <c r="AN14" s="17">
        <f t="shared" si="1"/>
        <v>852.74292151983639</v>
      </c>
      <c r="AO14" s="17">
        <f>NPV('Cost Assumptions'!$B$3,'Alberhill System Project'!C28:AD28)</f>
        <v>0.30966197294723496</v>
      </c>
    </row>
    <row r="15" spans="1:41" ht="30" customHeight="1" x14ac:dyDescent="0.35">
      <c r="A15" s="125">
        <v>5</v>
      </c>
      <c r="B15" s="73" t="s">
        <v>16</v>
      </c>
      <c r="C15" s="32">
        <v>571</v>
      </c>
      <c r="D15" s="32">
        <v>1358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AC15" s="88"/>
      <c r="AD15" s="88"/>
      <c r="AG15" s="88"/>
      <c r="AH15" s="88"/>
      <c r="AI15" s="88"/>
      <c r="AJ15" s="16" t="s">
        <v>39</v>
      </c>
      <c r="AK15" s="31" t="s">
        <v>33</v>
      </c>
      <c r="AL15" s="33">
        <f>$C$22</f>
        <v>1</v>
      </c>
      <c r="AM15" s="88" t="str">
        <f t="shared" si="2"/>
        <v>N-0 SAIDI 1</v>
      </c>
      <c r="AN15" s="17">
        <f t="shared" si="1"/>
        <v>404.22835227441522</v>
      </c>
      <c r="AO15" s="17">
        <f>NPV('Cost Assumptions'!$B$3,'Alberhill System Project'!C29:AD29)</f>
        <v>3.3895563902000356E-3</v>
      </c>
    </row>
    <row r="16" spans="1:41" x14ac:dyDescent="0.35">
      <c r="A16" s="125">
        <v>4</v>
      </c>
      <c r="B16" s="73" t="s">
        <v>14</v>
      </c>
      <c r="C16" s="32">
        <v>575</v>
      </c>
      <c r="D16" s="32">
        <v>1474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AC16" s="88"/>
      <c r="AD16" s="88"/>
      <c r="AG16" s="88"/>
      <c r="AH16" s="88"/>
      <c r="AI16" s="88"/>
      <c r="AJ16" s="16" t="s">
        <v>39</v>
      </c>
      <c r="AK16" s="31" t="s">
        <v>34</v>
      </c>
      <c r="AL16" s="33">
        <f>$C$22</f>
        <v>1</v>
      </c>
      <c r="AM16" s="88" t="str">
        <f t="shared" si="2"/>
        <v>N-0 SAIFI 1</v>
      </c>
      <c r="AN16" s="17">
        <f t="shared" si="1"/>
        <v>9.2122595761110251</v>
      </c>
      <c r="AO16" s="17">
        <f>NPV('Cost Assumptions'!$B$3,'Alberhill System Project'!C30:AD30)</f>
        <v>1.6947781951000178E-3</v>
      </c>
    </row>
    <row r="17" spans="1:41" x14ac:dyDescent="0.35">
      <c r="A17" s="125">
        <v>9</v>
      </c>
      <c r="B17" s="73" t="s">
        <v>20</v>
      </c>
      <c r="C17" s="32">
        <v>806</v>
      </c>
      <c r="D17" s="32">
        <v>951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AC17" s="88"/>
      <c r="AD17" s="88"/>
      <c r="AG17" s="88"/>
      <c r="AH17" s="88"/>
      <c r="AI17" s="88"/>
      <c r="AJ17" s="16" t="s">
        <v>39</v>
      </c>
      <c r="AK17" s="31" t="s">
        <v>35</v>
      </c>
      <c r="AL17" s="116">
        <f>$C$22</f>
        <v>1</v>
      </c>
      <c r="AM17" s="34" t="str">
        <f t="shared" si="2"/>
        <v>N-0 PFD 1</v>
      </c>
      <c r="AN17" s="35">
        <f t="shared" si="1"/>
        <v>146.46661168388616</v>
      </c>
      <c r="AO17" s="17">
        <f>NPV('Cost Assumptions'!$B$3,'Alberhill System Project'!C31:AD31)</f>
        <v>0.32595997152340522</v>
      </c>
    </row>
    <row r="18" spans="1:41" x14ac:dyDescent="0.35">
      <c r="A18" s="123"/>
      <c r="B18" s="123"/>
      <c r="C18" s="55"/>
      <c r="D18" s="55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123"/>
      <c r="V18" s="88"/>
      <c r="AC18" s="88"/>
      <c r="AD18" s="88"/>
      <c r="AG18" s="88"/>
      <c r="AH18" s="88"/>
      <c r="AI18" s="88"/>
      <c r="AJ18" s="16" t="s">
        <v>30</v>
      </c>
      <c r="AK18" s="31" t="s">
        <v>31</v>
      </c>
      <c r="AL18" s="36">
        <f t="shared" ref="AL18:AL24" si="3">$D$22</f>
        <v>2</v>
      </c>
      <c r="AM18" s="37" t="str">
        <f t="shared" si="2"/>
        <v>N-1 EENS 2</v>
      </c>
      <c r="AN18" s="38">
        <f t="shared" ref="AN18:AN30" si="4">D23</f>
        <v>3054.0879453272519</v>
      </c>
      <c r="AO18" s="38">
        <f>NPV('Cost Assumptions'!$B$3,'SDG&amp;E'!C19:AD19)</f>
        <v>0</v>
      </c>
    </row>
    <row r="19" spans="1:41" x14ac:dyDescent="0.35">
      <c r="A19" s="123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AC19" s="88"/>
      <c r="AD19" s="88"/>
      <c r="AG19" s="88"/>
      <c r="AH19" s="88"/>
      <c r="AI19" s="88"/>
      <c r="AJ19" s="16" t="s">
        <v>30</v>
      </c>
      <c r="AK19" s="31" t="s">
        <v>32</v>
      </c>
      <c r="AL19" s="33">
        <f t="shared" si="3"/>
        <v>2</v>
      </c>
      <c r="AM19" s="88" t="str">
        <f t="shared" si="2"/>
        <v>N-1 IP 2</v>
      </c>
      <c r="AN19" s="17">
        <f t="shared" si="4"/>
        <v>153.69224473977658</v>
      </c>
      <c r="AO19" s="38">
        <f>NPV('Cost Assumptions'!$B$3,'SDG&amp;E'!C20:AD20)</f>
        <v>0</v>
      </c>
    </row>
    <row r="20" spans="1:41" ht="19.5" x14ac:dyDescent="0.45">
      <c r="A20" s="109" t="s">
        <v>40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88"/>
      <c r="Q20" s="88"/>
      <c r="R20" s="88"/>
      <c r="S20" s="88"/>
      <c r="T20" s="88"/>
      <c r="U20" s="88"/>
      <c r="V20" s="88"/>
      <c r="AC20" s="88"/>
      <c r="AD20" s="88"/>
      <c r="AG20" s="88"/>
      <c r="AH20" s="88"/>
      <c r="AI20" s="88"/>
      <c r="AJ20" s="16" t="s">
        <v>30</v>
      </c>
      <c r="AK20" s="31" t="s">
        <v>33</v>
      </c>
      <c r="AL20" s="33">
        <f t="shared" si="3"/>
        <v>2</v>
      </c>
      <c r="AM20" s="88" t="str">
        <f t="shared" si="2"/>
        <v>N-1 SAIDI 2</v>
      </c>
      <c r="AN20" s="17">
        <f t="shared" si="4"/>
        <v>159.37844490973765</v>
      </c>
      <c r="AO20" s="38">
        <f>NPV('Cost Assumptions'!$B$3,'SDG&amp;E'!C21:AD21)</f>
        <v>0</v>
      </c>
    </row>
    <row r="21" spans="1:41" ht="116" x14ac:dyDescent="0.35">
      <c r="A21" s="146"/>
      <c r="B21" s="147"/>
      <c r="C21" s="90" t="s">
        <v>9</v>
      </c>
      <c r="D21" s="90" t="s">
        <v>11</v>
      </c>
      <c r="E21" s="90" t="s">
        <v>12</v>
      </c>
      <c r="F21" s="90" t="s">
        <v>14</v>
      </c>
      <c r="G21" s="90" t="s">
        <v>16</v>
      </c>
      <c r="H21" s="90" t="s">
        <v>15</v>
      </c>
      <c r="I21" s="90" t="s">
        <v>18</v>
      </c>
      <c r="J21" s="90" t="s">
        <v>10</v>
      </c>
      <c r="K21" s="90" t="s">
        <v>20</v>
      </c>
      <c r="L21" s="90" t="s">
        <v>21</v>
      </c>
      <c r="M21" s="90" t="s">
        <v>19</v>
      </c>
      <c r="N21" s="90" t="s">
        <v>17</v>
      </c>
      <c r="O21" s="90" t="s">
        <v>13</v>
      </c>
      <c r="P21" s="88"/>
      <c r="Q21" s="88"/>
      <c r="R21" s="88"/>
      <c r="S21" s="88"/>
      <c r="T21" s="88"/>
      <c r="U21" s="88"/>
      <c r="V21" s="88"/>
      <c r="AC21" s="88"/>
      <c r="AD21" s="88"/>
      <c r="AG21" s="88"/>
      <c r="AH21" s="88"/>
      <c r="AI21" s="88"/>
      <c r="AJ21" s="16" t="s">
        <v>30</v>
      </c>
      <c r="AK21" s="31" t="s">
        <v>34</v>
      </c>
      <c r="AL21" s="33">
        <f t="shared" si="3"/>
        <v>2</v>
      </c>
      <c r="AM21" s="88" t="str">
        <f t="shared" ref="AM21" si="5">CONCATENATE(AJ21," ",AK21," ",AL21)</f>
        <v>N-1 SAIFI 2</v>
      </c>
      <c r="AN21" s="17">
        <f t="shared" si="4"/>
        <v>2.6252697089132693</v>
      </c>
      <c r="AO21" s="38">
        <f>NPV('Cost Assumptions'!$B$3,'SDG&amp;E'!C22:AD22)</f>
        <v>0</v>
      </c>
    </row>
    <row r="22" spans="1:41" x14ac:dyDescent="0.35">
      <c r="A22" s="138" t="s">
        <v>27</v>
      </c>
      <c r="B22" s="139"/>
      <c r="C22" s="121">
        <v>1</v>
      </c>
      <c r="D22" s="121">
        <v>2</v>
      </c>
      <c r="E22" s="121">
        <v>3</v>
      </c>
      <c r="F22" s="121">
        <v>4</v>
      </c>
      <c r="G22" s="121">
        <v>5</v>
      </c>
      <c r="H22" s="121">
        <v>6</v>
      </c>
      <c r="I22" s="121">
        <v>7</v>
      </c>
      <c r="J22" s="121">
        <v>8</v>
      </c>
      <c r="K22" s="121">
        <v>9</v>
      </c>
      <c r="L22" s="121">
        <v>10</v>
      </c>
      <c r="M22" s="121">
        <v>11</v>
      </c>
      <c r="N22" s="121">
        <v>12</v>
      </c>
      <c r="O22" s="121">
        <v>13</v>
      </c>
      <c r="P22" s="88"/>
      <c r="Q22" s="88"/>
      <c r="R22" s="88"/>
      <c r="S22" s="88"/>
      <c r="T22" s="88"/>
      <c r="U22" s="88"/>
      <c r="V22" s="88"/>
      <c r="AC22" s="88"/>
      <c r="AD22" s="88"/>
      <c r="AG22" s="88"/>
      <c r="AH22" s="88"/>
      <c r="AI22" s="88"/>
      <c r="AJ22" s="16" t="s">
        <v>30</v>
      </c>
      <c r="AK22" s="31" t="s">
        <v>35</v>
      </c>
      <c r="AL22" s="33">
        <f t="shared" si="3"/>
        <v>2</v>
      </c>
      <c r="AM22" s="88" t="str">
        <f t="shared" si="2"/>
        <v>N-1 PFD 2</v>
      </c>
      <c r="AN22" s="17">
        <f t="shared" si="4"/>
        <v>431.19522979784904</v>
      </c>
      <c r="AO22" s="38">
        <f>NPV('Cost Assumptions'!$B$3,'SDG&amp;E'!C23:AD23)</f>
        <v>0</v>
      </c>
    </row>
    <row r="23" spans="1:41" x14ac:dyDescent="0.35">
      <c r="A23" s="16" t="s">
        <v>30</v>
      </c>
      <c r="B23" s="31" t="s">
        <v>31</v>
      </c>
      <c r="C23" s="30">
        <f>'Alberhill System Project'!$B44</f>
        <v>2942.7422813102012</v>
      </c>
      <c r="D23" s="30">
        <f>'SDG&amp;E'!$B44</f>
        <v>3054.0879453272519</v>
      </c>
      <c r="E23" s="30">
        <f>'Valley S to Valley N to Vista'!$B45</f>
        <v>399.52411549923175</v>
      </c>
      <c r="F23" s="30">
        <f>'Centralized BESS in Valley S'!$B44</f>
        <v>3054.0879453272519</v>
      </c>
      <c r="G23" s="30">
        <f>'MiraLoma &amp; Centralized BESS VS'!$B44</f>
        <v>2518.1150277664724</v>
      </c>
      <c r="H23" s="30">
        <f>'VS to VN &amp; Distributed BESS VS'!$B45</f>
        <v>602.38957360699965</v>
      </c>
      <c r="I23" s="30">
        <f>Menifee!$B44</f>
        <v>409.09878472503806</v>
      </c>
      <c r="J23" s="30">
        <f>'Mira Loma'!$B44</f>
        <v>1152.6507811310296</v>
      </c>
      <c r="K23" s="30">
        <f>'SCE Orange County'!$B44</f>
        <v>2501.74093117336</v>
      </c>
      <c r="L23" s="30">
        <f>'VS to VN &amp; Central BESS VS VN '!$B45</f>
        <v>673.16156827418615</v>
      </c>
      <c r="M23" s="30">
        <f>'VS to VN to VST &amp; Cen BESS VS'!$B45</f>
        <v>673.16156827418615</v>
      </c>
      <c r="N23" s="30">
        <f>'SDG&amp;E and Central BESS in VS'!$B44</f>
        <v>3054.0879453272519</v>
      </c>
      <c r="O23" s="30">
        <f>'Valley South to Valley North'!$B45</f>
        <v>399.52411549923175</v>
      </c>
      <c r="P23" s="88"/>
      <c r="Q23" s="11"/>
      <c r="R23" s="88"/>
      <c r="S23" s="88"/>
      <c r="T23" s="88"/>
      <c r="U23" s="88"/>
      <c r="V23" s="88"/>
      <c r="AC23" s="88"/>
      <c r="AD23" s="88"/>
      <c r="AG23" s="88"/>
      <c r="AH23" s="88"/>
      <c r="AI23" s="88"/>
      <c r="AJ23" s="16" t="s">
        <v>30</v>
      </c>
      <c r="AK23" s="31" t="s">
        <v>36</v>
      </c>
      <c r="AL23" s="33">
        <f t="shared" si="3"/>
        <v>2</v>
      </c>
      <c r="AM23" s="88" t="str">
        <f t="shared" si="2"/>
        <v>N-1 Available Flex-1 2</v>
      </c>
      <c r="AN23" s="17">
        <f t="shared" si="4"/>
        <v>77819.443063585815</v>
      </c>
      <c r="AO23" s="38">
        <f>NPV('Cost Assumptions'!$B$3,'SDG&amp;E'!C24:AD24)</f>
        <v>101401.03274954882</v>
      </c>
    </row>
    <row r="24" spans="1:41" x14ac:dyDescent="0.35">
      <c r="A24" s="16" t="s">
        <v>30</v>
      </c>
      <c r="B24" s="31" t="s">
        <v>32</v>
      </c>
      <c r="C24" s="30">
        <f>'Alberhill System Project'!$B45</f>
        <v>132.91738933805431</v>
      </c>
      <c r="D24" s="30">
        <f>'SDG&amp;E'!$B45</f>
        <v>153.69224473977658</v>
      </c>
      <c r="E24" s="30">
        <f>'Valley S to Valley N to Vista'!$B46</f>
        <v>-35.07387381283089</v>
      </c>
      <c r="F24" s="30">
        <f>'Centralized BESS in Valley S'!$B45</f>
        <v>153.69224473977658</v>
      </c>
      <c r="G24" s="30">
        <f>'MiraLoma &amp; Centralized BESS VS'!$B45</f>
        <v>77.193163784298719</v>
      </c>
      <c r="H24" s="30">
        <f>'VS to VN &amp; Distributed BESS VS'!$B46</f>
        <v>-33.745713437364884</v>
      </c>
      <c r="I24" s="30">
        <f>Menifee!$B45</f>
        <v>-37.633187099370929</v>
      </c>
      <c r="J24" s="30">
        <f>'Mira Loma'!$B45</f>
        <v>30.108122137949504</v>
      </c>
      <c r="K24" s="30">
        <f>'SCE Orange County'!$B45</f>
        <v>105.06042613946427</v>
      </c>
      <c r="L24" s="30">
        <f>'VS to VN &amp; Central BESS VS VN '!$B46</f>
        <v>-30.522975022622681</v>
      </c>
      <c r="M24" s="30">
        <f>'VS to VN to VST &amp; Cen BESS VS'!$B46</f>
        <v>-30.522975022622681</v>
      </c>
      <c r="N24" s="30">
        <f>'SDG&amp;E and Central BESS in VS'!$B45</f>
        <v>153.69224473977658</v>
      </c>
      <c r="O24" s="30">
        <f>'Valley South to Valley North'!$B46</f>
        <v>-35.07387381283089</v>
      </c>
      <c r="P24" s="88"/>
      <c r="Q24" s="88"/>
      <c r="R24" s="88"/>
      <c r="S24" s="88"/>
      <c r="T24" s="88"/>
      <c r="U24" s="88"/>
      <c r="V24" s="88"/>
      <c r="AC24" s="88"/>
      <c r="AD24" s="88"/>
      <c r="AG24" s="88"/>
      <c r="AH24" s="88"/>
      <c r="AI24" s="88"/>
      <c r="AJ24" s="16" t="s">
        <v>30</v>
      </c>
      <c r="AK24" s="31" t="s">
        <v>37</v>
      </c>
      <c r="AL24" s="33">
        <f t="shared" si="3"/>
        <v>2</v>
      </c>
      <c r="AM24" s="88" t="str">
        <f t="shared" si="2"/>
        <v>N-1 Available Flex-2-1 2</v>
      </c>
      <c r="AN24" s="17">
        <f t="shared" si="4"/>
        <v>1279733.522949673</v>
      </c>
      <c r="AO24" s="38">
        <f>NPV('Cost Assumptions'!$B$3,'SDG&amp;E'!C25:AD25)</f>
        <v>618705.72264179506</v>
      </c>
    </row>
    <row r="25" spans="1:41" x14ac:dyDescent="0.35">
      <c r="A25" s="16" t="s">
        <v>30</v>
      </c>
      <c r="B25" s="31" t="s">
        <v>33</v>
      </c>
      <c r="C25" s="30">
        <f>'Alberhill System Project'!$B46</f>
        <v>155.85848000885468</v>
      </c>
      <c r="D25" s="30">
        <f>'SDG&amp;E'!$B46</f>
        <v>159.37844490973765</v>
      </c>
      <c r="E25" s="30">
        <f>'Valley S to Valley N to Vista'!$B47</f>
        <v>14.304616225082567</v>
      </c>
      <c r="F25" s="30">
        <f>'Centralized BESS in Valley S'!$B46</f>
        <v>159.37844490973765</v>
      </c>
      <c r="G25" s="30">
        <f>'MiraLoma &amp; Centralized BESS VS'!$B46</f>
        <v>142.1259685784722</v>
      </c>
      <c r="H25" s="30">
        <f>'VS to VN &amp; Distributed BESS VS'!$B47</f>
        <v>43.466217741803085</v>
      </c>
      <c r="I25" s="30">
        <f>Menifee!$B46</f>
        <v>13.473803123360129</v>
      </c>
      <c r="J25" s="30">
        <f>'Mira Loma'!$B46</f>
        <v>89.179662392465147</v>
      </c>
      <c r="K25" s="30">
        <f>'SCE Orange County'!$B46</f>
        <v>149.36131929429692</v>
      </c>
      <c r="L25" s="30">
        <f>'VS to VN &amp; Central BESS VS VN '!$B47</f>
        <v>52.609350081803619</v>
      </c>
      <c r="M25" s="30">
        <f>'VS to VN to VST &amp; Cen BESS VS'!$B47</f>
        <v>52.609350081803619</v>
      </c>
      <c r="N25" s="30">
        <f>'SDG&amp;E and Central BESS in VS'!$B46</f>
        <v>159.37844490973765</v>
      </c>
      <c r="O25" s="30">
        <f>'Valley South to Valley North'!$B47</f>
        <v>14.304616225082567</v>
      </c>
      <c r="P25" s="88"/>
      <c r="Q25" s="88"/>
      <c r="R25" s="88"/>
      <c r="S25" s="88"/>
      <c r="T25" s="88"/>
      <c r="U25" s="88"/>
      <c r="V25" s="88"/>
      <c r="AC25" s="88"/>
      <c r="AD25" s="88"/>
      <c r="AG25" s="88"/>
      <c r="AH25" s="88"/>
      <c r="AI25" s="88"/>
      <c r="AJ25" s="16" t="s">
        <v>30</v>
      </c>
      <c r="AK25" s="31" t="s">
        <v>38</v>
      </c>
      <c r="AL25" s="33">
        <v>2</v>
      </c>
      <c r="AM25" s="88" t="str">
        <f t="shared" si="2"/>
        <v>N-1 Available Flex-2-2 2</v>
      </c>
      <c r="AN25" s="17">
        <f t="shared" si="4"/>
        <v>581863.94621484273</v>
      </c>
      <c r="AO25" s="38">
        <f>NPV('Cost Assumptions'!$B$3,'SDG&amp;E'!C26:AD26)</f>
        <v>204922.3535836814</v>
      </c>
    </row>
    <row r="26" spans="1:41" x14ac:dyDescent="0.35">
      <c r="A26" s="16" t="s">
        <v>30</v>
      </c>
      <c r="B26" s="31" t="s">
        <v>34</v>
      </c>
      <c r="C26" s="30">
        <f>'Alberhill System Project'!$B47</f>
        <v>2.3432448744234167</v>
      </c>
      <c r="D26" s="30">
        <f>'SDG&amp;E'!$B47</f>
        <v>2.6252697089132693</v>
      </c>
      <c r="E26" s="30">
        <f>'Valley S to Valley N to Vista'!$B48</f>
        <v>0.17509021452793863</v>
      </c>
      <c r="F26" s="30">
        <f>'Centralized BESS in Valley S'!$B47</f>
        <v>2.6252697089132693</v>
      </c>
      <c r="G26" s="30">
        <f>'MiraLoma &amp; Centralized BESS VS'!$B47</f>
        <v>2.0721606730691895</v>
      </c>
      <c r="H26" s="30">
        <f>'VS to VN &amp; Distributed BESS VS'!$B48</f>
        <v>0.3554265943211094</v>
      </c>
      <c r="I26" s="30">
        <f>Menifee!$B47</f>
        <v>-0.16638800514405044</v>
      </c>
      <c r="J26" s="30">
        <f>'Mira Loma'!$B47</f>
        <v>0.74193263189027736</v>
      </c>
      <c r="K26" s="30">
        <f>'SCE Orange County'!$B47</f>
        <v>1.9809430105174144</v>
      </c>
      <c r="L26" s="30">
        <f>'VS to VN &amp; Central BESS VS VN '!$B48</f>
        <v>0.42183026101000315</v>
      </c>
      <c r="M26" s="30">
        <f>'VS to VN to VST &amp; Cen BESS VS'!$B48</f>
        <v>0.42183026101000315</v>
      </c>
      <c r="N26" s="30">
        <f>'SDG&amp;E and Central BESS in VS'!$B47</f>
        <v>2.6252697089132693</v>
      </c>
      <c r="O26" s="30">
        <f>'Valley South to Valley North'!$B48</f>
        <v>0.17509021452793863</v>
      </c>
      <c r="P26" s="88"/>
      <c r="Q26" s="88"/>
      <c r="R26" s="88"/>
      <c r="S26" s="88"/>
      <c r="T26" s="88"/>
      <c r="U26" s="88"/>
      <c r="V26" s="88"/>
      <c r="AC26" s="88"/>
      <c r="AD26" s="88"/>
      <c r="AG26" s="88"/>
      <c r="AH26" s="88"/>
      <c r="AI26" s="88"/>
      <c r="AJ26" s="16" t="s">
        <v>39</v>
      </c>
      <c r="AK26" s="31" t="s">
        <v>31</v>
      </c>
      <c r="AL26" s="33">
        <f>$D$22</f>
        <v>2</v>
      </c>
      <c r="AM26" s="88" t="str">
        <f t="shared" si="2"/>
        <v>N-0 EENS 2</v>
      </c>
      <c r="AN26" s="17">
        <f t="shared" si="4"/>
        <v>8556.9065527784605</v>
      </c>
      <c r="AO26" s="38">
        <f>NPV('Cost Assumptions'!$B$3,'SDG&amp;E'!C27:AD27)</f>
        <v>100.6387001650568</v>
      </c>
    </row>
    <row r="27" spans="1:41" x14ac:dyDescent="0.35">
      <c r="A27" s="16" t="s">
        <v>30</v>
      </c>
      <c r="B27" s="31" t="s">
        <v>35</v>
      </c>
      <c r="C27" s="30">
        <f>'Alberhill System Project'!$B48</f>
        <v>420.60748866649169</v>
      </c>
      <c r="D27" s="30">
        <f>'SDG&amp;E'!$B48</f>
        <v>431.19522979784904</v>
      </c>
      <c r="E27" s="30">
        <f>'Valley S to Valley N to Vista'!$B49</f>
        <v>266.95611400997069</v>
      </c>
      <c r="F27" s="30">
        <f>'Centralized BESS in Valley S'!$B48</f>
        <v>431.19522979784904</v>
      </c>
      <c r="G27" s="30">
        <f>'MiraLoma &amp; Centralized BESS VS'!$B48</f>
        <v>333.35250724763148</v>
      </c>
      <c r="H27" s="30">
        <f>'VS to VN &amp; Distributed BESS VS'!$B49</f>
        <v>264.91999958806599</v>
      </c>
      <c r="I27" s="30">
        <f>Menifee!$B48</f>
        <v>267.54850896735439</v>
      </c>
      <c r="J27" s="30">
        <f>'Mira Loma'!$B48</f>
        <v>325.89400618303426</v>
      </c>
      <c r="K27" s="30">
        <f>'SCE Orange County'!$B48</f>
        <v>397.9887782723992</v>
      </c>
      <c r="L27" s="30">
        <f>'VS to VN &amp; Central BESS VS VN '!$B49</f>
        <v>270.87690837466926</v>
      </c>
      <c r="M27" s="30">
        <f>'VS to VN to VST &amp; Cen BESS VS'!$B49</f>
        <v>270.87690837466926</v>
      </c>
      <c r="N27" s="30">
        <f>'SDG&amp;E and Central BESS in VS'!$B48</f>
        <v>431.19522979784904</v>
      </c>
      <c r="O27" s="30">
        <f>'Valley South to Valley North'!$B49</f>
        <v>266.95611400997069</v>
      </c>
      <c r="P27" s="88"/>
      <c r="Q27" s="88"/>
      <c r="R27" s="88"/>
      <c r="S27" s="88"/>
      <c r="T27" s="88"/>
      <c r="U27" s="88"/>
      <c r="V27" s="88"/>
      <c r="AC27" s="88"/>
      <c r="AD27" s="88"/>
      <c r="AG27" s="88"/>
      <c r="AH27" s="88"/>
      <c r="AI27" s="88"/>
      <c r="AJ27" s="16" t="s">
        <v>39</v>
      </c>
      <c r="AK27" s="31" t="s">
        <v>32</v>
      </c>
      <c r="AL27" s="33">
        <f>$D$22</f>
        <v>2</v>
      </c>
      <c r="AM27" s="88" t="str">
        <f t="shared" si="2"/>
        <v>N-0 IP 2</v>
      </c>
      <c r="AN27" s="17">
        <f t="shared" si="4"/>
        <v>819.45362732664785</v>
      </c>
      <c r="AO27" s="38">
        <f>NPV('Cost Assumptions'!$B$3,'SDG&amp;E'!C28:AD28)</f>
        <v>33.598956166135657</v>
      </c>
    </row>
    <row r="28" spans="1:41" x14ac:dyDescent="0.35">
      <c r="A28" s="16" t="s">
        <v>30</v>
      </c>
      <c r="B28" s="31" t="s">
        <v>36</v>
      </c>
      <c r="C28" s="30">
        <f>'Alberhill System Project'!$B49</f>
        <v>179220.47581313469</v>
      </c>
      <c r="D28" s="30">
        <f>'SDG&amp;E'!$B49</f>
        <v>77819.443063585815</v>
      </c>
      <c r="E28" s="30">
        <f>'Valley S to Valley N to Vista'!$B50</f>
        <v>53918.136094856709</v>
      </c>
      <c r="F28" s="30">
        <f>'Centralized BESS in Valley S'!$B49</f>
        <v>117755.8291896493</v>
      </c>
      <c r="G28" s="30">
        <f>'MiraLoma &amp; Centralized BESS VS'!$B49</f>
        <v>111146.95809377151</v>
      </c>
      <c r="H28" s="30">
        <f>'VS to VN &amp; Distributed BESS VS'!$B50</f>
        <v>55521.604625716871</v>
      </c>
      <c r="I28" s="30">
        <f>Menifee!$B49</f>
        <v>54114.179928585007</v>
      </c>
      <c r="J28" s="30">
        <f>'Mira Loma'!$B49</f>
        <v>107491.56446464331</v>
      </c>
      <c r="K28" s="30">
        <f>'SCE Orange County'!$B49</f>
        <v>151761.04824744398</v>
      </c>
      <c r="L28" s="30">
        <f>'VS to VN &amp; Central BESS VS VN '!$B50</f>
        <v>57953.567729287279</v>
      </c>
      <c r="M28" s="30">
        <f>'VS to VN to VST &amp; Cen BESS VS'!$B50</f>
        <v>57953.567729287279</v>
      </c>
      <c r="N28" s="30">
        <f>'SDG&amp;E and Central BESS in VS'!$B49</f>
        <v>128484.68741706209</v>
      </c>
      <c r="O28" s="30">
        <f>'Valley South to Valley North'!$B50</f>
        <v>53918.136094856709</v>
      </c>
      <c r="P28" s="88"/>
      <c r="Q28" s="88"/>
      <c r="R28" s="11"/>
      <c r="S28" s="88"/>
      <c r="T28" s="88"/>
      <c r="U28" s="88"/>
      <c r="V28" s="88"/>
      <c r="AC28" s="88"/>
      <c r="AD28" s="88"/>
      <c r="AG28" s="88"/>
      <c r="AH28" s="88"/>
      <c r="AI28" s="88"/>
      <c r="AJ28" s="16" t="s">
        <v>39</v>
      </c>
      <c r="AK28" s="31" t="s">
        <v>33</v>
      </c>
      <c r="AL28" s="33">
        <f>$D$22</f>
        <v>2</v>
      </c>
      <c r="AM28" s="88" t="str">
        <f t="shared" si="2"/>
        <v>N-0 SAIDI 2</v>
      </c>
      <c r="AN28" s="17">
        <f t="shared" si="4"/>
        <v>403.77450402293823</v>
      </c>
      <c r="AO28" s="38">
        <f>NPV('Cost Assumptions'!$B$3,'SDG&amp;E'!C29:AD29)</f>
        <v>0.45723780786720003</v>
      </c>
    </row>
    <row r="29" spans="1:41" x14ac:dyDescent="0.35">
      <c r="A29" s="16" t="s">
        <v>30</v>
      </c>
      <c r="B29" s="31" t="s">
        <v>37</v>
      </c>
      <c r="C29" s="30">
        <f>'Alberhill System Project'!$B50</f>
        <v>1797044.0534312564</v>
      </c>
      <c r="D29" s="30">
        <f>'SDG&amp;E'!$B50</f>
        <v>1279733.522949673</v>
      </c>
      <c r="E29" s="30">
        <f>'Valley S to Valley N to Vista'!$B51</f>
        <v>0</v>
      </c>
      <c r="F29" s="30">
        <f>'Centralized BESS in Valley S'!$B50</f>
        <v>0</v>
      </c>
      <c r="G29" s="30">
        <f>'MiraLoma &amp; Centralized BESS VS'!$B50</f>
        <v>502763.63150252239</v>
      </c>
      <c r="H29" s="30">
        <f>'VS to VN &amp; Distributed BESS VS'!$B51</f>
        <v>0</v>
      </c>
      <c r="I29" s="30">
        <f>Menifee!$B50</f>
        <v>1139100.4622220432</v>
      </c>
      <c r="J29" s="30">
        <f>'Mira Loma'!$B50</f>
        <v>502763.63150252239</v>
      </c>
      <c r="K29" s="30">
        <f>'SCE Orange County'!$B50</f>
        <v>1304466.2241804211</v>
      </c>
      <c r="L29" s="30">
        <f>'VS to VN &amp; Central BESS VS VN '!$B51</f>
        <v>0</v>
      </c>
      <c r="M29" s="30">
        <f>'VS to VN to VST &amp; Cen BESS VS'!$B51</f>
        <v>0</v>
      </c>
      <c r="N29" s="30">
        <f>'SDG&amp;E and Central BESS in VS'!$B50</f>
        <v>1279733.522949673</v>
      </c>
      <c r="O29" s="30">
        <f>'Valley South to Valley North'!$B51</f>
        <v>0</v>
      </c>
      <c r="P29" s="88"/>
      <c r="Q29" s="88"/>
      <c r="R29" s="88"/>
      <c r="S29" s="88"/>
      <c r="T29" s="88"/>
      <c r="U29" s="88"/>
      <c r="V29" s="88"/>
      <c r="AC29" s="88"/>
      <c r="AD29" s="88"/>
      <c r="AG29" s="88"/>
      <c r="AH29" s="88"/>
      <c r="AI29" s="88"/>
      <c r="AJ29" s="16" t="s">
        <v>39</v>
      </c>
      <c r="AK29" s="31" t="s">
        <v>34</v>
      </c>
      <c r="AL29" s="33">
        <f>$D$22</f>
        <v>2</v>
      </c>
      <c r="AM29" s="88" t="str">
        <f t="shared" ref="AM29:AM45" si="6">CONCATENATE(AJ29," ",AK29," ",AL29)</f>
        <v>N-0 SAIFI 2</v>
      </c>
      <c r="AN29" s="17">
        <f t="shared" si="4"/>
        <v>9.1264819817913967</v>
      </c>
      <c r="AO29" s="38">
        <f>NPV('Cost Assumptions'!$B$3,'SDG&amp;E'!C30:AD30)</f>
        <v>8.7472372514729266E-2</v>
      </c>
    </row>
    <row r="30" spans="1:41" s="82" customFormat="1" x14ac:dyDescent="0.35">
      <c r="A30" s="16" t="s">
        <v>30</v>
      </c>
      <c r="B30" s="31" t="s">
        <v>38</v>
      </c>
      <c r="C30" s="30">
        <f>'Alberhill System Project'!$B51</f>
        <v>786730.2969915201</v>
      </c>
      <c r="D30" s="30">
        <f>'SDG&amp;E'!$B51</f>
        <v>581863.94621484273</v>
      </c>
      <c r="E30" s="30">
        <f>'Valley S to Valley N to Vista'!$B52</f>
        <v>528219.78220107977</v>
      </c>
      <c r="F30" s="30">
        <f>'Centralized BESS in Valley S'!$B51</f>
        <v>8307.2206479279794</v>
      </c>
      <c r="G30" s="30">
        <f>'MiraLoma &amp; Centralized BESS VS'!$B51</f>
        <v>496841.42324199079</v>
      </c>
      <c r="H30" s="30">
        <f>'VS to VN &amp; Distributed BESS VS'!$B52</f>
        <v>528219.78220107977</v>
      </c>
      <c r="I30" s="30">
        <f>Menifee!$B51</f>
        <v>528219.78220107977</v>
      </c>
      <c r="J30" s="30">
        <f>'Mira Loma'!$B51</f>
        <v>496777.86753826664</v>
      </c>
      <c r="K30" s="30">
        <f>'SCE Orange County'!$B51</f>
        <v>616637.40455033118</v>
      </c>
      <c r="L30" s="30">
        <f>'VS to VN &amp; Central BESS VS VN '!$B52</f>
        <v>528242.25788535213</v>
      </c>
      <c r="M30" s="30">
        <f>'VS to VN to VST &amp; Cen BESS VS'!$B52</f>
        <v>528242.25788535213</v>
      </c>
      <c r="N30" s="30">
        <f>'SDG&amp;E and Central BESS in VS'!$B51</f>
        <v>581863.94621484273</v>
      </c>
      <c r="O30" s="30">
        <f>'Valley South to Valley North'!$B52</f>
        <v>528219.78220107977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16" t="s">
        <v>39</v>
      </c>
      <c r="AK30" s="31" t="s">
        <v>35</v>
      </c>
      <c r="AL30" s="116">
        <f>$D$22</f>
        <v>2</v>
      </c>
      <c r="AM30" s="34" t="str">
        <f t="shared" si="6"/>
        <v>N-0 PFD 2</v>
      </c>
      <c r="AN30" s="35">
        <f t="shared" si="4"/>
        <v>142.69436877101506</v>
      </c>
      <c r="AO30" s="38">
        <f>NPV('Cost Assumptions'!$B$3,'SDG&amp;E'!C31:AD31)</f>
        <v>4.0982028843944818</v>
      </c>
    </row>
    <row r="31" spans="1:41" x14ac:dyDescent="0.35">
      <c r="A31" s="16" t="s">
        <v>39</v>
      </c>
      <c r="B31" s="31" t="s">
        <v>31</v>
      </c>
      <c r="C31" s="30">
        <f>'Alberhill System Project'!$B52</f>
        <v>8657.0563129862348</v>
      </c>
      <c r="D31" s="30">
        <f>'SDG&amp;E'!$B52</f>
        <v>8556.9065527784605</v>
      </c>
      <c r="E31" s="30">
        <f>'Valley S to Valley N to Vista'!$B53</f>
        <v>8396.7463955783933</v>
      </c>
      <c r="F31" s="30">
        <f>'Centralized BESS in Valley S'!$B52</f>
        <v>8657.5452529435206</v>
      </c>
      <c r="G31" s="30">
        <f>'MiraLoma &amp; Centralized BESS VS'!$B52</f>
        <v>8657.5452529435206</v>
      </c>
      <c r="H31" s="30">
        <f>'VS to VN &amp; Distributed BESS VS'!$B53</f>
        <v>7544.6532650230147</v>
      </c>
      <c r="I31" s="30">
        <f>Menifee!$B52</f>
        <v>8626.6104282535925</v>
      </c>
      <c r="J31" s="30">
        <f>'Mira Loma'!$B52</f>
        <v>6756.1080887472981</v>
      </c>
      <c r="K31" s="30">
        <f>'SCE Orange County'!$B52</f>
        <v>8557.6474018575409</v>
      </c>
      <c r="L31" s="30">
        <f>'VS to VN &amp; Central BESS VS VN '!$B53</f>
        <v>8657.5452529435206</v>
      </c>
      <c r="M31" s="30">
        <f>'VS to VN to VST &amp; Cen BESS VS'!$B53</f>
        <v>8428.6491804225825</v>
      </c>
      <c r="N31" s="30">
        <f>'SDG&amp;E and Central BESS in VS'!$B52</f>
        <v>8657.5452529435206</v>
      </c>
      <c r="O31" s="30">
        <f>'Valley South to Valley North'!$B53</f>
        <v>7513.0403353797101</v>
      </c>
      <c r="P31" s="88"/>
      <c r="Q31" s="88"/>
      <c r="R31" s="88"/>
      <c r="S31" s="88"/>
      <c r="T31" s="88"/>
      <c r="U31" s="88"/>
      <c r="V31" s="88"/>
      <c r="AC31" s="88"/>
      <c r="AD31" s="88"/>
      <c r="AG31" s="88"/>
      <c r="AH31" s="88"/>
      <c r="AI31" s="88"/>
      <c r="AJ31" s="16" t="s">
        <v>30</v>
      </c>
      <c r="AK31" s="31" t="s">
        <v>31</v>
      </c>
      <c r="AL31" s="36">
        <f>$E$22</f>
        <v>3</v>
      </c>
      <c r="AM31" s="37" t="str">
        <f t="shared" si="6"/>
        <v>N-1 EENS 3</v>
      </c>
      <c r="AN31" s="38">
        <f>E23</f>
        <v>399.52411549923175</v>
      </c>
      <c r="AO31" s="38">
        <f>NPV('Cost Assumptions'!$B$3,'Valley S to Valley N to Vista'!C19:AD19)</f>
        <v>2654.563829828021</v>
      </c>
    </row>
    <row r="32" spans="1:41" x14ac:dyDescent="0.35">
      <c r="A32" s="16" t="s">
        <v>39</v>
      </c>
      <c r="B32" s="31" t="s">
        <v>32</v>
      </c>
      <c r="C32" s="30">
        <f>'Alberhill System Project'!$B53</f>
        <v>852.74292151983639</v>
      </c>
      <c r="D32" s="30">
        <f>'SDG&amp;E'!$B53</f>
        <v>819.45362732664785</v>
      </c>
      <c r="E32" s="30">
        <f>'Valley S to Valley N to Vista'!$B54</f>
        <v>806.87186447874512</v>
      </c>
      <c r="F32" s="30">
        <f>'Centralized BESS in Valley S'!$B53</f>
        <v>853.05258349278347</v>
      </c>
      <c r="G32" s="30">
        <f>'MiraLoma &amp; Centralized BESS VS'!$B53</f>
        <v>853.05258349278347</v>
      </c>
      <c r="H32" s="30">
        <f>'VS to VN &amp; Distributed BESS VS'!$B54</f>
        <v>784.77131950234025</v>
      </c>
      <c r="I32" s="30">
        <f>Menifee!$B53</f>
        <v>841.79951763744918</v>
      </c>
      <c r="J32" s="30">
        <f>'Mira Loma'!$B53</f>
        <v>596.69828441680932</v>
      </c>
      <c r="K32" s="30">
        <f>'SCE Orange County'!$B53</f>
        <v>819.46625732476843</v>
      </c>
      <c r="L32" s="30">
        <f>'VS to VN &amp; Central BESS VS VN '!$B54</f>
        <v>853.05258349278347</v>
      </c>
      <c r="M32" s="30">
        <f>'VS to VN to VST &amp; Cen BESS VS'!$B54</f>
        <v>817.28387237435788</v>
      </c>
      <c r="N32" s="30">
        <f>'SDG&amp;E and Central BESS in VS'!$B53</f>
        <v>853.05258349278347</v>
      </c>
      <c r="O32" s="30">
        <f>'Valley South to Valley North'!$B54</f>
        <v>766.21308358335477</v>
      </c>
      <c r="P32" s="88"/>
      <c r="Q32" s="88"/>
      <c r="R32" s="88"/>
      <c r="S32" s="88"/>
      <c r="T32" s="88"/>
      <c r="U32" s="88"/>
      <c r="V32" s="88"/>
      <c r="AC32" s="88"/>
      <c r="AD32" s="88"/>
      <c r="AG32" s="88"/>
      <c r="AH32" s="88"/>
      <c r="AI32" s="88"/>
      <c r="AJ32" s="16" t="s">
        <v>30</v>
      </c>
      <c r="AK32" s="31" t="s">
        <v>32</v>
      </c>
      <c r="AL32" s="33">
        <f>$E$22</f>
        <v>3</v>
      </c>
      <c r="AM32" s="88" t="str">
        <f t="shared" si="6"/>
        <v>N-1 IP 3</v>
      </c>
      <c r="AN32" s="17">
        <f>E24</f>
        <v>-35.07387381283089</v>
      </c>
      <c r="AO32" s="38">
        <f>NPV('Cost Assumptions'!$B$3,'Valley S to Valley N to Vista'!C20:AD20)</f>
        <v>188.76611855260748</v>
      </c>
    </row>
    <row r="33" spans="1:41" x14ac:dyDescent="0.35">
      <c r="A33" s="16" t="s">
        <v>39</v>
      </c>
      <c r="B33" s="31" t="s">
        <v>33</v>
      </c>
      <c r="C33" s="30">
        <f>'Alberhill System Project'!$B54</f>
        <v>404.22835227441522</v>
      </c>
      <c r="D33" s="30">
        <f>'SDG&amp;E'!$B54</f>
        <v>403.77450402293823</v>
      </c>
      <c r="E33" s="30">
        <f>'Valley S to Valley N to Vista'!$B55</f>
        <v>403.63449625798688</v>
      </c>
      <c r="F33" s="30">
        <f>'Centralized BESS in Valley S'!$B54</f>
        <v>404.2317418308055</v>
      </c>
      <c r="G33" s="30">
        <f>'MiraLoma &amp; Centralized BESS VS'!$B54</f>
        <v>404.2317418308055</v>
      </c>
      <c r="H33" s="30">
        <f>'VS to VN &amp; Distributed BESS VS'!$B55</f>
        <v>366.29743351294871</v>
      </c>
      <c r="I33" s="30">
        <f>Menifee!$B54</f>
        <v>403.96782884224416</v>
      </c>
      <c r="J33" s="30">
        <f>'Mira Loma'!$B54</f>
        <v>374.98731403574095</v>
      </c>
      <c r="K33" s="30">
        <f>'SCE Orange County'!$B54</f>
        <v>402.94576019915144</v>
      </c>
      <c r="L33" s="30">
        <f>'VS to VN &amp; Central BESS VS VN '!$B55</f>
        <v>404.2317418308055</v>
      </c>
      <c r="M33" s="30">
        <f>'VS to VN to VST &amp; Cen BESS VS'!$B55</f>
        <v>404.12083984884094</v>
      </c>
      <c r="N33" s="30">
        <f>'SDG&amp;E and Central BESS in VS'!$B54</f>
        <v>404.2317418308055</v>
      </c>
      <c r="O33" s="30">
        <f>'Valley South to Valley North'!$B55</f>
        <v>354.80511539308065</v>
      </c>
      <c r="P33" s="88"/>
      <c r="Q33" s="88"/>
      <c r="R33" s="88"/>
      <c r="S33" s="88"/>
      <c r="T33" s="88"/>
      <c r="U33" s="88"/>
      <c r="V33" s="88"/>
      <c r="AC33" s="88"/>
      <c r="AD33" s="88"/>
      <c r="AG33" s="88"/>
      <c r="AH33" s="88"/>
      <c r="AI33" s="88"/>
      <c r="AJ33" s="16" t="s">
        <v>30</v>
      </c>
      <c r="AK33" s="31" t="s">
        <v>33</v>
      </c>
      <c r="AL33" s="33">
        <f>$E$22</f>
        <v>3</v>
      </c>
      <c r="AM33" s="88" t="str">
        <f t="shared" si="6"/>
        <v>N-1 SAIDI 3</v>
      </c>
      <c r="AN33" s="17">
        <f>E25</f>
        <v>14.304616225082567</v>
      </c>
      <c r="AO33" s="38">
        <f>NPV('Cost Assumptions'!$B$3,'Valley S to Valley N to Vista'!C21:AD21)</f>
        <v>145.07382868465513</v>
      </c>
    </row>
    <row r="34" spans="1:41" x14ac:dyDescent="0.35">
      <c r="A34" s="16" t="s">
        <v>39</v>
      </c>
      <c r="B34" s="31" t="s">
        <v>34</v>
      </c>
      <c r="C34" s="30">
        <f>'Alberhill System Project'!$B55</f>
        <v>9.2122595761110251</v>
      </c>
      <c r="D34" s="30">
        <f>'SDG&amp;E'!$B55</f>
        <v>9.1264819817913967</v>
      </c>
      <c r="E34" s="30">
        <f>'Valley S to Valley N to Vista'!$B56</f>
        <v>9.1856913228202277</v>
      </c>
      <c r="F34" s="30">
        <f>'Centralized BESS in Valley S'!$B55</f>
        <v>9.2139543543061269</v>
      </c>
      <c r="G34" s="30">
        <f>'MiraLoma &amp; Centralized BESS VS'!$B55</f>
        <v>9.2139543543061269</v>
      </c>
      <c r="H34" s="30">
        <f>'VS to VN &amp; Distributed BESS VS'!$B56</f>
        <v>8.0533173660107948</v>
      </c>
      <c r="I34" s="30">
        <f>Menifee!$B55</f>
        <v>9.1798112629934874</v>
      </c>
      <c r="J34" s="30">
        <f>'Mira Loma'!$B55</f>
        <v>7.8146508339753131</v>
      </c>
      <c r="K34" s="30">
        <f>'SCE Orange County'!$B55</f>
        <v>9.103510893662877</v>
      </c>
      <c r="L34" s="30">
        <f>'VS to VN &amp; Central BESS VS VN '!$B56</f>
        <v>9.2139543543061269</v>
      </c>
      <c r="M34" s="30">
        <f>'VS to VN to VST &amp; Cen BESS VS'!$B56</f>
        <v>9.2000393391799342</v>
      </c>
      <c r="N34" s="30">
        <f>'SDG&amp;E and Central BESS in VS'!$B55</f>
        <v>9.2139543543061269</v>
      </c>
      <c r="O34" s="30">
        <f>'Valley South to Valley North'!$B56</f>
        <v>7.9806125039048075</v>
      </c>
      <c r="P34" s="88"/>
      <c r="Q34" s="88"/>
      <c r="R34" s="88"/>
      <c r="S34" s="88"/>
      <c r="T34" s="88"/>
      <c r="U34" s="88"/>
      <c r="V34" s="88"/>
      <c r="AC34" s="88"/>
      <c r="AD34" s="88"/>
      <c r="AG34" s="88"/>
      <c r="AH34" s="88"/>
      <c r="AI34" s="88"/>
      <c r="AJ34" s="16" t="s">
        <v>30</v>
      </c>
      <c r="AK34" s="31" t="s">
        <v>34</v>
      </c>
      <c r="AL34" s="33">
        <f>$E$22</f>
        <v>3</v>
      </c>
      <c r="AM34" s="88" t="str">
        <f t="shared" si="6"/>
        <v>N-1 SAIFI 3</v>
      </c>
      <c r="AN34" s="17">
        <f>E26</f>
        <v>0.17509021452793863</v>
      </c>
      <c r="AO34" s="38">
        <f>NPV('Cost Assumptions'!$B$3,'Valley S to Valley N to Vista'!C22:AD22)</f>
        <v>2.4501794943853308</v>
      </c>
    </row>
    <row r="35" spans="1:41" ht="14.5" customHeight="1" x14ac:dyDescent="0.35">
      <c r="A35" s="16" t="s">
        <v>39</v>
      </c>
      <c r="B35" s="31" t="s">
        <v>35</v>
      </c>
      <c r="C35" s="30">
        <f>'Alberhill System Project'!$B56</f>
        <v>146.46661168388616</v>
      </c>
      <c r="D35" s="30">
        <f>'SDG&amp;E'!$B56</f>
        <v>142.69436877101506</v>
      </c>
      <c r="E35" s="30">
        <f>'Valley S to Valley N to Vista'!$B57</f>
        <v>138.23598066372696</v>
      </c>
      <c r="F35" s="30">
        <f>'Centralized BESS in Valley S'!$B56</f>
        <v>146.79257165540955</v>
      </c>
      <c r="G35" s="30">
        <f>'MiraLoma &amp; Centralized BESS VS'!$B56</f>
        <v>146.79257165540955</v>
      </c>
      <c r="H35" s="30">
        <f>'VS to VN &amp; Distributed BESS VS'!$B57</f>
        <v>119.99392539732808</v>
      </c>
      <c r="I35" s="30">
        <f>Menifee!$B56</f>
        <v>145.41886624128534</v>
      </c>
      <c r="J35" s="30">
        <f>'Mira Loma'!$B56</f>
        <v>111.0942022573812</v>
      </c>
      <c r="K35" s="30">
        <f>'SCE Orange County'!$B56</f>
        <v>142.78709268700183</v>
      </c>
      <c r="L35" s="30">
        <f>'VS to VN &amp; Central BESS VS VN '!$B57</f>
        <v>146.79257165540955</v>
      </c>
      <c r="M35" s="30">
        <f>'VS to VN to VST &amp; Cen BESS VS'!$B57</f>
        <v>139.74932100114651</v>
      </c>
      <c r="N35" s="30">
        <f>'SDG&amp;E and Central BESS in VS'!$B56</f>
        <v>146.79257165540955</v>
      </c>
      <c r="O35" s="30">
        <f>'Valley South to Valley North'!$B57</f>
        <v>117.47766013713918</v>
      </c>
      <c r="P35" s="88"/>
      <c r="Q35" s="88"/>
      <c r="R35" s="88"/>
      <c r="S35" s="88"/>
      <c r="T35" s="88"/>
      <c r="U35" s="88"/>
      <c r="V35" s="88"/>
      <c r="AC35" s="88"/>
      <c r="AD35" s="88"/>
      <c r="AG35" s="88"/>
      <c r="AH35" s="88"/>
      <c r="AI35" s="88"/>
      <c r="AJ35" s="16" t="s">
        <v>30</v>
      </c>
      <c r="AK35" s="31" t="s">
        <v>35</v>
      </c>
      <c r="AL35" s="33">
        <f>$E$22</f>
        <v>3</v>
      </c>
      <c r="AM35" s="88" t="str">
        <f t="shared" si="6"/>
        <v>N-1 PFD 3</v>
      </c>
      <c r="AN35" s="17">
        <f>E27</f>
        <v>266.95611400997069</v>
      </c>
      <c r="AO35" s="38">
        <f>NPV('Cost Assumptions'!$B$3,'Valley S to Valley N to Vista'!C23:AD23)</f>
        <v>164.23911578787838</v>
      </c>
    </row>
    <row r="36" spans="1:41" s="88" customFormat="1" ht="14.5" customHeight="1" x14ac:dyDescent="0.35">
      <c r="A36" s="93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AJ36" s="16"/>
      <c r="AK36" s="31"/>
      <c r="AL36" s="33"/>
      <c r="AN36" s="17"/>
      <c r="AO36" s="38"/>
    </row>
    <row r="37" spans="1:41" s="88" customFormat="1" x14ac:dyDescent="0.35">
      <c r="AJ37" s="16"/>
      <c r="AK37" s="31"/>
      <c r="AL37" s="33"/>
      <c r="AN37" s="17"/>
      <c r="AO37" s="38"/>
    </row>
    <row r="38" spans="1:41" s="88" customFormat="1" x14ac:dyDescent="0.35">
      <c r="A38" s="93"/>
      <c r="B38" s="94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AJ38" s="16"/>
      <c r="AK38" s="31"/>
      <c r="AL38" s="33"/>
      <c r="AN38" s="17"/>
      <c r="AO38" s="38"/>
    </row>
    <row r="39" spans="1:41" x14ac:dyDescent="0.3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AC39" s="88"/>
      <c r="AD39" s="88"/>
      <c r="AG39" s="88"/>
      <c r="AH39" s="88"/>
      <c r="AI39" s="88"/>
      <c r="AJ39" s="16" t="s">
        <v>30</v>
      </c>
      <c r="AK39" s="31" t="s">
        <v>36</v>
      </c>
      <c r="AL39" s="33">
        <f t="shared" ref="AL39:AL46" si="7">$E$22</f>
        <v>3</v>
      </c>
      <c r="AM39" s="88" t="str">
        <f t="shared" si="6"/>
        <v>N-1 Available Flex-1 3</v>
      </c>
      <c r="AN39" s="17">
        <f t="shared" ref="AN39:AN46" si="8">E28</f>
        <v>53918.136094856709</v>
      </c>
      <c r="AO39" s="38">
        <f>NPV('Cost Assumptions'!$B$3,'Valley S to Valley N to Vista'!C24:AD24)</f>
        <v>125302.33971827797</v>
      </c>
    </row>
    <row r="40" spans="1:41" ht="20" hidden="1" thickBot="1" x14ac:dyDescent="0.5">
      <c r="A40" s="142" t="s">
        <v>41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88"/>
      <c r="R40" s="88"/>
      <c r="S40" s="88"/>
      <c r="T40" s="88"/>
      <c r="U40" s="88"/>
      <c r="V40" s="88"/>
      <c r="AC40" s="88"/>
      <c r="AD40" s="88"/>
      <c r="AG40" s="88"/>
      <c r="AH40" s="88"/>
      <c r="AI40" s="88"/>
      <c r="AJ40" s="16" t="s">
        <v>30</v>
      </c>
      <c r="AK40" s="31" t="s">
        <v>37</v>
      </c>
      <c r="AL40" s="33">
        <f t="shared" si="7"/>
        <v>3</v>
      </c>
      <c r="AM40" s="88" t="str">
        <f t="shared" si="6"/>
        <v>N-1 Available Flex-2-1 3</v>
      </c>
      <c r="AN40" s="17">
        <f t="shared" si="8"/>
        <v>0</v>
      </c>
      <c r="AO40" s="38">
        <f>NPV('Cost Assumptions'!$B$3,'Valley S to Valley N to Vista'!C25:AD25)</f>
        <v>1898439.2455914682</v>
      </c>
    </row>
    <row r="41" spans="1:41" ht="17.5" hidden="1" thickTop="1" x14ac:dyDescent="0.4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88"/>
      <c r="R41" s="88"/>
      <c r="S41" s="88"/>
      <c r="T41" s="88"/>
      <c r="U41" s="88"/>
      <c r="V41" s="88"/>
      <c r="AC41" s="88"/>
      <c r="AD41" s="88"/>
      <c r="AG41" s="88"/>
      <c r="AH41" s="88"/>
      <c r="AI41" s="88"/>
      <c r="AJ41" s="16" t="s">
        <v>30</v>
      </c>
      <c r="AK41" s="31" t="s">
        <v>38</v>
      </c>
      <c r="AL41" s="33">
        <f t="shared" si="7"/>
        <v>3</v>
      </c>
      <c r="AM41" s="88" t="str">
        <f t="shared" si="6"/>
        <v>N-1 Available Flex-2-2 3</v>
      </c>
      <c r="AN41" s="17">
        <f t="shared" si="8"/>
        <v>528219.78220107977</v>
      </c>
      <c r="AO41" s="38">
        <f>NPV('Cost Assumptions'!$B$3,'Valley S to Valley N to Vista'!C26:AD26)</f>
        <v>258566.5175974445</v>
      </c>
    </row>
    <row r="42" spans="1:41" hidden="1" x14ac:dyDescent="0.35">
      <c r="A42" s="135" t="str">
        <f>A22</f>
        <v>Category</v>
      </c>
      <c r="B42" s="136"/>
      <c r="C42" s="122">
        <f>A4</f>
        <v>0</v>
      </c>
      <c r="D42" s="122">
        <f>A5</f>
        <v>13</v>
      </c>
      <c r="E42" s="122">
        <f>A6</f>
        <v>6</v>
      </c>
      <c r="F42" s="122">
        <f>A7</f>
        <v>3</v>
      </c>
      <c r="G42" s="122">
        <f>A8</f>
        <v>8</v>
      </c>
      <c r="H42" s="122">
        <f>A9</f>
        <v>11</v>
      </c>
      <c r="I42" s="122">
        <f>A10</f>
        <v>7</v>
      </c>
      <c r="J42" s="122">
        <f>A11</f>
        <v>10</v>
      </c>
      <c r="K42" s="122">
        <f>A12</f>
        <v>2</v>
      </c>
      <c r="L42" s="122">
        <f>A13</f>
        <v>1</v>
      </c>
      <c r="M42" s="122">
        <f>A14</f>
        <v>12</v>
      </c>
      <c r="N42" s="122">
        <f>A15</f>
        <v>5</v>
      </c>
      <c r="O42" s="122">
        <f>A16</f>
        <v>4</v>
      </c>
      <c r="P42" s="122">
        <f>A17</f>
        <v>9</v>
      </c>
      <c r="Q42" s="88"/>
      <c r="R42" s="88"/>
      <c r="S42" s="88"/>
      <c r="T42" s="88"/>
      <c r="U42" s="88"/>
      <c r="V42" s="88"/>
      <c r="AC42" s="88"/>
      <c r="AD42" s="88"/>
      <c r="AG42" s="88"/>
      <c r="AH42" s="88"/>
      <c r="AI42" s="88"/>
      <c r="AJ42" s="16" t="s">
        <v>39</v>
      </c>
      <c r="AK42" s="31" t="s">
        <v>31</v>
      </c>
      <c r="AL42" s="33">
        <f t="shared" si="7"/>
        <v>3</v>
      </c>
      <c r="AM42" s="88" t="str">
        <f t="shared" si="6"/>
        <v>N-0 EENS 3</v>
      </c>
      <c r="AN42" s="17">
        <f t="shared" si="8"/>
        <v>8396.7463955783933</v>
      </c>
      <c r="AO42" s="38">
        <f>NPV('Cost Assumptions'!$B$3,'Valley S to Valley N to Vista'!C28:AD28)</f>
        <v>228.89607252093933</v>
      </c>
    </row>
    <row r="43" spans="1:41" ht="15.65" hidden="1" customHeight="1" thickBot="1" x14ac:dyDescent="0.4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AC43" s="88"/>
      <c r="AD43" s="88"/>
      <c r="AG43" s="88"/>
      <c r="AH43" s="88"/>
      <c r="AI43" s="88"/>
      <c r="AJ43" s="16" t="s">
        <v>39</v>
      </c>
      <c r="AK43" s="31" t="s">
        <v>32</v>
      </c>
      <c r="AL43" s="33">
        <f t="shared" si="7"/>
        <v>3</v>
      </c>
      <c r="AM43" s="88" t="str">
        <f t="shared" si="6"/>
        <v>N-0 IP 3</v>
      </c>
      <c r="AN43" s="17">
        <f t="shared" si="8"/>
        <v>806.87186447874512</v>
      </c>
      <c r="AO43" s="38">
        <f>NPV('Cost Assumptions'!$B$3,'Valley S to Valley N to Vista'!C29:AD29)</f>
        <v>46.180719014038289</v>
      </c>
    </row>
    <row r="44" spans="1:41" hidden="1" x14ac:dyDescent="0.3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AC44" s="88"/>
      <c r="AD44" s="88"/>
      <c r="AG44" s="88"/>
      <c r="AH44" s="88"/>
      <c r="AI44" s="88"/>
      <c r="AJ44" s="16" t="s">
        <v>39</v>
      </c>
      <c r="AK44" s="31" t="s">
        <v>33</v>
      </c>
      <c r="AL44" s="33">
        <f t="shared" si="7"/>
        <v>3</v>
      </c>
      <c r="AM44" s="88" t="str">
        <f t="shared" si="6"/>
        <v>N-0 SAIDI 3</v>
      </c>
      <c r="AN44" s="17">
        <f t="shared" si="8"/>
        <v>403.63449625798688</v>
      </c>
      <c r="AO44" s="38">
        <f>NPV('Cost Assumptions'!$B$3,'Valley S to Valley N to Vista'!C30:AD30)</f>
        <v>0.59724557281860335</v>
      </c>
    </row>
    <row r="45" spans="1:41" ht="19.5" x14ac:dyDescent="0.45">
      <c r="A45" s="133" t="s">
        <v>27</v>
      </c>
      <c r="B45" s="133"/>
      <c r="C45" s="150" t="s">
        <v>42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2"/>
      <c r="W45" s="120"/>
      <c r="X45" s="120"/>
      <c r="Y45" s="120"/>
      <c r="Z45" s="120"/>
      <c r="AA45" s="120"/>
      <c r="AB45" s="120"/>
      <c r="AC45" s="143" t="s">
        <v>43</v>
      </c>
      <c r="AD45" s="88"/>
      <c r="AG45" s="88"/>
      <c r="AH45" s="88"/>
      <c r="AI45" s="88"/>
      <c r="AJ45" s="16" t="s">
        <v>39</v>
      </c>
      <c r="AK45" s="31" t="s">
        <v>34</v>
      </c>
      <c r="AL45" s="33">
        <f t="shared" si="7"/>
        <v>3</v>
      </c>
      <c r="AM45" s="88" t="str">
        <f t="shared" si="6"/>
        <v>N-0 SAIFI 3</v>
      </c>
      <c r="AN45" s="17">
        <f t="shared" si="8"/>
        <v>9.1856913228202277</v>
      </c>
      <c r="AO45" s="38">
        <f>NPV('Cost Assumptions'!$B$3,'Valley S to Valley N to Vista'!C31:AD31)</f>
        <v>2.8263031485900491E-2</v>
      </c>
    </row>
    <row r="46" spans="1:41" ht="16.5" customHeight="1" x14ac:dyDescent="0.35">
      <c r="A46" s="133"/>
      <c r="B46" s="133"/>
      <c r="C46" s="132" t="str">
        <f>$C$47&amp;" --&gt; "&amp;$D$47</f>
        <v>0 --&gt; 13</v>
      </c>
      <c r="D46" s="132"/>
      <c r="E46" s="132" t="str">
        <f>$E$47&amp;" --&gt; "&amp;$F$47</f>
        <v>13 --&gt; 6</v>
      </c>
      <c r="F46" s="132"/>
      <c r="G46" s="132" t="str">
        <f>$G$47&amp;" --&gt; "&amp;$H$47</f>
        <v>6 --&gt; 3</v>
      </c>
      <c r="H46" s="132"/>
      <c r="I46" s="132" t="str">
        <f>$I$47&amp;" --&gt; "&amp;$J$47</f>
        <v>6 --&gt; 8</v>
      </c>
      <c r="J46" s="132"/>
      <c r="K46" s="132" t="str">
        <f>$K$47&amp;" --&gt; "&amp;$L$47</f>
        <v>8 --&gt; 11</v>
      </c>
      <c r="L46" s="132"/>
      <c r="M46" s="132" t="str">
        <f>$M$47&amp;" --&gt; "&amp;$N$47</f>
        <v>8 --&gt; 7</v>
      </c>
      <c r="N46" s="132"/>
      <c r="O46" s="132" t="str">
        <f>$O$47&amp;" --&gt; "&amp;$P$47</f>
        <v>8 --&gt; 10</v>
      </c>
      <c r="P46" s="132"/>
      <c r="Q46" s="132" t="str">
        <f>$Q$47&amp;" --&gt; "&amp;$R$47</f>
        <v>8 --&gt; 2</v>
      </c>
      <c r="R46" s="132"/>
      <c r="S46" s="132" t="str">
        <f>$S$47&amp;" --&gt; "&amp;$T$47</f>
        <v>8 --&gt; 1</v>
      </c>
      <c r="T46" s="132"/>
      <c r="U46" s="132" t="str">
        <f>$U$47&amp;" --&gt; "&amp;$V$47</f>
        <v>1 --&gt; 12</v>
      </c>
      <c r="V46" s="132"/>
      <c r="W46" s="132" t="str">
        <f>$W$47&amp;" --&gt; "&amp;$X$47</f>
        <v>1 --&gt; 5</v>
      </c>
      <c r="X46" s="132"/>
      <c r="Y46" s="132" t="str">
        <f>$Y$47&amp;" --&gt; "&amp;$Z$47</f>
        <v>1 --&gt; 4</v>
      </c>
      <c r="Z46" s="132"/>
      <c r="AA46" s="132" t="str">
        <f>$AA$47&amp;" --&gt; "&amp;$AB$47</f>
        <v>1 --&gt; 9</v>
      </c>
      <c r="AB46" s="132"/>
      <c r="AC46" s="144"/>
      <c r="AD46" s="88"/>
      <c r="AG46" s="88"/>
      <c r="AH46" s="88"/>
      <c r="AI46" s="88"/>
      <c r="AJ46" s="16" t="s">
        <v>39</v>
      </c>
      <c r="AK46" s="31" t="s">
        <v>35</v>
      </c>
      <c r="AL46" s="116">
        <f t="shared" si="7"/>
        <v>3</v>
      </c>
      <c r="AM46" s="34" t="str">
        <f t="shared" si="2"/>
        <v>N-0 PFD 3</v>
      </c>
      <c r="AN46" s="35">
        <f t="shared" si="8"/>
        <v>138.23598066372696</v>
      </c>
      <c r="AO46" s="38">
        <f>NPV('Cost Assumptions'!$B$3,'Valley S to Valley N to Vista'!C32:AD32)</f>
        <v>8.5565909916826222</v>
      </c>
    </row>
    <row r="47" spans="1:41" ht="15" customHeight="1" x14ac:dyDescent="0.35">
      <c r="A47" s="133"/>
      <c r="B47" s="133"/>
      <c r="C47" s="115">
        <f>$A$4</f>
        <v>0</v>
      </c>
      <c r="D47" s="115">
        <f>$A5</f>
        <v>13</v>
      </c>
      <c r="E47" s="115">
        <f>IF(C61="Y",$D$47,$C$47)</f>
        <v>13</v>
      </c>
      <c r="F47" s="115">
        <f>IF(C61="Y",$A$6,$A$6)</f>
        <v>6</v>
      </c>
      <c r="G47" s="115">
        <f>IF(E61="Y",$F$47,$E$47)</f>
        <v>6</v>
      </c>
      <c r="H47" s="115">
        <f>IF(E61="Y",$A$7,$A$7)</f>
        <v>3</v>
      </c>
      <c r="I47" s="115">
        <f>IF(G61="Y",$H$47,$G$47)</f>
        <v>6</v>
      </c>
      <c r="J47" s="115">
        <f>IF(G61="Y",$A$8,$A$8)</f>
        <v>8</v>
      </c>
      <c r="K47" s="115">
        <f>IF(I61="Y",$J$47,$I$47)</f>
        <v>8</v>
      </c>
      <c r="L47" s="115">
        <f>IF(I61="Y",$A$9,$A$9)</f>
        <v>11</v>
      </c>
      <c r="M47" s="115">
        <f>IF(K61="Y",$L$47,$K$47)</f>
        <v>8</v>
      </c>
      <c r="N47" s="115">
        <f>IF(K61="Y",$A$10,$A$10)</f>
        <v>7</v>
      </c>
      <c r="O47" s="115">
        <f>IF(M61="Y",$N$47,$M$47)</f>
        <v>8</v>
      </c>
      <c r="P47" s="115">
        <f>IF(M61="Y",$A$11,$A$11)</f>
        <v>10</v>
      </c>
      <c r="Q47" s="115">
        <f>IF(O61="Y",$P$47,$O$47)</f>
        <v>8</v>
      </c>
      <c r="R47" s="115">
        <f>IF(O61="Y",$A$12,$A$12)</f>
        <v>2</v>
      </c>
      <c r="S47" s="115">
        <f>IF(Q61="Y",$R$47,$Q$47)</f>
        <v>8</v>
      </c>
      <c r="T47" s="115">
        <f>IF(Q61="Y",$A$13,$A$13)</f>
        <v>1</v>
      </c>
      <c r="U47" s="115">
        <f>IF(S61="Y",$T$47,$S$47)</f>
        <v>1</v>
      </c>
      <c r="V47" s="115">
        <f>IF(S61="Y",$A$14,$A$14)</f>
        <v>12</v>
      </c>
      <c r="W47" s="115">
        <f>IF(U61="Y",$V$47,$U$47)</f>
        <v>1</v>
      </c>
      <c r="X47" s="115">
        <f>IF(U61="Y",$A$15,$A$15)</f>
        <v>5</v>
      </c>
      <c r="Y47" s="115">
        <f>IF(W61="Y",$X$47,$W$47)</f>
        <v>1</v>
      </c>
      <c r="Z47" s="115">
        <f>IF(W61="Y",$A$16,$A$16)</f>
        <v>4</v>
      </c>
      <c r="AA47" s="115">
        <f>IF(Y61="Y",$Z$47,$Y$47)</f>
        <v>1</v>
      </c>
      <c r="AB47" s="115">
        <f>IF(Y61="Y",$A$17,$A$17)</f>
        <v>9</v>
      </c>
      <c r="AC47" s="145"/>
      <c r="AD47" s="88"/>
      <c r="AG47" s="88"/>
      <c r="AH47" s="88"/>
      <c r="AI47" s="88"/>
      <c r="AJ47" s="16" t="s">
        <v>30</v>
      </c>
      <c r="AK47" s="31" t="s">
        <v>31</v>
      </c>
      <c r="AL47" s="36">
        <f t="shared" ref="AL47:AL59" si="9">$F$22</f>
        <v>4</v>
      </c>
      <c r="AM47" s="37" t="str">
        <f t="shared" si="2"/>
        <v>N-1 EENS 4</v>
      </c>
      <c r="AN47" s="38">
        <f t="shared" ref="AN47:AN59" si="10">F23</f>
        <v>3054.0879453272519</v>
      </c>
      <c r="AO47" s="38">
        <f>NPV('Cost Assumptions'!$B$3,'Centralized BESS in Valley S'!C19:AD19)</f>
        <v>0</v>
      </c>
    </row>
    <row r="48" spans="1:41" x14ac:dyDescent="0.35">
      <c r="A48" s="97" t="str">
        <f>AJ73</f>
        <v>N-1</v>
      </c>
      <c r="B48" s="31" t="str">
        <f>AK73</f>
        <v>EENS</v>
      </c>
      <c r="C48" s="130">
        <f t="shared" ref="C48:C60" si="11">(VLOOKUP(CONCATENATE($A48," ",$B48," ",$D$47),AM:AO,3,FALSE)-VLOOKUP(CONCATENATE($A48," ",$B48," ",$C$47),AM:AO,3,FALSE))/(VLOOKUP($D$47,$A$3:$D$17,3,FALSE)-(VLOOKUP($C$47,$A$3:$D$17,3,FALSE)))</f>
        <v>-2.1595898135093563</v>
      </c>
      <c r="D48" s="130"/>
      <c r="E48" s="130">
        <f t="shared" ref="E48:E60" si="12">(VLOOKUP(CONCATENATE($A48," ",$B48," ",$F$47),$AM:$AO,3,FALSE)-VLOOKUP(CONCATENATE($A48," ",$B48," ",$E$47),$AM:$AO,3,FALSE))/(VLOOKUP($F$47,$A$3:$D$17,3,FALSE)-(VLOOKUP($E$47,$A$3:$D$17,3,FALSE)))</f>
        <v>-12.679091131735532</v>
      </c>
      <c r="F48" s="130"/>
      <c r="G48" s="130">
        <f t="shared" ref="G48:G60" si="13">(VLOOKUP(CONCATENATE($A48," ",$B48," ",$H$47),$AM:$AO,3,FALSE)-VLOOKUP(CONCATENATE($A48," ",$B48," ",$G$47),$AM:$AO,3,FALSE))/(VLOOKUP($H$47,$A$3:$D$17,3,FALSE)-(VLOOKUP($G$47,$A$3:$D$17,3,FALSE)))</f>
        <v>2.9400791030111377</v>
      </c>
      <c r="H48" s="130"/>
      <c r="I48" s="130">
        <f t="shared" ref="I48:I60" si="14">(VLOOKUP(CONCATENATE($A48," ",$B48," ",$J$47),$AM:$AO,3,FALSE)-VLOOKUP(CONCATENATE($A48," ",$B48," ",$I$47),$AM:$AO,3,FALSE))/(VLOOKUP($J$47,$A$3:$D$17,3,FALSE)-(VLOOKUP($I$47,$A$3:$D$17,3,FALSE)))</f>
        <v>-6.18271019689921</v>
      </c>
      <c r="J48" s="130"/>
      <c r="K48" s="130">
        <f t="shared" ref="K48:K60" si="15">(VLOOKUP(CONCATENATE($A48," ",$B48," ",$L$47),$AM:$AO,3,FALSE)-VLOOKUP(CONCATENATE($A48," ",$B48," ",$K$47),$AM:$AO,3,FALSE))/(VLOOKUP($L$47,$A$3:$D$17,3,FALSE)-(VLOOKUP($K$47,$A$3:$D$17,3,FALSE)))</f>
        <v>479.48921285684332</v>
      </c>
      <c r="L48" s="130"/>
      <c r="M48" s="130">
        <f t="shared" ref="M48:M60" si="16">(VLOOKUP(CONCATENATE($A48," ",$B48," ",$N$47),$AM:$AO,3,FALSE)-VLOOKUP(CONCATENATE($A48," ",$B48," ",$M$47),$AM:$AO,3,FALSE))/(VLOOKUP($N$47,$A$3:$D$17,3,FALSE)-(VLOOKUP($M$47,$A$3:$D$17,3,FALSE)))</f>
        <v>29.74207985623968</v>
      </c>
      <c r="N48" s="130"/>
      <c r="O48" s="130">
        <f t="shared" ref="O48:O60" si="17">(VLOOKUP(CONCATENATE($A48," ",$B48," ",$P$47),$AM:$AO,3,FALSE)-VLOOKUP(CONCATENATE($A48," ",$B48," ",$O$47),$AM:$AO,3,FALSE))/(VLOOKUP($P$47,$A$3:$D$17,3,FALSE)-(VLOOKUP($O$47,$A$3:$D$17,3,FALSE)))</f>
        <v>7.0513119537771081</v>
      </c>
      <c r="P48" s="130"/>
      <c r="Q48" s="130">
        <f t="shared" ref="Q48:Q60" si="18">(VLOOKUP(CONCATENATE($A48," ",$B48," ",$R$47),$AM:$AO,3,FALSE)-VLOOKUP(CONCATENATE($A48," ",$B48," ",$Q$47),$AM:$AO,3,FALSE))/(VLOOKUP($R$47,$A$3:$D$17,3,FALSE)-(VLOOKUP($Q$47,$A$3:$D$17,3,FALSE)))</f>
        <v>-10.622553989923032</v>
      </c>
      <c r="R48" s="130"/>
      <c r="S48" s="130">
        <f t="shared" ref="S48:S60" si="19">(VLOOKUP(CONCATENATE($A48," ",$B48," ",$T$47),$AM:$AO,3,FALSE)-VLOOKUP(CONCATENATE($A48," ",$B48," ",$S$47),$AM:$AO,3,FALSE))/(VLOOKUP($T$47,$A$3:$D$17,3,FALSE)-(VLOOKUP($S$47,$A$3:$D$17,3,FALSE)))</f>
        <v>-7.0199666673692995</v>
      </c>
      <c r="T48" s="130"/>
      <c r="U48" s="130">
        <f t="shared" ref="U48:U60" si="20">(VLOOKUP(CONCATENATE($A48," ",$B48," ",$V$47),$AM:$AO,3,FALSE)-VLOOKUP(CONCATENATE($A48," ",$B48," ",$U$47),$AM:$AO,3,FALSE))/(VLOOKUP($V$47,$A$3:$D$17,3,FALSE)-(VLOOKUP($U$47,$A$3:$D$17,3,FALSE)))</f>
        <v>-7.9532617155036744</v>
      </c>
      <c r="V48" s="130"/>
      <c r="W48" s="130">
        <f t="shared" ref="W48:W60" si="21">(VLOOKUP(CONCATENATE($A48," ",$B48," ",$X$47),$AM:$AO,3,FALSE)-VLOOKUP(CONCATENATE($A48," ",$B48," ",$W$47),$AM:$AO,3,FALSE))/(VLOOKUP($X$47,$A$3:$D$17,3,FALSE)-(VLOOKUP($W$47,$A$3:$D$17,3,FALSE)))</f>
        <v>16.33181744398955</v>
      </c>
      <c r="X48" s="130"/>
      <c r="Y48" s="130">
        <f t="shared" ref="Y48:Y60" si="22">(VLOOKUP(CONCATENATE($A48," ",$B48," ",$Z$47),$AM:$AO,3,FALSE)-VLOOKUP(CONCATENATE($A48," ",$B48," ",$Y$47),$AM:$AO,3,FALSE))/(VLOOKUP($Z$47,$A$3:$D$17,3,FALSE)-(VLOOKUP($Y$47,$A$3:$D$17,3,FALSE)))</f>
        <v>-3.711522133901715</v>
      </c>
      <c r="Z48" s="130"/>
      <c r="AA48" s="130">
        <f t="shared" ref="AA48:AA60" si="23">(VLOOKUP(CONCATENATE($A48," ",$B48," ",$AB$47),$AM:$AO,3,FALSE)-VLOOKUP(CONCATENATE($A48," ",$B48," ",$AA$47),$AM:$AO,3,FALSE))/(VLOOKUP($AB$47,$A$3:$D$17,3,FALSE)-(VLOOKUP($AA$47,$A$3:$D$17,3,FALSE)))</f>
        <v>1.6896603453518821</v>
      </c>
      <c r="AB48" s="130"/>
      <c r="AC48" s="125" t="s">
        <v>44</v>
      </c>
      <c r="AD48" s="88"/>
      <c r="AG48" s="88"/>
      <c r="AH48" s="88"/>
      <c r="AI48" s="88"/>
      <c r="AJ48" s="16" t="s">
        <v>30</v>
      </c>
      <c r="AK48" s="31" t="s">
        <v>32</v>
      </c>
      <c r="AL48" s="33">
        <f t="shared" si="9"/>
        <v>4</v>
      </c>
      <c r="AM48" s="88" t="str">
        <f t="shared" si="2"/>
        <v>N-1 IP 4</v>
      </c>
      <c r="AN48" s="17">
        <f t="shared" si="10"/>
        <v>153.69224473977658</v>
      </c>
      <c r="AO48" s="38">
        <f>NPV('Cost Assumptions'!$B$3,'Centralized BESS in Valley S'!C20:AD20)</f>
        <v>0</v>
      </c>
    </row>
    <row r="49" spans="1:41" x14ac:dyDescent="0.35">
      <c r="A49" s="97" t="str">
        <f t="shared" ref="A49:A55" si="24">AJ74</f>
        <v>N-1</v>
      </c>
      <c r="B49" s="31" t="str">
        <f t="shared" ref="B49:B55" si="25">AK74</f>
        <v>IP</v>
      </c>
      <c r="C49" s="130">
        <f t="shared" si="11"/>
        <v>0.18958850709638322</v>
      </c>
      <c r="D49" s="130"/>
      <c r="E49" s="130">
        <f t="shared" si="12"/>
        <v>-8.3010023466627558E-2</v>
      </c>
      <c r="F49" s="130"/>
      <c r="G49" s="130">
        <f t="shared" si="13"/>
        <v>1.9248701093710737E-2</v>
      </c>
      <c r="H49" s="130"/>
      <c r="I49" s="130">
        <f t="shared" si="14"/>
        <v>-0.71745882668892558</v>
      </c>
      <c r="J49" s="130"/>
      <c r="K49" s="130">
        <f t="shared" si="15"/>
        <v>60.631097160572182</v>
      </c>
      <c r="L49" s="130"/>
      <c r="M49" s="130">
        <f t="shared" si="16"/>
        <v>2.709652369492817</v>
      </c>
      <c r="N49" s="130"/>
      <c r="O49" s="130">
        <f t="shared" si="17"/>
        <v>0.89163378177312036</v>
      </c>
      <c r="P49" s="130"/>
      <c r="Q49" s="130">
        <f t="shared" si="18"/>
        <v>-0.69041409274763721</v>
      </c>
      <c r="R49" s="130"/>
      <c r="S49" s="130">
        <f t="shared" si="19"/>
        <v>-0.40317359686315618</v>
      </c>
      <c r="T49" s="130"/>
      <c r="U49" s="130">
        <f t="shared" si="20"/>
        <v>-1.4839182429801598</v>
      </c>
      <c r="V49" s="130"/>
      <c r="W49" s="130">
        <f t="shared" si="21"/>
        <v>2.1432394443752165</v>
      </c>
      <c r="X49" s="130"/>
      <c r="Y49" s="130">
        <f t="shared" si="22"/>
        <v>-0.69249518005740796</v>
      </c>
      <c r="Z49" s="130"/>
      <c r="AA49" s="130">
        <f t="shared" si="23"/>
        <v>0.10673165976471294</v>
      </c>
      <c r="AB49" s="130"/>
      <c r="AC49" s="125" t="s">
        <v>44</v>
      </c>
      <c r="AD49" s="88"/>
      <c r="AG49" s="88"/>
      <c r="AH49" s="88"/>
      <c r="AI49" s="88"/>
      <c r="AJ49" s="16" t="s">
        <v>30</v>
      </c>
      <c r="AK49" s="31" t="s">
        <v>33</v>
      </c>
      <c r="AL49" s="33">
        <f t="shared" si="9"/>
        <v>4</v>
      </c>
      <c r="AM49" s="88" t="str">
        <f t="shared" si="2"/>
        <v>N-1 SAIDI 4</v>
      </c>
      <c r="AN49" s="17">
        <f t="shared" si="10"/>
        <v>159.37844490973765</v>
      </c>
      <c r="AO49" s="38">
        <f>NPV('Cost Assumptions'!$B$3,'Centralized BESS in Valley S'!C21:AD21)</f>
        <v>0</v>
      </c>
    </row>
    <row r="50" spans="1:41" x14ac:dyDescent="0.35">
      <c r="A50" s="97" t="str">
        <f t="shared" si="24"/>
        <v>N-1</v>
      </c>
      <c r="B50" s="31" t="str">
        <f t="shared" si="25"/>
        <v>SAIDI</v>
      </c>
      <c r="C50" s="130">
        <f t="shared" si="11"/>
        <v>-7.7322249865310957E-2</v>
      </c>
      <c r="D50" s="130"/>
      <c r="E50" s="130">
        <f t="shared" si="12"/>
        <v>-1.8226000947950327</v>
      </c>
      <c r="F50" s="130"/>
      <c r="G50" s="130">
        <f t="shared" si="13"/>
        <v>0.42263190603942785</v>
      </c>
      <c r="H50" s="130"/>
      <c r="I50" s="130">
        <f t="shared" si="14"/>
        <v>-0.5136342095580011</v>
      </c>
      <c r="J50" s="130"/>
      <c r="K50" s="130">
        <f t="shared" si="15"/>
        <v>36.570312310661564</v>
      </c>
      <c r="L50" s="130"/>
      <c r="M50" s="130">
        <f t="shared" si="16"/>
        <v>3.0282343707642014</v>
      </c>
      <c r="N50" s="130"/>
      <c r="O50" s="130">
        <f t="shared" si="17"/>
        <v>0.53779871045090533</v>
      </c>
      <c r="P50" s="130"/>
      <c r="Q50" s="130">
        <f t="shared" si="18"/>
        <v>-0.39217196937023746</v>
      </c>
      <c r="R50" s="130"/>
      <c r="S50" s="130">
        <f t="shared" si="19"/>
        <v>-0.26148555927995881</v>
      </c>
      <c r="T50" s="130"/>
      <c r="U50" s="130">
        <f t="shared" si="20"/>
        <v>-0.25142606434878673</v>
      </c>
      <c r="V50" s="130"/>
      <c r="W50" s="130">
        <f t="shared" si="21"/>
        <v>0.52817351655317246</v>
      </c>
      <c r="X50" s="130"/>
      <c r="Y50" s="130">
        <f t="shared" si="22"/>
        <v>-0.11733216336276713</v>
      </c>
      <c r="Z50" s="130"/>
      <c r="AA50" s="130">
        <f t="shared" si="23"/>
        <v>2.4893336071102581E-2</v>
      </c>
      <c r="AB50" s="130"/>
      <c r="AC50" s="125" t="s">
        <v>44</v>
      </c>
      <c r="AD50" s="88"/>
      <c r="AG50" s="88"/>
      <c r="AH50" s="88"/>
      <c r="AI50" s="88"/>
      <c r="AJ50" s="16" t="s">
        <v>30</v>
      </c>
      <c r="AK50" s="31" t="s">
        <v>34</v>
      </c>
      <c r="AL50" s="33">
        <f t="shared" si="9"/>
        <v>4</v>
      </c>
      <c r="AM50" s="88" t="str">
        <f t="shared" si="2"/>
        <v>N-1 SAIFI 4</v>
      </c>
      <c r="AN50" s="17">
        <f t="shared" si="10"/>
        <v>2.6252697089132693</v>
      </c>
      <c r="AO50" s="38">
        <f>NPV('Cost Assumptions'!$B$3,'Centralized BESS in Valley S'!C22:AD22)</f>
        <v>0</v>
      </c>
    </row>
    <row r="51" spans="1:41" x14ac:dyDescent="0.35">
      <c r="A51" s="97" t="str">
        <f t="shared" si="24"/>
        <v>N-1</v>
      </c>
      <c r="B51" s="31" t="str">
        <f t="shared" si="25"/>
        <v>SAIFI</v>
      </c>
      <c r="C51" s="130">
        <f t="shared" si="11"/>
        <v>-9.4643359204291079E-4</v>
      </c>
      <c r="D51" s="130"/>
      <c r="E51" s="130">
        <f t="shared" si="12"/>
        <v>-1.1271023737073171E-2</v>
      </c>
      <c r="F51" s="130"/>
      <c r="G51" s="130">
        <f t="shared" si="13"/>
        <v>2.6135707216401556E-3</v>
      </c>
      <c r="H51" s="130"/>
      <c r="I51" s="130">
        <f t="shared" si="14"/>
        <v>-4.3427644670693015E-3</v>
      </c>
      <c r="J51" s="130"/>
      <c r="K51" s="130">
        <f t="shared" si="15"/>
        <v>0.32010237088027416</v>
      </c>
      <c r="L51" s="130"/>
      <c r="M51" s="130">
        <f t="shared" si="16"/>
        <v>3.63328254813731E-2</v>
      </c>
      <c r="N51" s="130"/>
      <c r="O51" s="130">
        <f t="shared" si="17"/>
        <v>4.7073878070628553E-3</v>
      </c>
      <c r="P51" s="130"/>
      <c r="Q51" s="130">
        <f t="shared" si="18"/>
        <v>-1.0521436184485991E-2</v>
      </c>
      <c r="R51" s="130"/>
      <c r="S51" s="130">
        <f t="shared" si="19"/>
        <v>-6.2796558530711349E-3</v>
      </c>
      <c r="T51" s="130"/>
      <c r="U51" s="130">
        <f t="shared" si="20"/>
        <v>-2.0144631034989487E-2</v>
      </c>
      <c r="V51" s="130"/>
      <c r="W51" s="130">
        <f t="shared" si="21"/>
        <v>1.0426315436701028E-2</v>
      </c>
      <c r="X51" s="130"/>
      <c r="Y51" s="130">
        <f t="shared" si="22"/>
        <v>-9.4008278163284272E-3</v>
      </c>
      <c r="Z51" s="130"/>
      <c r="AA51" s="130">
        <f t="shared" si="23"/>
        <v>1.3881297467662923E-3</v>
      </c>
      <c r="AB51" s="130"/>
      <c r="AC51" s="125" t="s">
        <v>44</v>
      </c>
      <c r="AD51" s="88"/>
      <c r="AG51" s="88"/>
      <c r="AH51" s="88"/>
      <c r="AI51" s="88"/>
      <c r="AJ51" s="16" t="s">
        <v>30</v>
      </c>
      <c r="AK51" s="31" t="s">
        <v>35</v>
      </c>
      <c r="AL51" s="33">
        <f t="shared" si="9"/>
        <v>4</v>
      </c>
      <c r="AM51" s="88" t="str">
        <f t="shared" si="2"/>
        <v>N-1 PFD 4</v>
      </c>
      <c r="AN51" s="17">
        <f t="shared" si="10"/>
        <v>431.19522979784904</v>
      </c>
      <c r="AO51" s="38">
        <f>NPV('Cost Assumptions'!$B$3,'Centralized BESS in Valley S'!C23:AD23)</f>
        <v>0</v>
      </c>
    </row>
    <row r="52" spans="1:41" x14ac:dyDescent="0.35">
      <c r="A52" s="97" t="str">
        <f t="shared" si="24"/>
        <v>N-1</v>
      </c>
      <c r="B52" s="31" t="str">
        <f t="shared" si="25"/>
        <v>PFD</v>
      </c>
      <c r="C52" s="130">
        <f t="shared" si="11"/>
        <v>-1.4430060216755169</v>
      </c>
      <c r="D52" s="130"/>
      <c r="E52" s="130">
        <f t="shared" si="12"/>
        <v>0.12725715136904547</v>
      </c>
      <c r="F52" s="130"/>
      <c r="G52" s="130">
        <f t="shared" si="13"/>
        <v>-2.9508904665285905E-2</v>
      </c>
      <c r="H52" s="130"/>
      <c r="I52" s="130">
        <f t="shared" si="14"/>
        <v>-0.68510119769627353</v>
      </c>
      <c r="J52" s="130"/>
      <c r="K52" s="130">
        <f t="shared" si="15"/>
        <v>55.017097808365079</v>
      </c>
      <c r="L52" s="130"/>
      <c r="M52" s="130">
        <f t="shared" si="16"/>
        <v>2.3338198886271933</v>
      </c>
      <c r="N52" s="130"/>
      <c r="O52" s="130">
        <f t="shared" si="17"/>
        <v>0.8090749677700747</v>
      </c>
      <c r="P52" s="130"/>
      <c r="Q52" s="130">
        <f t="shared" si="18"/>
        <v>-0.58827499226153501</v>
      </c>
      <c r="R52" s="130"/>
      <c r="S52" s="130">
        <f t="shared" si="19"/>
        <v>-0.37142542150375457</v>
      </c>
      <c r="T52" s="130"/>
      <c r="U52" s="130">
        <f t="shared" si="20"/>
        <v>-0.75626722366838217</v>
      </c>
      <c r="V52" s="130"/>
      <c r="W52" s="130">
        <f t="shared" si="21"/>
        <v>3.3559608238023175</v>
      </c>
      <c r="X52" s="130"/>
      <c r="Y52" s="130">
        <f t="shared" si="22"/>
        <v>-0.35292470437857837</v>
      </c>
      <c r="Z52" s="130"/>
      <c r="AA52" s="130">
        <f t="shared" si="23"/>
        <v>8.6661725647864229E-2</v>
      </c>
      <c r="AB52" s="130"/>
      <c r="AC52" s="125" t="s">
        <v>44</v>
      </c>
      <c r="AD52" s="88"/>
      <c r="AG52" s="88"/>
      <c r="AH52" s="88"/>
      <c r="AI52" s="88"/>
      <c r="AJ52" s="16" t="s">
        <v>30</v>
      </c>
      <c r="AK52" s="31" t="s">
        <v>36</v>
      </c>
      <c r="AL52" s="33">
        <f t="shared" si="9"/>
        <v>4</v>
      </c>
      <c r="AM52" s="88" t="str">
        <f t="shared" si="2"/>
        <v>N-1 Available Flex-1 4</v>
      </c>
      <c r="AN52" s="17">
        <f t="shared" si="10"/>
        <v>117755.8291896493</v>
      </c>
      <c r="AO52" s="38">
        <f>NPV('Cost Assumptions'!$B$3,'Centralized BESS in Valley S'!C24:AD24)</f>
        <v>61464.646623485387</v>
      </c>
    </row>
    <row r="53" spans="1:41" x14ac:dyDescent="0.35">
      <c r="A53" s="97" t="str">
        <f t="shared" si="24"/>
        <v>N-1</v>
      </c>
      <c r="B53" s="31" t="str">
        <f t="shared" si="25"/>
        <v>Available Flex-1</v>
      </c>
      <c r="C53" s="130">
        <f t="shared" si="11"/>
        <v>-291.44938429652279</v>
      </c>
      <c r="D53" s="130"/>
      <c r="E53" s="130">
        <f t="shared" si="12"/>
        <v>-100.21678317876012</v>
      </c>
      <c r="F53" s="130"/>
      <c r="G53" s="130">
        <f t="shared" si="13"/>
        <v>23.238674360292201</v>
      </c>
      <c r="H53" s="130"/>
      <c r="I53" s="130">
        <f t="shared" si="14"/>
        <v>-583.93213302164554</v>
      </c>
      <c r="J53" s="130"/>
      <c r="K53" s="130">
        <f t="shared" si="15"/>
        <v>49537.996735356064</v>
      </c>
      <c r="L53" s="130"/>
      <c r="M53" s="130">
        <f t="shared" si="16"/>
        <v>2135.0953814423333</v>
      </c>
      <c r="N53" s="130"/>
      <c r="O53" s="130">
        <f t="shared" si="17"/>
        <v>728.49995199053035</v>
      </c>
      <c r="P53" s="130"/>
      <c r="Q53" s="130">
        <f t="shared" si="18"/>
        <v>165.76604134668975</v>
      </c>
      <c r="R53" s="130"/>
      <c r="S53" s="130">
        <f t="shared" si="19"/>
        <v>-281.28984842545628</v>
      </c>
      <c r="T53" s="130"/>
      <c r="U53" s="130">
        <f t="shared" si="20"/>
        <v>3623.9848854337547</v>
      </c>
      <c r="V53" s="130"/>
      <c r="W53" s="130">
        <f t="shared" si="21"/>
        <v>2618.2122199755063</v>
      </c>
      <c r="X53" s="130"/>
      <c r="Y53" s="130">
        <f t="shared" si="22"/>
        <v>2048.8215541161794</v>
      </c>
      <c r="Z53" s="130"/>
      <c r="AA53" s="130">
        <f t="shared" si="23"/>
        <v>105.20853473444694</v>
      </c>
      <c r="AB53" s="130"/>
      <c r="AC53" s="125" t="s">
        <v>44</v>
      </c>
      <c r="AD53" s="88"/>
      <c r="AG53" s="88"/>
      <c r="AH53" s="88"/>
      <c r="AI53" s="88"/>
      <c r="AJ53" s="16" t="s">
        <v>30</v>
      </c>
      <c r="AK53" s="31" t="s">
        <v>37</v>
      </c>
      <c r="AL53" s="33">
        <f t="shared" si="9"/>
        <v>4</v>
      </c>
      <c r="AM53" s="88" t="str">
        <f t="shared" si="2"/>
        <v>N-1 Available Flex-2-1 4</v>
      </c>
      <c r="AN53" s="17">
        <f t="shared" si="10"/>
        <v>0</v>
      </c>
      <c r="AO53" s="38">
        <f>NPV('Cost Assumptions'!$B$3,'Centralized BESS in Valley S'!C25:AD25)</f>
        <v>1898439.2455914682</v>
      </c>
    </row>
    <row r="54" spans="1:41" x14ac:dyDescent="0.35">
      <c r="A54" s="122" t="str">
        <f t="shared" si="24"/>
        <v>N-1</v>
      </c>
      <c r="B54" s="31" t="str">
        <f t="shared" si="25"/>
        <v>Available Flex-2-1</v>
      </c>
      <c r="C54" s="130">
        <f t="shared" si="11"/>
        <v>0</v>
      </c>
      <c r="D54" s="130"/>
      <c r="E54" s="130">
        <f t="shared" si="12"/>
        <v>0</v>
      </c>
      <c r="F54" s="130"/>
      <c r="G54" s="130">
        <f t="shared" si="13"/>
        <v>0</v>
      </c>
      <c r="H54" s="130"/>
      <c r="I54" s="130">
        <f t="shared" si="14"/>
        <v>-5649.0295674440695</v>
      </c>
      <c r="J54" s="130"/>
      <c r="K54" s="130">
        <f t="shared" si="15"/>
        <v>502763.63150252216</v>
      </c>
      <c r="L54" s="130"/>
      <c r="M54" s="130">
        <f t="shared" si="16"/>
        <v>-25453.473228780822</v>
      </c>
      <c r="N54" s="130"/>
      <c r="O54" s="130">
        <f t="shared" si="17"/>
        <v>7393.5828162135613</v>
      </c>
      <c r="P54" s="130"/>
      <c r="Q54" s="130">
        <f t="shared" si="18"/>
        <v>-4340.6139186991677</v>
      </c>
      <c r="R54" s="130"/>
      <c r="S54" s="130">
        <f t="shared" si="19"/>
        <v>-5075.6094977597395</v>
      </c>
      <c r="T54" s="130"/>
      <c r="U54" s="130">
        <f t="shared" si="20"/>
        <v>36950.752177255905</v>
      </c>
      <c r="V54" s="130"/>
      <c r="W54" s="130">
        <f t="shared" si="21"/>
        <v>49780.016228028217</v>
      </c>
      <c r="X54" s="130"/>
      <c r="Y54" s="130">
        <f t="shared" si="22"/>
        <v>59901.468447708525</v>
      </c>
      <c r="Z54" s="130"/>
      <c r="AA54" s="130">
        <f t="shared" si="23"/>
        <v>1887.2713764399798</v>
      </c>
      <c r="AB54" s="130"/>
      <c r="AC54" s="125" t="s">
        <v>44</v>
      </c>
      <c r="AD54" s="88"/>
      <c r="AG54" s="88"/>
      <c r="AH54" s="88"/>
      <c r="AI54" s="88"/>
      <c r="AJ54" s="16" t="s">
        <v>30</v>
      </c>
      <c r="AK54" s="31" t="s">
        <v>38</v>
      </c>
      <c r="AL54" s="33">
        <f t="shared" si="9"/>
        <v>4</v>
      </c>
      <c r="AM54" s="88" t="str">
        <f t="shared" si="2"/>
        <v>N-1 Available Flex-2-2 4</v>
      </c>
      <c r="AN54" s="17">
        <f t="shared" si="10"/>
        <v>8307.2206479279794</v>
      </c>
      <c r="AO54" s="38">
        <f>NPV('Cost Assumptions'!$B$3,'Centralized BESS in Valley S'!C26:AD26)</f>
        <v>778479.07915059652</v>
      </c>
    </row>
    <row r="55" spans="1:41" x14ac:dyDescent="0.35">
      <c r="A55" s="122" t="str">
        <f t="shared" si="24"/>
        <v>N-1</v>
      </c>
      <c r="B55" s="31" t="str">
        <f t="shared" si="25"/>
        <v>Available Flex-2-2</v>
      </c>
      <c r="C55" s="130">
        <f t="shared" si="11"/>
        <v>-2855.2420659517825</v>
      </c>
      <c r="D55" s="130"/>
      <c r="E55" s="130">
        <f t="shared" si="12"/>
        <v>0</v>
      </c>
      <c r="F55" s="130"/>
      <c r="G55" s="130">
        <f t="shared" si="13"/>
        <v>0</v>
      </c>
      <c r="H55" s="130"/>
      <c r="I55" s="130">
        <f t="shared" si="14"/>
        <v>353.27994003161047</v>
      </c>
      <c r="J55" s="130"/>
      <c r="K55" s="130">
        <f t="shared" si="15"/>
        <v>-31464.390347085486</v>
      </c>
      <c r="L55" s="130"/>
      <c r="M55" s="130">
        <f t="shared" si="16"/>
        <v>-1257.6765865125333</v>
      </c>
      <c r="N55" s="130"/>
      <c r="O55" s="130">
        <f t="shared" si="17"/>
        <v>-462.71162275125715</v>
      </c>
      <c r="P55" s="130"/>
      <c r="Q55" s="130">
        <f t="shared" si="18"/>
        <v>-475.34122165685159</v>
      </c>
      <c r="R55" s="130"/>
      <c r="S55" s="130">
        <f t="shared" si="19"/>
        <v>-1137.0683507970725</v>
      </c>
      <c r="T55" s="130"/>
      <c r="U55" s="130">
        <f t="shared" si="20"/>
        <v>14633.310769762651</v>
      </c>
      <c r="V55" s="130"/>
      <c r="W55" s="130">
        <f t="shared" si="21"/>
        <v>11149.572067289586</v>
      </c>
      <c r="X55" s="130"/>
      <c r="Y55" s="130">
        <f t="shared" si="22"/>
        <v>25947.435878119741</v>
      </c>
      <c r="Z55" s="130"/>
      <c r="AA55" s="130">
        <f t="shared" si="23"/>
        <v>651.6969059049386</v>
      </c>
      <c r="AB55" s="130"/>
      <c r="AC55" s="125" t="s">
        <v>44</v>
      </c>
      <c r="AD55" s="88"/>
      <c r="AG55" s="88"/>
      <c r="AH55" s="88"/>
      <c r="AI55" s="88"/>
      <c r="AJ55" s="16" t="s">
        <v>39</v>
      </c>
      <c r="AK55" s="31" t="s">
        <v>31</v>
      </c>
      <c r="AL55" s="33">
        <f t="shared" si="9"/>
        <v>4</v>
      </c>
      <c r="AM55" s="88" t="str">
        <f t="shared" si="2"/>
        <v>N-0 EENS 4</v>
      </c>
      <c r="AN55" s="17">
        <f t="shared" si="10"/>
        <v>8657.5452529435206</v>
      </c>
      <c r="AO55" s="38">
        <f>NPV('Cost Assumptions'!$B$3,'Centralized BESS in Valley S'!C27:AD27)</f>
        <v>0</v>
      </c>
    </row>
    <row r="56" spans="1:41" x14ac:dyDescent="0.35">
      <c r="A56" s="122" t="str">
        <f t="shared" ref="A56:A60" si="26">AJ81</f>
        <v>N-0</v>
      </c>
      <c r="B56" s="31" t="str">
        <f>AK81</f>
        <v>EENS</v>
      </c>
      <c r="C56" s="130">
        <f t="shared" si="11"/>
        <v>-40.783476325534608</v>
      </c>
      <c r="D56" s="130"/>
      <c r="E56" s="130">
        <f t="shared" si="12"/>
        <v>0</v>
      </c>
      <c r="F56" s="130"/>
      <c r="G56" s="130">
        <f t="shared" si="13"/>
        <v>-12.807334205777947</v>
      </c>
      <c r="H56" s="130"/>
      <c r="I56" s="130">
        <f t="shared" si="14"/>
        <v>3.3239614518613481</v>
      </c>
      <c r="J56" s="130"/>
      <c r="K56" s="130">
        <f t="shared" si="15"/>
        <v>-1103.7740294099074</v>
      </c>
      <c r="L56" s="130"/>
      <c r="M56" s="130">
        <f t="shared" si="16"/>
        <v>-55.099995089814065</v>
      </c>
      <c r="N56" s="130"/>
      <c r="O56" s="130">
        <f t="shared" si="17"/>
        <v>-20.712275028459967</v>
      </c>
      <c r="P56" s="130"/>
      <c r="Q56" s="130">
        <f t="shared" si="18"/>
        <v>-7.3061229149174345</v>
      </c>
      <c r="R56" s="130"/>
      <c r="S56" s="130">
        <f t="shared" si="19"/>
        <v>-5.5213559293254608</v>
      </c>
      <c r="T56" s="130"/>
      <c r="U56" s="130">
        <f t="shared" si="20"/>
        <v>-3.4924282663221992E-2</v>
      </c>
      <c r="V56" s="130"/>
      <c r="W56" s="130">
        <f t="shared" si="21"/>
        <v>-1.8805382972504149E-2</v>
      </c>
      <c r="X56" s="130"/>
      <c r="Y56" s="130">
        <f t="shared" si="22"/>
        <v>-1.6297998576170262E-2</v>
      </c>
      <c r="Z56" s="130"/>
      <c r="AA56" s="130">
        <f t="shared" si="23"/>
        <v>0.38087705413292283</v>
      </c>
      <c r="AB56" s="130"/>
      <c r="AC56" s="125" t="s">
        <v>44</v>
      </c>
      <c r="AD56" s="88"/>
      <c r="AG56" s="88"/>
      <c r="AH56" s="88"/>
      <c r="AI56" s="88"/>
      <c r="AJ56" s="16" t="s">
        <v>39</v>
      </c>
      <c r="AK56" s="31" t="s">
        <v>32</v>
      </c>
      <c r="AL56" s="33">
        <f t="shared" si="9"/>
        <v>4</v>
      </c>
      <c r="AM56" s="88" t="str">
        <f t="shared" si="2"/>
        <v>N-0 IP 4</v>
      </c>
      <c r="AN56" s="17">
        <f t="shared" si="10"/>
        <v>853.05258349278347</v>
      </c>
      <c r="AO56" s="38">
        <f>NPV('Cost Assumptions'!$B$3,'Centralized BESS in Valley S'!C28:AD28)</f>
        <v>0</v>
      </c>
    </row>
    <row r="57" spans="1:41" x14ac:dyDescent="0.35">
      <c r="A57" s="122" t="str">
        <f t="shared" si="26"/>
        <v>N-0</v>
      </c>
      <c r="B57" s="31" t="str">
        <f>AK82</f>
        <v>IP</v>
      </c>
      <c r="C57" s="130">
        <f t="shared" si="11"/>
        <v>-4.1416923436938085</v>
      </c>
      <c r="D57" s="130"/>
      <c r="E57" s="130">
        <f t="shared" si="12"/>
        <v>-1.1598897449366046</v>
      </c>
      <c r="F57" s="130"/>
      <c r="G57" s="130">
        <f t="shared" si="13"/>
        <v>-0.32029775328123111</v>
      </c>
      <c r="H57" s="130"/>
      <c r="I57" s="130">
        <f t="shared" si="14"/>
        <v>2.1131801695003469</v>
      </c>
      <c r="J57" s="130"/>
      <c r="K57" s="130">
        <f t="shared" si="15"/>
        <v>-220.58558795754846</v>
      </c>
      <c r="L57" s="130"/>
      <c r="M57" s="130">
        <f t="shared" si="16"/>
        <v>-9.8040493288255899</v>
      </c>
      <c r="N57" s="130"/>
      <c r="O57" s="130">
        <f t="shared" si="17"/>
        <v>-3.7699161628819722</v>
      </c>
      <c r="P57" s="130"/>
      <c r="Q57" s="130">
        <f t="shared" si="18"/>
        <v>-1.2444432564795445</v>
      </c>
      <c r="R57" s="130"/>
      <c r="S57" s="130">
        <f t="shared" si="19"/>
        <v>-1.0040966160903013</v>
      </c>
      <c r="T57" s="130"/>
      <c r="U57" s="130">
        <f t="shared" si="20"/>
        <v>-2.2118712353373926E-2</v>
      </c>
      <c r="V57" s="130"/>
      <c r="W57" s="130">
        <f t="shared" si="21"/>
        <v>-1.191007588258596E-2</v>
      </c>
      <c r="X57" s="130"/>
      <c r="Y57" s="130">
        <f t="shared" si="22"/>
        <v>-1.0322065764907832E-2</v>
      </c>
      <c r="Z57" s="130"/>
      <c r="AA57" s="130">
        <f t="shared" si="23"/>
        <v>0.12749679768225186</v>
      </c>
      <c r="AB57" s="130"/>
      <c r="AC57" s="125" t="s">
        <v>44</v>
      </c>
      <c r="AD57" s="88"/>
      <c r="AG57" s="88"/>
      <c r="AH57" s="88"/>
      <c r="AI57" s="88"/>
      <c r="AJ57" s="16" t="s">
        <v>39</v>
      </c>
      <c r="AK57" s="31" t="s">
        <v>33</v>
      </c>
      <c r="AL57" s="33">
        <f t="shared" si="9"/>
        <v>4</v>
      </c>
      <c r="AM57" s="88" t="str">
        <f t="shared" si="2"/>
        <v>N-0 SAIDI 4</v>
      </c>
      <c r="AN57" s="17">
        <f t="shared" si="10"/>
        <v>404.2317418308055</v>
      </c>
      <c r="AO57" s="38">
        <f>NPV('Cost Assumptions'!$B$3,'Centralized BESS in Valley S'!C29:AD29)</f>
        <v>0</v>
      </c>
    </row>
    <row r="58" spans="1:41" x14ac:dyDescent="0.35">
      <c r="A58" s="122" t="str">
        <f t="shared" si="26"/>
        <v>N-0</v>
      </c>
      <c r="B58" s="31" t="str">
        <f>AK83</f>
        <v>SAIDI</v>
      </c>
      <c r="C58" s="130">
        <f t="shared" si="11"/>
        <v>-1.9178654886112472</v>
      </c>
      <c r="D58" s="130"/>
      <c r="E58" s="130">
        <f t="shared" si="12"/>
        <v>-0.71826988249175328</v>
      </c>
      <c r="F58" s="130"/>
      <c r="G58" s="130">
        <f t="shared" si="13"/>
        <v>-0.54111685137736421</v>
      </c>
      <c r="H58" s="130"/>
      <c r="I58" s="130">
        <f t="shared" si="14"/>
        <v>-9.7639106997665898E-2</v>
      </c>
      <c r="J58" s="130"/>
      <c r="K58" s="130">
        <f t="shared" si="15"/>
        <v>-29.133525813099954</v>
      </c>
      <c r="L58" s="130"/>
      <c r="M58" s="130">
        <f t="shared" si="16"/>
        <v>-1.1592205922601269</v>
      </c>
      <c r="N58" s="130"/>
      <c r="O58" s="130">
        <f t="shared" si="17"/>
        <v>-0.43006511463330099</v>
      </c>
      <c r="P58" s="130"/>
      <c r="Q58" s="130">
        <f t="shared" si="18"/>
        <v>-0.16082229043126964</v>
      </c>
      <c r="R58" s="130"/>
      <c r="S58" s="130">
        <f t="shared" si="19"/>
        <v>-0.11467073819087949</v>
      </c>
      <c r="T58" s="130"/>
      <c r="U58" s="130">
        <f t="shared" si="20"/>
        <v>-2.4211117072857398E-4</v>
      </c>
      <c r="V58" s="130"/>
      <c r="W58" s="130">
        <f t="shared" si="21"/>
        <v>-1.3036755346923214E-4</v>
      </c>
      <c r="X58" s="130"/>
      <c r="Y58" s="130">
        <f t="shared" si="22"/>
        <v>-1.1298521300666785E-4</v>
      </c>
      <c r="Z58" s="130"/>
      <c r="AA58" s="130">
        <f t="shared" si="23"/>
        <v>4.9141458822366587E-3</v>
      </c>
      <c r="AB58" s="130"/>
      <c r="AC58" s="125" t="s">
        <v>44</v>
      </c>
      <c r="AD58" s="88"/>
      <c r="AG58" s="88"/>
      <c r="AH58" s="88"/>
      <c r="AI58" s="88"/>
      <c r="AJ58" s="16" t="s">
        <v>39</v>
      </c>
      <c r="AK58" s="31" t="s">
        <v>34</v>
      </c>
      <c r="AL58" s="33">
        <f t="shared" si="9"/>
        <v>4</v>
      </c>
      <c r="AM58" s="88" t="str">
        <f t="shared" si="2"/>
        <v>N-0 SAIFI 4</v>
      </c>
      <c r="AN58" s="17">
        <f t="shared" si="10"/>
        <v>9.2139543543061269</v>
      </c>
      <c r="AO58" s="38">
        <f>NPV('Cost Assumptions'!$B$3,'Centralized BESS in Valley S'!C30:AD30)</f>
        <v>0</v>
      </c>
    </row>
    <row r="59" spans="1:41" x14ac:dyDescent="0.35">
      <c r="A59" s="122" t="str">
        <f t="shared" si="26"/>
        <v>N-0</v>
      </c>
      <c r="B59" s="31" t="str">
        <f>AK84</f>
        <v>SAIFI</v>
      </c>
      <c r="C59" s="130">
        <f t="shared" si="11"/>
        <v>-4.3138445967053012E-2</v>
      </c>
      <c r="D59" s="130"/>
      <c r="E59" s="130">
        <f t="shared" si="12"/>
        <v>-4.5440538816241272E-3</v>
      </c>
      <c r="F59" s="130"/>
      <c r="G59" s="130">
        <f t="shared" si="13"/>
        <v>-1.6411216765354106E-2</v>
      </c>
      <c r="H59" s="130"/>
      <c r="I59" s="130">
        <f t="shared" si="14"/>
        <v>2.6816464273649405E-3</v>
      </c>
      <c r="J59" s="130"/>
      <c r="K59" s="130">
        <f t="shared" si="15"/>
        <v>-1.3853885052046229</v>
      </c>
      <c r="L59" s="130"/>
      <c r="M59" s="130">
        <f t="shared" si="16"/>
        <v>-5.4606417160726999E-2</v>
      </c>
      <c r="N59" s="130"/>
      <c r="O59" s="130">
        <f t="shared" si="17"/>
        <v>-2.0577992946041374E-2</v>
      </c>
      <c r="P59" s="130"/>
      <c r="Q59" s="130">
        <f t="shared" si="18"/>
        <v>-7.3286656302574537E-3</v>
      </c>
      <c r="R59" s="130"/>
      <c r="S59" s="130">
        <f t="shared" si="19"/>
        <v>-5.4808185966106412E-3</v>
      </c>
      <c r="T59" s="130"/>
      <c r="U59" s="130">
        <f t="shared" si="20"/>
        <v>-1.2105558536428699E-4</v>
      </c>
      <c r="V59" s="130"/>
      <c r="W59" s="130">
        <f t="shared" si="21"/>
        <v>-6.5183776734616068E-5</v>
      </c>
      <c r="X59" s="130"/>
      <c r="Y59" s="130">
        <f t="shared" si="22"/>
        <v>-5.6492606503333925E-5</v>
      </c>
      <c r="Z59" s="130"/>
      <c r="AA59" s="130">
        <f t="shared" si="23"/>
        <v>4.1666161857528098E-4</v>
      </c>
      <c r="AB59" s="130"/>
      <c r="AC59" s="125" t="s">
        <v>44</v>
      </c>
      <c r="AD59" s="88"/>
      <c r="AG59" s="88"/>
      <c r="AH59" s="88"/>
      <c r="AI59" s="88"/>
      <c r="AJ59" s="16" t="s">
        <v>39</v>
      </c>
      <c r="AK59" s="31" t="s">
        <v>35</v>
      </c>
      <c r="AL59" s="116">
        <f t="shared" si="9"/>
        <v>4</v>
      </c>
      <c r="AM59" s="34" t="str">
        <f t="shared" si="2"/>
        <v>N-0 PFD 4</v>
      </c>
      <c r="AN59" s="35">
        <f t="shared" si="10"/>
        <v>146.79257165540955</v>
      </c>
      <c r="AO59" s="38">
        <f>NPV('Cost Assumptions'!$B$3,'Centralized BESS in Valley S'!C31:AD31)</f>
        <v>0</v>
      </c>
    </row>
    <row r="60" spans="1:41" x14ac:dyDescent="0.35">
      <c r="A60" s="122" t="str">
        <f t="shared" si="26"/>
        <v>N-0</v>
      </c>
      <c r="B60" s="31" t="str">
        <f>AK85</f>
        <v>PFD</v>
      </c>
      <c r="C60" s="130">
        <f t="shared" si="11"/>
        <v>-0.63501437911967107</v>
      </c>
      <c r="D60" s="130"/>
      <c r="E60" s="130">
        <f t="shared" si="12"/>
        <v>-0.15726657876180794</v>
      </c>
      <c r="F60" s="130"/>
      <c r="G60" s="130">
        <f t="shared" si="13"/>
        <v>-0.26437761255650505</v>
      </c>
      <c r="H60" s="130"/>
      <c r="I60" s="130">
        <f t="shared" si="14"/>
        <v>9.9996889212886353E-2</v>
      </c>
      <c r="J60" s="130"/>
      <c r="K60" s="130">
        <f t="shared" si="15"/>
        <v>-28.655118743765318</v>
      </c>
      <c r="L60" s="130"/>
      <c r="M60" s="130">
        <f t="shared" si="16"/>
        <v>-1.3729865593561672</v>
      </c>
      <c r="N60" s="130"/>
      <c r="O60" s="130">
        <f t="shared" si="17"/>
        <v>-0.52497602055924053</v>
      </c>
      <c r="P60" s="130"/>
      <c r="Q60" s="130">
        <f t="shared" si="18"/>
        <v>-0.17653724309292668</v>
      </c>
      <c r="R60" s="130"/>
      <c r="S60" s="130">
        <f t="shared" si="19"/>
        <v>-0.13871533108433315</v>
      </c>
      <c r="T60" s="130"/>
      <c r="U60" s="130">
        <f t="shared" si="20"/>
        <v>-2.328285510881466E-2</v>
      </c>
      <c r="V60" s="130"/>
      <c r="W60" s="130">
        <f t="shared" si="21"/>
        <v>-1.2536921981669431E-2</v>
      </c>
      <c r="X60" s="130"/>
      <c r="Y60" s="130">
        <f t="shared" si="22"/>
        <v>-1.0865332384113507E-2</v>
      </c>
      <c r="Z60" s="130"/>
      <c r="AA60" s="130">
        <f t="shared" si="23"/>
        <v>1.409777393442253E-2</v>
      </c>
      <c r="AB60" s="130"/>
      <c r="AC60" s="125" t="s">
        <v>44</v>
      </c>
      <c r="AD60" s="88"/>
      <c r="AG60" s="88"/>
      <c r="AH60" s="88"/>
      <c r="AI60" s="88"/>
      <c r="AJ60" s="16" t="s">
        <v>30</v>
      </c>
      <c r="AK60" s="31" t="s">
        <v>31</v>
      </c>
      <c r="AL60" s="36">
        <f t="shared" ref="AL60:AL72" si="27">$G$22</f>
        <v>5</v>
      </c>
      <c r="AM60" s="37" t="str">
        <f t="shared" si="2"/>
        <v>N-1 EENS 5</v>
      </c>
      <c r="AN60" s="38">
        <f t="shared" ref="AN60:AN72" si="28">G23</f>
        <v>2518.1150277664724</v>
      </c>
      <c r="AO60" s="38">
        <f>NPV('Cost Assumptions'!$B$3,'MiraLoma &amp; Centralized BESS VS'!C19:AD19)</f>
        <v>535.97291756077971</v>
      </c>
    </row>
    <row r="61" spans="1:41" ht="17" x14ac:dyDescent="0.4">
      <c r="A61" s="134" t="s">
        <v>45</v>
      </c>
      <c r="B61" s="134"/>
      <c r="C61" s="131" t="s">
        <v>46</v>
      </c>
      <c r="D61" s="131"/>
      <c r="E61" s="131" t="s">
        <v>46</v>
      </c>
      <c r="F61" s="131"/>
      <c r="G61" s="131" t="s">
        <v>47</v>
      </c>
      <c r="H61" s="131"/>
      <c r="I61" s="131" t="s">
        <v>46</v>
      </c>
      <c r="J61" s="131"/>
      <c r="K61" s="131" t="s">
        <v>47</v>
      </c>
      <c r="L61" s="131"/>
      <c r="M61" s="131" t="s">
        <v>47</v>
      </c>
      <c r="N61" s="131"/>
      <c r="O61" s="131" t="s">
        <v>47</v>
      </c>
      <c r="P61" s="131"/>
      <c r="Q61" s="131" t="s">
        <v>47</v>
      </c>
      <c r="R61" s="131"/>
      <c r="S61" s="131" t="s">
        <v>46</v>
      </c>
      <c r="T61" s="131"/>
      <c r="U61" s="131" t="s">
        <v>47</v>
      </c>
      <c r="V61" s="131"/>
      <c r="W61" s="131" t="s">
        <v>47</v>
      </c>
      <c r="X61" s="131"/>
      <c r="Y61" s="131" t="s">
        <v>47</v>
      </c>
      <c r="Z61" s="131"/>
      <c r="AA61" s="131" t="s">
        <v>47</v>
      </c>
      <c r="AB61" s="131"/>
      <c r="AC61" s="6"/>
      <c r="AD61" s="88"/>
      <c r="AG61" s="88"/>
      <c r="AH61" s="88"/>
      <c r="AI61" s="88"/>
      <c r="AJ61" s="16" t="s">
        <v>30</v>
      </c>
      <c r="AK61" s="31" t="s">
        <v>32</v>
      </c>
      <c r="AL61" s="33">
        <f t="shared" si="27"/>
        <v>5</v>
      </c>
      <c r="AM61" s="88" t="str">
        <f t="shared" si="2"/>
        <v>N-1 IP 5</v>
      </c>
      <c r="AN61" s="17">
        <f t="shared" si="28"/>
        <v>77.193163784298719</v>
      </c>
      <c r="AO61" s="38">
        <f>NPV('Cost Assumptions'!$B$3,'MiraLoma &amp; Centralized BESS VS'!C20:AD20)</f>
        <v>76.499080955477865</v>
      </c>
    </row>
    <row r="62" spans="1:41" x14ac:dyDescent="0.35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AC62" s="88"/>
      <c r="AD62" s="88"/>
      <c r="AG62" s="88"/>
      <c r="AH62" s="88"/>
      <c r="AI62" s="88"/>
      <c r="AJ62" s="16" t="s">
        <v>30</v>
      </c>
      <c r="AK62" s="31" t="s">
        <v>33</v>
      </c>
      <c r="AL62" s="33">
        <f t="shared" si="27"/>
        <v>5</v>
      </c>
      <c r="AM62" s="88" t="str">
        <f t="shared" si="2"/>
        <v>N-1 SAIDI 5</v>
      </c>
      <c r="AN62" s="17">
        <f t="shared" si="28"/>
        <v>142.1259685784722</v>
      </c>
      <c r="AO62" s="38">
        <f>NPV('Cost Assumptions'!$B$3,'MiraLoma &amp; Centralized BESS VS'!C21:AD21)</f>
        <v>17.252476331265498</v>
      </c>
    </row>
    <row r="63" spans="1:41" x14ac:dyDescent="0.35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AC63" s="88"/>
      <c r="AD63" s="88"/>
      <c r="AG63" s="88"/>
      <c r="AH63" s="88"/>
      <c r="AI63" s="88"/>
      <c r="AJ63" s="16" t="s">
        <v>30</v>
      </c>
      <c r="AK63" s="31" t="s">
        <v>34</v>
      </c>
      <c r="AL63" s="33">
        <f t="shared" si="27"/>
        <v>5</v>
      </c>
      <c r="AM63" s="88" t="str">
        <f t="shared" si="2"/>
        <v>N-1 SAIFI 5</v>
      </c>
      <c r="AN63" s="17">
        <f t="shared" si="28"/>
        <v>2.0721606730691895</v>
      </c>
      <c r="AO63" s="38">
        <f>NPV('Cost Assumptions'!$B$3,'MiraLoma &amp; Centralized BESS VS'!C22:AD22)</f>
        <v>0.55310903584407956</v>
      </c>
    </row>
    <row r="64" spans="1:41" ht="19.5" x14ac:dyDescent="0.45">
      <c r="A64" s="133" t="s">
        <v>27</v>
      </c>
      <c r="B64" s="133"/>
      <c r="C64" s="137" t="s">
        <v>48</v>
      </c>
      <c r="D64" s="137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AC64" s="88"/>
      <c r="AD64" s="88"/>
      <c r="AG64" s="88"/>
      <c r="AH64" s="88"/>
      <c r="AI64" s="88"/>
      <c r="AJ64" s="16" t="s">
        <v>30</v>
      </c>
      <c r="AK64" s="31" t="s">
        <v>35</v>
      </c>
      <c r="AL64" s="33">
        <f t="shared" si="27"/>
        <v>5</v>
      </c>
      <c r="AM64" s="88" t="str">
        <f t="shared" si="2"/>
        <v>N-1 PFD 5</v>
      </c>
      <c r="AN64" s="17">
        <f t="shared" si="28"/>
        <v>333.35250724763148</v>
      </c>
      <c r="AO64" s="38">
        <f>NPV('Cost Assumptions'!$B$3,'MiraLoma &amp; Centralized BESS VS'!C23:AD23)</f>
        <v>97.842722550217601</v>
      </c>
    </row>
    <row r="65" spans="1:41" ht="15" customHeight="1" x14ac:dyDescent="0.35">
      <c r="A65" s="133"/>
      <c r="B65" s="133"/>
      <c r="C65" s="132" t="str">
        <f>$C$66&amp;" --&gt; "&amp;$D$66</f>
        <v>0 --&gt; 1</v>
      </c>
      <c r="D65" s="132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88"/>
      <c r="R65" s="88"/>
      <c r="S65" s="88"/>
      <c r="T65" s="88"/>
      <c r="U65" s="88"/>
      <c r="V65" s="88"/>
      <c r="AC65" s="88"/>
      <c r="AD65" s="88"/>
      <c r="AG65" s="88"/>
      <c r="AH65" s="88"/>
      <c r="AI65" s="88"/>
      <c r="AJ65" s="88" t="s">
        <v>30</v>
      </c>
      <c r="AK65" s="1" t="s">
        <v>36</v>
      </c>
      <c r="AL65" s="33">
        <f t="shared" si="27"/>
        <v>5</v>
      </c>
      <c r="AM65" s="88" t="str">
        <f t="shared" si="2"/>
        <v>N-1 Available Flex-1 5</v>
      </c>
      <c r="AN65" s="74">
        <f t="shared" si="28"/>
        <v>111146.95809377151</v>
      </c>
      <c r="AO65" s="38">
        <f>NPV('Cost Assumptions'!$B$3,'MiraLoma &amp; Centralized BESS VS'!C24:AD24)</f>
        <v>68073.517719363168</v>
      </c>
    </row>
    <row r="66" spans="1:41" ht="15" customHeight="1" x14ac:dyDescent="0.35">
      <c r="A66" s="133"/>
      <c r="B66" s="133"/>
      <c r="C66" s="115">
        <f>$A$4</f>
        <v>0</v>
      </c>
      <c r="D66" s="115">
        <f>$A13</f>
        <v>1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AC66" s="88"/>
      <c r="AD66" s="88"/>
      <c r="AG66" s="88"/>
      <c r="AH66" s="88"/>
      <c r="AI66" s="88"/>
      <c r="AJ66" s="16" t="s">
        <v>30</v>
      </c>
      <c r="AK66" s="31" t="s">
        <v>37</v>
      </c>
      <c r="AL66" s="33">
        <f t="shared" si="27"/>
        <v>5</v>
      </c>
      <c r="AM66" s="88" t="str">
        <f t="shared" si="2"/>
        <v>N-1 Available Flex-2-1 5</v>
      </c>
      <c r="AN66" s="17">
        <f t="shared" si="28"/>
        <v>502763.63150252239</v>
      </c>
      <c r="AO66" s="38">
        <f>NPV('Cost Assumptions'!$B$3,'MiraLoma &amp; Centralized BESS VS'!C25:AD25)</f>
        <v>1395675.614088946</v>
      </c>
    </row>
    <row r="67" spans="1:41" x14ac:dyDescent="0.35">
      <c r="A67" s="97" t="s">
        <v>30</v>
      </c>
      <c r="B67" s="31" t="s">
        <v>31</v>
      </c>
      <c r="C67" s="130">
        <f t="shared" ref="C67:C79" si="29">(VLOOKUP(CONCATENATE($A67," ",$B67," ",$D$66),AM:AO,3,FALSE)-VLOOKUP(CONCATENATE($A67," ",$B67," ",$C$66),AM:AO,3,FALSE))/(VLOOKUP($D$66,$A$3:$D$17,3,FALSE)-(VLOOKUP($C$66,$A$3:$D$17,3,FALSE)))</f>
        <v>-5.3995271216700926</v>
      </c>
      <c r="D67" s="130"/>
      <c r="E67" s="67"/>
      <c r="F67" s="67"/>
      <c r="G67" s="67"/>
      <c r="H67" s="67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AC67" s="88"/>
      <c r="AD67" s="88"/>
      <c r="AG67" s="88"/>
      <c r="AH67" s="88"/>
      <c r="AI67" s="88"/>
      <c r="AJ67" s="16" t="s">
        <v>30</v>
      </c>
      <c r="AK67" s="31" t="s">
        <v>38</v>
      </c>
      <c r="AL67" s="33">
        <f t="shared" si="27"/>
        <v>5</v>
      </c>
      <c r="AM67" s="88" t="str">
        <f t="shared" si="2"/>
        <v>N-1 Available Flex-2-2 5</v>
      </c>
      <c r="AN67" s="17">
        <f t="shared" si="28"/>
        <v>496841.42324199079</v>
      </c>
      <c r="AO67" s="38">
        <f>NPV('Cost Assumptions'!$B$3,'MiraLoma &amp; Centralized BESS VS'!C26:AD26)</f>
        <v>289944.87655653356</v>
      </c>
    </row>
    <row r="68" spans="1:41" x14ac:dyDescent="0.35">
      <c r="A68" s="97" t="s">
        <v>30</v>
      </c>
      <c r="B68" s="31" t="s">
        <v>32</v>
      </c>
      <c r="C68" s="130">
        <f t="shared" si="29"/>
        <v>-0.24388511805147584</v>
      </c>
      <c r="D68" s="130"/>
      <c r="E68" s="67"/>
      <c r="F68" s="67"/>
      <c r="G68" s="67"/>
      <c r="H68" s="67"/>
      <c r="I68" s="88"/>
      <c r="J68" s="88"/>
      <c r="K68" s="88"/>
      <c r="L68" s="88"/>
      <c r="M68" s="67"/>
      <c r="N68" s="67"/>
      <c r="O68" s="67"/>
      <c r="P68" s="67"/>
      <c r="Q68" s="67"/>
      <c r="R68" s="67"/>
      <c r="S68" s="67"/>
      <c r="T68" s="67"/>
      <c r="U68" s="88"/>
      <c r="V68" s="88"/>
      <c r="AC68" s="88"/>
      <c r="AD68" s="88"/>
      <c r="AG68" s="88"/>
      <c r="AH68" s="88"/>
      <c r="AI68" s="88"/>
      <c r="AJ68" s="16" t="s">
        <v>39</v>
      </c>
      <c r="AK68" s="31" t="s">
        <v>31</v>
      </c>
      <c r="AL68" s="33">
        <f t="shared" si="27"/>
        <v>5</v>
      </c>
      <c r="AM68" s="88" t="str">
        <f t="shared" si="2"/>
        <v>N-0 EENS 5</v>
      </c>
      <c r="AN68" s="30">
        <f t="shared" si="28"/>
        <v>8657.5452529435206</v>
      </c>
      <c r="AO68" s="38">
        <f>NPV('Cost Assumptions'!$B$3,'MiraLoma &amp; Centralized BESS VS'!C27:AD27)</f>
        <v>0</v>
      </c>
    </row>
    <row r="69" spans="1:41" x14ac:dyDescent="0.35">
      <c r="A69" s="97" t="s">
        <v>30</v>
      </c>
      <c r="B69" s="31" t="s">
        <v>33</v>
      </c>
      <c r="C69" s="130">
        <f t="shared" si="29"/>
        <v>-0.28597886240156811</v>
      </c>
      <c r="D69" s="130"/>
      <c r="E69" s="67"/>
      <c r="F69" s="67"/>
      <c r="G69" s="67"/>
      <c r="H69" s="67"/>
      <c r="I69" s="88"/>
      <c r="J69" s="88"/>
      <c r="K69" s="88"/>
      <c r="L69" s="88"/>
      <c r="M69" s="67"/>
      <c r="N69" s="67"/>
      <c r="O69" s="67"/>
      <c r="P69" s="67"/>
      <c r="Q69" s="67"/>
      <c r="R69" s="67"/>
      <c r="S69" s="67"/>
      <c r="T69" s="67"/>
      <c r="U69" s="88"/>
      <c r="V69" s="88"/>
      <c r="AC69" s="88"/>
      <c r="AD69" s="88"/>
      <c r="AG69" s="88"/>
      <c r="AH69" s="88"/>
      <c r="AI69" s="88"/>
      <c r="AJ69" s="16" t="s">
        <v>39</v>
      </c>
      <c r="AK69" s="31" t="s">
        <v>32</v>
      </c>
      <c r="AL69" s="33">
        <f t="shared" si="27"/>
        <v>5</v>
      </c>
      <c r="AM69" s="88" t="str">
        <f t="shared" si="2"/>
        <v>N-0 IP 5</v>
      </c>
      <c r="AN69" s="30">
        <f t="shared" si="28"/>
        <v>853.05258349278347</v>
      </c>
      <c r="AO69" s="38">
        <f>NPV('Cost Assumptions'!$B$3,'MiraLoma &amp; Centralized BESS VS'!C28:AD28)</f>
        <v>0</v>
      </c>
    </row>
    <row r="70" spans="1:41" x14ac:dyDescent="0.35">
      <c r="A70" s="97" t="s">
        <v>30</v>
      </c>
      <c r="B70" s="31" t="s">
        <v>34</v>
      </c>
      <c r="C70" s="130">
        <f t="shared" si="29"/>
        <v>-4.299531879675994E-3</v>
      </c>
      <c r="D70" s="130"/>
      <c r="E70" s="67"/>
      <c r="F70" s="67"/>
      <c r="G70" s="67"/>
      <c r="H70" s="67"/>
      <c r="I70" s="88"/>
      <c r="J70" s="88"/>
      <c r="K70" s="88"/>
      <c r="L70" s="88"/>
      <c r="M70" s="67"/>
      <c r="N70" s="67"/>
      <c r="O70" s="67"/>
      <c r="P70" s="67"/>
      <c r="Q70" s="67"/>
      <c r="R70" s="67"/>
      <c r="S70" s="67"/>
      <c r="T70" s="67"/>
      <c r="U70" s="88"/>
      <c r="V70" s="88"/>
      <c r="AC70" s="88"/>
      <c r="AD70" s="88"/>
      <c r="AG70" s="88"/>
      <c r="AH70" s="88"/>
      <c r="AI70" s="88"/>
      <c r="AJ70" s="16" t="s">
        <v>39</v>
      </c>
      <c r="AK70" s="31" t="s">
        <v>33</v>
      </c>
      <c r="AL70" s="33">
        <f t="shared" si="27"/>
        <v>5</v>
      </c>
      <c r="AM70" s="88" t="str">
        <f t="shared" si="2"/>
        <v>N-0 SAIDI 5</v>
      </c>
      <c r="AN70" s="30">
        <f t="shared" si="28"/>
        <v>404.2317418308055</v>
      </c>
      <c r="AO70" s="38">
        <f>NPV('Cost Assumptions'!$B$3,'MiraLoma &amp; Centralized BESS VS'!C29:AD29)</f>
        <v>0</v>
      </c>
    </row>
    <row r="71" spans="1:41" x14ac:dyDescent="0.35">
      <c r="A71" s="97" t="s">
        <v>30</v>
      </c>
      <c r="B71" s="31" t="s">
        <v>35</v>
      </c>
      <c r="C71" s="130">
        <f t="shared" si="29"/>
        <v>-0.77175685993851684</v>
      </c>
      <c r="D71" s="130"/>
      <c r="E71" s="67"/>
      <c r="F71" s="67"/>
      <c r="G71" s="67"/>
      <c r="H71" s="67"/>
      <c r="I71" s="88"/>
      <c r="J71" s="88"/>
      <c r="K71" s="88"/>
      <c r="L71" s="88"/>
      <c r="M71" s="67"/>
      <c r="N71" s="67"/>
      <c r="O71" s="67"/>
      <c r="P71" s="67"/>
      <c r="Q71" s="67"/>
      <c r="R71" s="67"/>
      <c r="S71" s="67"/>
      <c r="T71" s="67"/>
      <c r="U71" s="88"/>
      <c r="V71" s="88"/>
      <c r="AC71" s="88"/>
      <c r="AD71" s="88"/>
      <c r="AG71" s="88"/>
      <c r="AH71" s="88"/>
      <c r="AI71" s="88"/>
      <c r="AJ71" s="16" t="s">
        <v>39</v>
      </c>
      <c r="AK71" s="31" t="s">
        <v>34</v>
      </c>
      <c r="AL71" s="33">
        <f t="shared" si="27"/>
        <v>5</v>
      </c>
      <c r="AM71" s="88" t="str">
        <f t="shared" si="2"/>
        <v>N-0 SAIFI 5</v>
      </c>
      <c r="AN71" s="30">
        <f t="shared" si="28"/>
        <v>9.2139543543061269</v>
      </c>
      <c r="AO71" s="38">
        <f>NPV('Cost Assumptions'!$B$3,'MiraLoma &amp; Centralized BESS VS'!C30:AD30)</f>
        <v>0</v>
      </c>
    </row>
    <row r="72" spans="1:41" x14ac:dyDescent="0.35">
      <c r="A72" s="122" t="s">
        <v>30</v>
      </c>
      <c r="B72" s="31" t="s">
        <v>36</v>
      </c>
      <c r="C72" s="130">
        <f t="shared" si="29"/>
        <v>-328.84490974887098</v>
      </c>
      <c r="D72" s="130"/>
      <c r="E72" s="67"/>
      <c r="F72" s="67"/>
      <c r="G72" s="67"/>
      <c r="H72" s="67"/>
      <c r="I72" s="88"/>
      <c r="J72" s="88"/>
      <c r="K72" s="88"/>
      <c r="L72" s="88"/>
      <c r="M72" s="67"/>
      <c r="N72" s="67"/>
      <c r="O72" s="67"/>
      <c r="P72" s="67"/>
      <c r="Q72" s="67"/>
      <c r="R72" s="67"/>
      <c r="S72" s="67"/>
      <c r="T72" s="67"/>
      <c r="U72" s="88"/>
      <c r="V72" s="88"/>
      <c r="AC72" s="88"/>
      <c r="AD72" s="88"/>
      <c r="AG72" s="88"/>
      <c r="AH72" s="88"/>
      <c r="AI72" s="88"/>
      <c r="AJ72" s="16" t="s">
        <v>39</v>
      </c>
      <c r="AK72" s="31" t="s">
        <v>35</v>
      </c>
      <c r="AL72" s="116">
        <f t="shared" si="27"/>
        <v>5</v>
      </c>
      <c r="AM72" s="34" t="str">
        <f t="shared" si="2"/>
        <v>N-0 PFD 5</v>
      </c>
      <c r="AN72" s="30">
        <f t="shared" si="28"/>
        <v>146.79257165540955</v>
      </c>
      <c r="AO72" s="38">
        <f>NPV('Cost Assumptions'!$B$3,'MiraLoma &amp; Centralized BESS VS'!C31:AD31)</f>
        <v>0</v>
      </c>
    </row>
    <row r="73" spans="1:41" x14ac:dyDescent="0.35">
      <c r="A73" s="122" t="s">
        <v>30</v>
      </c>
      <c r="B73" s="31" t="s">
        <v>37</v>
      </c>
      <c r="C73" s="130">
        <f t="shared" si="29"/>
        <v>-3297.3285384059736</v>
      </c>
      <c r="D73" s="130"/>
      <c r="E73" s="67"/>
      <c r="F73" s="67"/>
      <c r="G73" s="67"/>
      <c r="H73" s="67"/>
      <c r="I73" s="88"/>
      <c r="J73" s="88"/>
      <c r="K73" s="88"/>
      <c r="L73" s="88"/>
      <c r="M73" s="67"/>
      <c r="N73" s="67"/>
      <c r="O73" s="67"/>
      <c r="P73" s="67"/>
      <c r="Q73" s="67"/>
      <c r="R73" s="67"/>
      <c r="S73" s="67"/>
      <c r="T73" s="67"/>
      <c r="U73" s="88"/>
      <c r="V73" s="88"/>
      <c r="AC73" s="88"/>
      <c r="AD73" s="88"/>
      <c r="AG73" s="88"/>
      <c r="AH73" s="88"/>
      <c r="AI73" s="88"/>
      <c r="AJ73" s="16" t="s">
        <v>30</v>
      </c>
      <c r="AK73" s="31" t="s">
        <v>31</v>
      </c>
      <c r="AL73" s="36">
        <v>0</v>
      </c>
      <c r="AM73" s="39" t="str">
        <f t="shared" si="2"/>
        <v>N-1 EENS 0</v>
      </c>
      <c r="AN73" s="30">
        <v>0</v>
      </c>
      <c r="AO73" s="38">
        <f>NPV('Cost Assumptions'!$B$3,'Baseline System Analysis'!C3:AD3)</f>
        <v>3054.0879453272519</v>
      </c>
    </row>
    <row r="74" spans="1:41" x14ac:dyDescent="0.35">
      <c r="A74" s="122" t="s">
        <v>30</v>
      </c>
      <c r="B74" s="31" t="s">
        <v>38</v>
      </c>
      <c r="C74" s="130">
        <f t="shared" si="29"/>
        <v>-1443.5418293422385</v>
      </c>
      <c r="D74" s="130"/>
      <c r="E74" s="67"/>
      <c r="F74" s="67"/>
      <c r="G74" s="67"/>
      <c r="H74" s="67"/>
      <c r="I74" s="88"/>
      <c r="J74" s="88"/>
      <c r="K74" s="88"/>
      <c r="L74" s="88"/>
      <c r="M74" s="67"/>
      <c r="N74" s="67"/>
      <c r="O74" s="67"/>
      <c r="P74" s="67"/>
      <c r="Q74" s="67"/>
      <c r="R74" s="67"/>
      <c r="S74" s="67"/>
      <c r="T74" s="67"/>
      <c r="U74" s="88"/>
      <c r="V74" s="88"/>
      <c r="AC74" s="88"/>
      <c r="AD74" s="88"/>
      <c r="AG74" s="88"/>
      <c r="AH74" s="88"/>
      <c r="AI74" s="88"/>
      <c r="AJ74" s="16" t="s">
        <v>30</v>
      </c>
      <c r="AK74" s="31" t="s">
        <v>32</v>
      </c>
      <c r="AL74" s="33">
        <v>0</v>
      </c>
      <c r="AM74" s="34" t="str">
        <f t="shared" si="2"/>
        <v>N-1 IP 0</v>
      </c>
      <c r="AN74" s="30">
        <v>0</v>
      </c>
      <c r="AO74" s="38">
        <f>NPV('Cost Assumptions'!$B$3,'Baseline System Analysis'!C4:AD4)</f>
        <v>153.69224473977658</v>
      </c>
    </row>
    <row r="75" spans="1:41" x14ac:dyDescent="0.35">
      <c r="A75" s="122" t="s">
        <v>39</v>
      </c>
      <c r="B75" s="31" t="s">
        <v>31</v>
      </c>
      <c r="C75" s="130">
        <f t="shared" si="29"/>
        <v>-15.884506996305019</v>
      </c>
      <c r="D75" s="130"/>
      <c r="E75" s="67"/>
      <c r="F75" s="67"/>
      <c r="G75" s="67"/>
      <c r="H75" s="67"/>
      <c r="I75" s="88"/>
      <c r="J75" s="88"/>
      <c r="K75" s="88"/>
      <c r="L75" s="88"/>
      <c r="M75" s="67"/>
      <c r="N75" s="67"/>
      <c r="O75" s="67"/>
      <c r="P75" s="67"/>
      <c r="Q75" s="67"/>
      <c r="R75" s="67"/>
      <c r="S75" s="67"/>
      <c r="T75" s="67"/>
      <c r="U75" s="88"/>
      <c r="V75" s="88"/>
      <c r="AC75" s="88"/>
      <c r="AD75" s="88"/>
      <c r="AG75" s="88"/>
      <c r="AH75" s="88"/>
      <c r="AI75" s="88"/>
      <c r="AJ75" s="16" t="s">
        <v>30</v>
      </c>
      <c r="AK75" s="31" t="s">
        <v>33</v>
      </c>
      <c r="AL75" s="33">
        <v>0</v>
      </c>
      <c r="AM75" s="34" t="str">
        <f t="shared" si="2"/>
        <v>N-1 SAIDI 0</v>
      </c>
      <c r="AN75" s="125">
        <v>0</v>
      </c>
      <c r="AO75" s="38">
        <f>NPV('Cost Assumptions'!$B$3,'Baseline System Analysis'!C5:AD5)</f>
        <v>159.37844490973765</v>
      </c>
    </row>
    <row r="76" spans="1:41" x14ac:dyDescent="0.35">
      <c r="A76" s="122" t="s">
        <v>39</v>
      </c>
      <c r="B76" s="31" t="s">
        <v>32</v>
      </c>
      <c r="C76" s="130">
        <f t="shared" si="29"/>
        <v>-1.5646659110455712</v>
      </c>
      <c r="D76" s="130"/>
      <c r="E76" s="67"/>
      <c r="F76" s="67"/>
      <c r="G76" s="67"/>
      <c r="H76" s="67"/>
      <c r="I76" s="88"/>
      <c r="J76" s="88"/>
      <c r="K76" s="88"/>
      <c r="L76" s="88"/>
      <c r="M76" s="67"/>
      <c r="N76" s="67"/>
      <c r="O76" s="67"/>
      <c r="P76" s="67"/>
      <c r="Q76" s="67"/>
      <c r="R76" s="67"/>
      <c r="S76" s="67"/>
      <c r="T76" s="67"/>
      <c r="U76" s="88"/>
      <c r="V76" s="88"/>
      <c r="AC76" s="88"/>
      <c r="AD76" s="88"/>
      <c r="AG76" s="88"/>
      <c r="AH76" s="88"/>
      <c r="AI76" s="88"/>
      <c r="AJ76" s="16" t="s">
        <v>30</v>
      </c>
      <c r="AK76" s="31" t="s">
        <v>34</v>
      </c>
      <c r="AL76" s="33">
        <v>0</v>
      </c>
      <c r="AM76" s="34" t="str">
        <f t="shared" si="2"/>
        <v>N-1 SAIFI 0</v>
      </c>
      <c r="AN76" s="30">
        <v>0</v>
      </c>
      <c r="AO76" s="38">
        <f>NPV('Cost Assumptions'!$B$3,'Baseline System Analysis'!C6:AD6)</f>
        <v>2.6252697089132693</v>
      </c>
    </row>
    <row r="77" spans="1:41" x14ac:dyDescent="0.35">
      <c r="A77" s="122" t="s">
        <v>39</v>
      </c>
      <c r="B77" s="31" t="s">
        <v>33</v>
      </c>
      <c r="C77" s="130">
        <f t="shared" si="29"/>
        <v>-0.74170339866865198</v>
      </c>
      <c r="D77" s="130"/>
      <c r="E77" s="67"/>
      <c r="F77" s="67"/>
      <c r="G77" s="67"/>
      <c r="H77" s="67"/>
      <c r="I77" s="88"/>
      <c r="J77" s="88"/>
      <c r="K77" s="88"/>
      <c r="L77" s="88"/>
      <c r="M77" s="67"/>
      <c r="N77" s="67"/>
      <c r="O77" s="67"/>
      <c r="P77" s="67"/>
      <c r="Q77" s="67"/>
      <c r="R77" s="67"/>
      <c r="S77" s="67"/>
      <c r="T77" s="67"/>
      <c r="U77" s="88"/>
      <c r="V77" s="88"/>
      <c r="AC77" s="88"/>
      <c r="AD77" s="88"/>
      <c r="AG77" s="88"/>
      <c r="AH77" s="88"/>
      <c r="AI77" s="88"/>
      <c r="AJ77" s="16" t="s">
        <v>30</v>
      </c>
      <c r="AK77" s="31" t="s">
        <v>35</v>
      </c>
      <c r="AL77" s="33">
        <v>0</v>
      </c>
      <c r="AM77" s="34" t="str">
        <f t="shared" si="2"/>
        <v>N-1 PFD 0</v>
      </c>
      <c r="AN77" s="30">
        <v>0</v>
      </c>
      <c r="AO77" s="38">
        <f>NPV('Cost Assumptions'!$B$3,'Baseline System Analysis'!C7:AD7)</f>
        <v>431.19522979784904</v>
      </c>
    </row>
    <row r="78" spans="1:41" x14ac:dyDescent="0.35">
      <c r="A78" s="122" t="s">
        <v>39</v>
      </c>
      <c r="B78" s="31" t="s">
        <v>34</v>
      </c>
      <c r="C78" s="130">
        <f t="shared" si="29"/>
        <v>-1.6903228580020233E-2</v>
      </c>
      <c r="D78" s="130"/>
      <c r="E78" s="67"/>
      <c r="F78" s="67"/>
      <c r="G78" s="67"/>
      <c r="H78" s="67"/>
      <c r="I78" s="88"/>
      <c r="J78" s="88"/>
      <c r="K78" s="88"/>
      <c r="L78" s="88"/>
      <c r="M78" s="67"/>
      <c r="N78" s="67"/>
      <c r="O78" s="67"/>
      <c r="P78" s="67"/>
      <c r="Q78" s="67"/>
      <c r="R78" s="67"/>
      <c r="S78" s="67"/>
      <c r="T78" s="67"/>
      <c r="U78" s="88"/>
      <c r="V78" s="88"/>
      <c r="AC78" s="88"/>
      <c r="AD78" s="88"/>
      <c r="AG78" s="88"/>
      <c r="AH78" s="88"/>
      <c r="AI78" s="88"/>
      <c r="AJ78" s="88" t="s">
        <v>30</v>
      </c>
      <c r="AK78" s="88" t="s">
        <v>36</v>
      </c>
      <c r="AL78" s="33">
        <v>0</v>
      </c>
      <c r="AM78" s="34" t="str">
        <f t="shared" ref="AM78:AM98" si="30">CONCATENATE(AJ78," ",AK78," ",AL78)</f>
        <v>N-1 Available Flex-1 0</v>
      </c>
      <c r="AN78" s="30">
        <v>0</v>
      </c>
      <c r="AO78" s="38">
        <f>NPV('Cost Assumptions'!$B$3,'Baseline System Analysis'!C13:AD13)</f>
        <v>179220.47581313469</v>
      </c>
    </row>
    <row r="79" spans="1:41" x14ac:dyDescent="0.35">
      <c r="A79" s="122" t="s">
        <v>39</v>
      </c>
      <c r="B79" s="31" t="s">
        <v>35</v>
      </c>
      <c r="C79" s="130">
        <f t="shared" si="29"/>
        <v>-0.26874607648419474</v>
      </c>
      <c r="D79" s="130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88"/>
      <c r="V79" s="88"/>
      <c r="AC79" s="88"/>
      <c r="AD79" s="88"/>
      <c r="AG79" s="88"/>
      <c r="AH79" s="88"/>
      <c r="AI79" s="88"/>
      <c r="AJ79" s="16" t="s">
        <v>30</v>
      </c>
      <c r="AK79" s="31" t="s">
        <v>37</v>
      </c>
      <c r="AL79" s="33">
        <v>0</v>
      </c>
      <c r="AM79" s="34" t="str">
        <f t="shared" si="30"/>
        <v>N-1 Available Flex-2-1 0</v>
      </c>
      <c r="AN79" s="30">
        <v>0</v>
      </c>
      <c r="AO79" s="38">
        <f>NPV('Cost Assumptions'!$B$3,'Baseline System Analysis'!C14:AD14)</f>
        <v>1898439.2455914682</v>
      </c>
    </row>
    <row r="80" spans="1:41" x14ac:dyDescent="0.35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AC80" s="88"/>
      <c r="AD80" s="88"/>
      <c r="AG80" s="88"/>
      <c r="AH80" s="88"/>
      <c r="AI80" s="88"/>
      <c r="AJ80" s="16" t="s">
        <v>30</v>
      </c>
      <c r="AK80" s="31" t="s">
        <v>38</v>
      </c>
      <c r="AL80" s="33">
        <v>0</v>
      </c>
      <c r="AM80" s="34" t="str">
        <f t="shared" si="30"/>
        <v>N-1 Available Flex-2-2 0</v>
      </c>
      <c r="AN80" s="30">
        <v>0</v>
      </c>
      <c r="AO80" s="38">
        <f>NPV('Cost Assumptions'!$B$3,'Baseline System Analysis'!C15:AD15)</f>
        <v>786786.29979852424</v>
      </c>
    </row>
    <row r="81" spans="36:41" x14ac:dyDescent="0.35">
      <c r="AJ81" s="16" t="s">
        <v>39</v>
      </c>
      <c r="AK81" s="31" t="s">
        <v>31</v>
      </c>
      <c r="AL81" s="33">
        <v>0</v>
      </c>
      <c r="AM81" s="34" t="str">
        <f t="shared" si="30"/>
        <v>N-0 EENS 0</v>
      </c>
      <c r="AN81" s="30">
        <v>0</v>
      </c>
      <c r="AO81" s="38">
        <f>NPV('Cost Assumptions'!$B$3,'Baseline System Analysis'!C8:AD8)</f>
        <v>8657.5452529435206</v>
      </c>
    </row>
    <row r="82" spans="36:41" x14ac:dyDescent="0.35">
      <c r="AJ82" s="16" t="s">
        <v>39</v>
      </c>
      <c r="AK82" s="31" t="s">
        <v>32</v>
      </c>
      <c r="AL82" s="33">
        <v>0</v>
      </c>
      <c r="AM82" s="34" t="str">
        <f t="shared" si="30"/>
        <v>N-0 IP 0</v>
      </c>
      <c r="AN82" s="30">
        <v>0</v>
      </c>
      <c r="AO82" s="38">
        <f>NPV('Cost Assumptions'!$B$3,'Baseline System Analysis'!C9:AD9)</f>
        <v>853.05258349278347</v>
      </c>
    </row>
    <row r="83" spans="36:41" x14ac:dyDescent="0.35">
      <c r="AJ83" s="16" t="s">
        <v>39</v>
      </c>
      <c r="AK83" s="31" t="s">
        <v>33</v>
      </c>
      <c r="AL83" s="33">
        <v>0</v>
      </c>
      <c r="AM83" s="34" t="str">
        <f t="shared" si="30"/>
        <v>N-0 SAIDI 0</v>
      </c>
      <c r="AN83" s="30">
        <v>0</v>
      </c>
      <c r="AO83" s="38">
        <f>NPV('Cost Assumptions'!$B$3,'Baseline System Analysis'!C10:AD10)</f>
        <v>404.2317418308055</v>
      </c>
    </row>
    <row r="84" spans="36:41" x14ac:dyDescent="0.35">
      <c r="AJ84" s="16" t="s">
        <v>39</v>
      </c>
      <c r="AK84" s="31" t="s">
        <v>34</v>
      </c>
      <c r="AL84" s="33">
        <v>0</v>
      </c>
      <c r="AM84" s="34" t="str">
        <f t="shared" si="30"/>
        <v>N-0 SAIFI 0</v>
      </c>
      <c r="AN84" s="125">
        <v>0</v>
      </c>
      <c r="AO84" s="38">
        <f>NPV('Cost Assumptions'!$B$3,'Baseline System Analysis'!C11:AD11)</f>
        <v>9.2139543543061269</v>
      </c>
    </row>
    <row r="85" spans="36:41" x14ac:dyDescent="0.35">
      <c r="AJ85" s="16" t="s">
        <v>39</v>
      </c>
      <c r="AK85" s="31" t="s">
        <v>35</v>
      </c>
      <c r="AL85" s="116">
        <v>0</v>
      </c>
      <c r="AM85" s="34" t="str">
        <f t="shared" si="30"/>
        <v>N-0 PFD 0</v>
      </c>
      <c r="AN85" s="30">
        <v>0</v>
      </c>
      <c r="AO85" s="38">
        <f>NPV('Cost Assumptions'!$B$3,'Baseline System Analysis'!C12:AD12)</f>
        <v>146.79257165540955</v>
      </c>
    </row>
    <row r="86" spans="36:41" x14ac:dyDescent="0.35">
      <c r="AJ86" s="16" t="s">
        <v>30</v>
      </c>
      <c r="AK86" s="45" t="s">
        <v>31</v>
      </c>
      <c r="AL86" s="122">
        <v>6</v>
      </c>
      <c r="AM86" s="47" t="str">
        <f t="shared" si="30"/>
        <v>N-1 EENS 6</v>
      </c>
      <c r="AN86" s="30">
        <f t="shared" ref="AN86:AN98" si="31">H23</f>
        <v>602.38957360699965</v>
      </c>
      <c r="AO86" s="38">
        <f>NPV('Cost Assumptions'!$B$3,'VS to VN &amp; Distributed BESS VS'!C19:AD19)</f>
        <v>2451.6983717202525</v>
      </c>
    </row>
    <row r="87" spans="36:41" x14ac:dyDescent="0.35">
      <c r="AJ87" s="16" t="s">
        <v>30</v>
      </c>
      <c r="AK87" s="45" t="s">
        <v>32</v>
      </c>
      <c r="AL87" s="122">
        <v>6</v>
      </c>
      <c r="AM87" s="46" t="str">
        <f t="shared" si="30"/>
        <v>N-1 IP 6</v>
      </c>
      <c r="AN87" s="30">
        <f t="shared" si="31"/>
        <v>-33.745713437364884</v>
      </c>
      <c r="AO87" s="38">
        <f>NPV('Cost Assumptions'!$B$3,'VS to VN &amp; Distributed BESS VS'!C20:AD20)</f>
        <v>187.43795817714144</v>
      </c>
    </row>
    <row r="88" spans="36:41" x14ac:dyDescent="0.35">
      <c r="AJ88" s="16" t="s">
        <v>30</v>
      </c>
      <c r="AK88" s="45" t="s">
        <v>33</v>
      </c>
      <c r="AL88" s="122">
        <v>6</v>
      </c>
      <c r="AM88" s="46" t="str">
        <f t="shared" si="30"/>
        <v>N-1 SAIDI 6</v>
      </c>
      <c r="AN88" s="30">
        <f t="shared" si="31"/>
        <v>43.466217741803085</v>
      </c>
      <c r="AO88" s="38">
        <f>NPV('Cost Assumptions'!$B$3,'VS to VN &amp; Distributed BESS VS'!C21:AD21)</f>
        <v>115.9122271679346</v>
      </c>
    </row>
    <row r="89" spans="36:41" x14ac:dyDescent="0.35">
      <c r="AJ89" s="16" t="s">
        <v>30</v>
      </c>
      <c r="AK89" s="45" t="s">
        <v>34</v>
      </c>
      <c r="AL89" s="122">
        <v>6</v>
      </c>
      <c r="AM89" s="46" t="str">
        <f t="shared" si="30"/>
        <v>N-1 SAIFI 6</v>
      </c>
      <c r="AN89" s="30">
        <f t="shared" si="31"/>
        <v>0.3554265943211094</v>
      </c>
      <c r="AO89" s="38">
        <f>NPV('Cost Assumptions'!$B$3,'VS to VN &amp; Distributed BESS VS'!C22:AD22)</f>
        <v>2.26984311459216</v>
      </c>
    </row>
    <row r="90" spans="36:41" x14ac:dyDescent="0.35">
      <c r="AJ90" s="16" t="s">
        <v>30</v>
      </c>
      <c r="AK90" s="45" t="s">
        <v>35</v>
      </c>
      <c r="AL90" s="122">
        <v>6</v>
      </c>
      <c r="AM90" s="46" t="str">
        <f t="shared" si="30"/>
        <v>N-1 PFD 6</v>
      </c>
      <c r="AN90" s="30">
        <f t="shared" si="31"/>
        <v>264.91999958806599</v>
      </c>
      <c r="AO90" s="38">
        <f>NPV('Cost Assumptions'!$B$3,'VS to VN &amp; Distributed BESS VS'!C23:AD23)</f>
        <v>166.2752302097831</v>
      </c>
    </row>
    <row r="91" spans="36:41" x14ac:dyDescent="0.35">
      <c r="AJ91" s="88" t="s">
        <v>30</v>
      </c>
      <c r="AK91" s="1" t="s">
        <v>36</v>
      </c>
      <c r="AL91" s="122">
        <v>6</v>
      </c>
      <c r="AM91" s="46" t="str">
        <f t="shared" si="30"/>
        <v>N-1 Available Flex-1 6</v>
      </c>
      <c r="AN91" s="30">
        <f t="shared" si="31"/>
        <v>55521.604625716871</v>
      </c>
      <c r="AO91" s="38">
        <f>NPV('Cost Assumptions'!$B$3,'VS to VN &amp; Distributed BESS VS'!C24:AD24)</f>
        <v>123698.87118741781</v>
      </c>
    </row>
    <row r="92" spans="36:41" x14ac:dyDescent="0.35">
      <c r="AJ92" s="16" t="s">
        <v>30</v>
      </c>
      <c r="AK92" s="31" t="s">
        <v>37</v>
      </c>
      <c r="AL92" s="122">
        <v>6</v>
      </c>
      <c r="AM92" s="46" t="str">
        <f t="shared" si="30"/>
        <v>N-1 Available Flex-2-1 6</v>
      </c>
      <c r="AN92" s="30">
        <f t="shared" si="31"/>
        <v>0</v>
      </c>
      <c r="AO92" s="38">
        <f>NPV('Cost Assumptions'!$B$3,'VS to VN &amp; Distributed BESS VS'!C25:AD25)</f>
        <v>1898439.2455914682</v>
      </c>
    </row>
    <row r="93" spans="36:41" x14ac:dyDescent="0.35">
      <c r="AJ93" s="16" t="s">
        <v>30</v>
      </c>
      <c r="AK93" s="31" t="s">
        <v>38</v>
      </c>
      <c r="AL93" s="122">
        <v>6</v>
      </c>
      <c r="AM93" s="46" t="str">
        <f t="shared" si="30"/>
        <v>N-1 Available Flex-2-2 6</v>
      </c>
      <c r="AN93" s="30">
        <f t="shared" si="31"/>
        <v>528219.78220107977</v>
      </c>
      <c r="AO93" s="38">
        <f>NPV('Cost Assumptions'!$B$3,'VS to VN &amp; Distributed BESS VS'!C26:AD26)</f>
        <v>258566.5175974445</v>
      </c>
    </row>
    <row r="94" spans="36:41" x14ac:dyDescent="0.35">
      <c r="AJ94" s="16" t="s">
        <v>39</v>
      </c>
      <c r="AK94" s="45" t="s">
        <v>31</v>
      </c>
      <c r="AL94" s="122">
        <v>6</v>
      </c>
      <c r="AM94" s="46" t="str">
        <f t="shared" si="30"/>
        <v>N-0 EENS 6</v>
      </c>
      <c r="AN94" s="30">
        <f t="shared" si="31"/>
        <v>7544.6532650230147</v>
      </c>
      <c r="AO94" s="38">
        <f>NPV('Cost Assumptions'!$B$3,'VS to VN &amp; Distributed BESS VS'!C28:AD28)</f>
        <v>1112.6021327196177</v>
      </c>
    </row>
    <row r="95" spans="36:41" x14ac:dyDescent="0.35">
      <c r="AJ95" s="16" t="s">
        <v>39</v>
      </c>
      <c r="AK95" s="45" t="s">
        <v>32</v>
      </c>
      <c r="AL95" s="122">
        <v>6</v>
      </c>
      <c r="AM95" s="46" t="str">
        <f t="shared" si="30"/>
        <v>N-0 IP 6</v>
      </c>
      <c r="AN95" s="30">
        <f t="shared" si="31"/>
        <v>784.77131950234025</v>
      </c>
      <c r="AO95" s="38">
        <f>NPV('Cost Assumptions'!$B$3,'VS to VN &amp; Distributed BESS VS'!C29:AD29)</f>
        <v>68.281263990443236</v>
      </c>
    </row>
    <row r="96" spans="36:41" x14ac:dyDescent="0.35">
      <c r="AJ96" s="16" t="s">
        <v>39</v>
      </c>
      <c r="AK96" s="45" t="s">
        <v>33</v>
      </c>
      <c r="AL96" s="122">
        <v>6</v>
      </c>
      <c r="AM96" s="46" t="str">
        <f t="shared" si="30"/>
        <v>N-0 SAIDI 6</v>
      </c>
      <c r="AN96" s="30">
        <f t="shared" si="31"/>
        <v>366.29743351294871</v>
      </c>
      <c r="AO96" s="38">
        <f>NPV('Cost Assumptions'!$B$3,'VS to VN &amp; Distributed BESS VS'!C30:AD30)</f>
        <v>37.934308317856733</v>
      </c>
    </row>
    <row r="97" spans="36:41" x14ac:dyDescent="0.35">
      <c r="AJ97" s="16" t="s">
        <v>39</v>
      </c>
      <c r="AK97" s="45" t="s">
        <v>34</v>
      </c>
      <c r="AL97" s="122">
        <v>6</v>
      </c>
      <c r="AM97" s="46" t="str">
        <f t="shared" si="30"/>
        <v>N-0 SAIFI 6</v>
      </c>
      <c r="AN97" s="30">
        <f t="shared" si="31"/>
        <v>8.0533173660107948</v>
      </c>
      <c r="AO97" s="38">
        <f>NPV('Cost Assumptions'!$B$3,'VS to VN &amp; Distributed BESS VS'!C31:AD31)</f>
        <v>1.1606369882953338</v>
      </c>
    </row>
    <row r="98" spans="36:41" x14ac:dyDescent="0.35">
      <c r="AJ98" s="16" t="s">
        <v>39</v>
      </c>
      <c r="AK98" s="45" t="s">
        <v>35</v>
      </c>
      <c r="AL98" s="122">
        <v>6</v>
      </c>
      <c r="AM98" s="46" t="str">
        <f t="shared" si="30"/>
        <v>N-0 PFD 6</v>
      </c>
      <c r="AN98" s="30">
        <f t="shared" si="31"/>
        <v>119.99392539732808</v>
      </c>
      <c r="AO98" s="38">
        <f>NPV('Cost Assumptions'!$B$3,'VS to VN &amp; Distributed BESS VS'!C32:AD32)</f>
        <v>26.798646258081469</v>
      </c>
    </row>
    <row r="99" spans="36:41" x14ac:dyDescent="0.35">
      <c r="AJ99" s="16" t="s">
        <v>30</v>
      </c>
      <c r="AK99" s="45" t="s">
        <v>31</v>
      </c>
      <c r="AL99" s="122">
        <v>7</v>
      </c>
      <c r="AM99" s="46" t="str">
        <f t="shared" ref="AM99:AM111" si="32">CONCATENATE(AJ99," ",AK99," ",AL99)</f>
        <v>N-1 EENS 7</v>
      </c>
      <c r="AN99" s="30">
        <f t="shared" ref="AN99:AN111" si="33">I23</f>
        <v>409.09878472503806</v>
      </c>
      <c r="AO99" s="38">
        <f>NPV('Cost Assumptions'!$B$3,Menifee!C19:AD19)</f>
        <v>2644.9891606022147</v>
      </c>
    </row>
    <row r="100" spans="36:41" x14ac:dyDescent="0.35">
      <c r="AJ100" s="16" t="s">
        <v>30</v>
      </c>
      <c r="AK100" s="45" t="s">
        <v>32</v>
      </c>
      <c r="AL100" s="122">
        <v>7</v>
      </c>
      <c r="AM100" s="46" t="str">
        <f t="shared" si="32"/>
        <v>N-1 IP 7</v>
      </c>
      <c r="AN100" s="30">
        <f t="shared" si="33"/>
        <v>-37.633187099370929</v>
      </c>
      <c r="AO100" s="38">
        <f>NPV('Cost Assumptions'!$B$3,Menifee!C20:AD20)</f>
        <v>191.32543183914748</v>
      </c>
    </row>
    <row r="101" spans="36:41" x14ac:dyDescent="0.35">
      <c r="AJ101" s="16" t="s">
        <v>30</v>
      </c>
      <c r="AK101" s="45" t="s">
        <v>33</v>
      </c>
      <c r="AL101" s="122">
        <v>7</v>
      </c>
      <c r="AM101" s="46" t="str">
        <f t="shared" si="32"/>
        <v>N-1 SAIDI 7</v>
      </c>
      <c r="AN101" s="30">
        <f t="shared" si="33"/>
        <v>13.473803123360129</v>
      </c>
      <c r="AO101" s="38">
        <f>NPV('Cost Assumptions'!$B$3,Menifee!C21:AD21)</f>
        <v>145.90464178637754</v>
      </c>
    </row>
    <row r="102" spans="36:41" x14ac:dyDescent="0.35">
      <c r="AJ102" s="16" t="s">
        <v>30</v>
      </c>
      <c r="AK102" s="45" t="s">
        <v>34</v>
      </c>
      <c r="AL102" s="122">
        <v>7</v>
      </c>
      <c r="AM102" s="46" t="str">
        <f t="shared" si="32"/>
        <v>N-1 SAIFI 7</v>
      </c>
      <c r="AN102" s="30">
        <f t="shared" si="33"/>
        <v>-0.16638800514405044</v>
      </c>
      <c r="AO102" s="38">
        <f>NPV('Cost Assumptions'!$B$3,Menifee!C22:AD22)</f>
        <v>2.7916577140573198</v>
      </c>
    </row>
    <row r="103" spans="36:41" x14ac:dyDescent="0.35">
      <c r="AJ103" s="16" t="s">
        <v>30</v>
      </c>
      <c r="AK103" s="45" t="s">
        <v>35</v>
      </c>
      <c r="AL103" s="122">
        <v>7</v>
      </c>
      <c r="AM103" s="46" t="str">
        <f t="shared" si="32"/>
        <v>N-1 PFD 7</v>
      </c>
      <c r="AN103" s="30">
        <f t="shared" si="33"/>
        <v>267.54850896735439</v>
      </c>
      <c r="AO103" s="38">
        <f>NPV('Cost Assumptions'!$B$3,Menifee!C23:AD23)</f>
        <v>163.64672083049459</v>
      </c>
    </row>
    <row r="104" spans="36:41" x14ac:dyDescent="0.35">
      <c r="AJ104" s="88" t="s">
        <v>30</v>
      </c>
      <c r="AK104" s="1" t="s">
        <v>36</v>
      </c>
      <c r="AL104" s="122">
        <v>7</v>
      </c>
      <c r="AM104" s="46" t="str">
        <f t="shared" si="32"/>
        <v>N-1 Available Flex-1 7</v>
      </c>
      <c r="AN104" s="30">
        <f t="shared" si="33"/>
        <v>54114.179928585007</v>
      </c>
      <c r="AO104" s="38">
        <f>NPV('Cost Assumptions'!$B$3,Menifee!C24:AD24)</f>
        <v>125106.29588454969</v>
      </c>
    </row>
    <row r="105" spans="36:41" x14ac:dyDescent="0.35">
      <c r="AJ105" s="16" t="s">
        <v>30</v>
      </c>
      <c r="AK105" s="31" t="s">
        <v>37</v>
      </c>
      <c r="AL105" s="122">
        <v>7</v>
      </c>
      <c r="AM105" s="46" t="str">
        <f t="shared" si="32"/>
        <v>N-1 Available Flex-2-1 7</v>
      </c>
      <c r="AN105" s="30">
        <f t="shared" si="33"/>
        <v>1139100.4622220432</v>
      </c>
      <c r="AO105" s="38">
        <f>NPV('Cost Assumptions'!$B$3,Menifee!C25:AD25)</f>
        <v>759338.78336942545</v>
      </c>
    </row>
    <row r="106" spans="36:41" x14ac:dyDescent="0.35">
      <c r="AJ106" s="16" t="s">
        <v>30</v>
      </c>
      <c r="AK106" s="31" t="s">
        <v>38</v>
      </c>
      <c r="AL106" s="122">
        <v>7</v>
      </c>
      <c r="AM106" s="46" t="str">
        <f t="shared" si="32"/>
        <v>N-1 Available Flex-2-2 7</v>
      </c>
      <c r="AN106" s="30">
        <f t="shared" si="33"/>
        <v>528219.78220107977</v>
      </c>
      <c r="AO106" s="38">
        <f>NPV('Cost Assumptions'!$B$3,Menifee!C26:AD26)</f>
        <v>258566.5175974445</v>
      </c>
    </row>
    <row r="107" spans="36:41" x14ac:dyDescent="0.35">
      <c r="AJ107" s="16" t="s">
        <v>39</v>
      </c>
      <c r="AK107" s="45" t="s">
        <v>31</v>
      </c>
      <c r="AL107" s="122">
        <v>7</v>
      </c>
      <c r="AM107" s="46" t="str">
        <f t="shared" si="32"/>
        <v>N-0 EENS 7</v>
      </c>
      <c r="AN107" s="30">
        <f t="shared" si="33"/>
        <v>8626.6104282535925</v>
      </c>
      <c r="AO107" s="38">
        <f>NPV('Cost Assumptions'!$B$3,Menifee!C27:AD27)</f>
        <v>30.93482468992605</v>
      </c>
    </row>
    <row r="108" spans="36:41" x14ac:dyDescent="0.35">
      <c r="AJ108" s="16" t="s">
        <v>39</v>
      </c>
      <c r="AK108" s="45" t="s">
        <v>32</v>
      </c>
      <c r="AL108" s="122">
        <v>7</v>
      </c>
      <c r="AM108" s="46" t="str">
        <f t="shared" si="32"/>
        <v>N-0 IP 7</v>
      </c>
      <c r="AN108" s="30">
        <f t="shared" si="33"/>
        <v>841.79951763744918</v>
      </c>
      <c r="AO108" s="38">
        <f>NPV('Cost Assumptions'!$B$3,Menifee!C28:AD28)</f>
        <v>11.253065855334382</v>
      </c>
    </row>
    <row r="109" spans="36:41" x14ac:dyDescent="0.35">
      <c r="AJ109" s="16" t="s">
        <v>39</v>
      </c>
      <c r="AK109" s="45" t="s">
        <v>33</v>
      </c>
      <c r="AL109" s="122">
        <v>7</v>
      </c>
      <c r="AM109" s="46" t="str">
        <f t="shared" si="32"/>
        <v>N-0 SAIDI 7</v>
      </c>
      <c r="AN109" s="30">
        <f t="shared" si="33"/>
        <v>403.96782884224416</v>
      </c>
      <c r="AO109" s="38">
        <f>NPV('Cost Assumptions'!$B$3,Menifee!C29:AD29)</f>
        <v>0.26391298856129924</v>
      </c>
    </row>
    <row r="110" spans="36:41" x14ac:dyDescent="0.35">
      <c r="AJ110" s="16" t="s">
        <v>39</v>
      </c>
      <c r="AK110" s="45" t="s">
        <v>34</v>
      </c>
      <c r="AL110" s="122">
        <v>7</v>
      </c>
      <c r="AM110" s="46" t="str">
        <f t="shared" si="32"/>
        <v>N-0 SAIFI 7</v>
      </c>
      <c r="AN110" s="30">
        <f t="shared" si="33"/>
        <v>9.1798112629934874</v>
      </c>
      <c r="AO110" s="38">
        <f>NPV('Cost Assumptions'!$B$3,Menifee!C30:AD30)</f>
        <v>3.4143091312638513E-2</v>
      </c>
    </row>
    <row r="111" spans="36:41" x14ac:dyDescent="0.35">
      <c r="AJ111" s="16" t="s">
        <v>39</v>
      </c>
      <c r="AK111" s="45" t="s">
        <v>35</v>
      </c>
      <c r="AL111" s="122">
        <v>7</v>
      </c>
      <c r="AM111" s="46" t="str">
        <f t="shared" si="32"/>
        <v>N-0 PFD 7</v>
      </c>
      <c r="AN111" s="30">
        <f t="shared" si="33"/>
        <v>145.41886624128534</v>
      </c>
      <c r="AO111" s="38">
        <f>NPV('Cost Assumptions'!$B$3,Menifee!C31:AD31)</f>
        <v>1.3737054141241773</v>
      </c>
    </row>
    <row r="112" spans="36:41" x14ac:dyDescent="0.35">
      <c r="AJ112" s="16" t="s">
        <v>30</v>
      </c>
      <c r="AK112" s="45" t="s">
        <v>31</v>
      </c>
      <c r="AL112" s="122">
        <v>8</v>
      </c>
      <c r="AM112" s="46" t="str">
        <f t="shared" ref="AM112:AM124" si="34">CONCATENATE(AJ112," ",AK112," ",AL112)</f>
        <v>N-1 EENS 8</v>
      </c>
      <c r="AN112" s="30">
        <f t="shared" ref="AN112:AN124" si="35">J23</f>
        <v>1152.6507811310296</v>
      </c>
      <c r="AO112" s="38">
        <f>NPV('Cost Assumptions'!$B$3,'Mira Loma'!C19:AD19)</f>
        <v>1901.4371641962227</v>
      </c>
    </row>
    <row r="113" spans="36:41" x14ac:dyDescent="0.35">
      <c r="AJ113" s="16" t="s">
        <v>30</v>
      </c>
      <c r="AK113" s="45" t="s">
        <v>32</v>
      </c>
      <c r="AL113" s="122">
        <v>8</v>
      </c>
      <c r="AM113" s="46" t="str">
        <f t="shared" si="34"/>
        <v>N-1 IP 8</v>
      </c>
      <c r="AN113" s="30">
        <f t="shared" si="35"/>
        <v>30.108122137949504</v>
      </c>
      <c r="AO113" s="38">
        <f>NPV('Cost Assumptions'!$B$3,'Mira Loma'!C20:AD20)</f>
        <v>123.58412260182706</v>
      </c>
    </row>
    <row r="114" spans="36:41" x14ac:dyDescent="0.35">
      <c r="AJ114" s="16" t="s">
        <v>30</v>
      </c>
      <c r="AK114" s="45" t="s">
        <v>33</v>
      </c>
      <c r="AL114" s="122">
        <v>8</v>
      </c>
      <c r="AM114" s="46" t="str">
        <f t="shared" si="34"/>
        <v>N-1 SAIDI 8</v>
      </c>
      <c r="AN114" s="30">
        <f t="shared" si="35"/>
        <v>89.179662392465147</v>
      </c>
      <c r="AO114" s="38">
        <f>NPV('Cost Assumptions'!$B$3,'Mira Loma'!C21:AD21)</f>
        <v>70.198782517272505</v>
      </c>
    </row>
    <row r="115" spans="36:41" x14ac:dyDescent="0.35">
      <c r="AJ115" s="16" t="s">
        <v>30</v>
      </c>
      <c r="AK115" s="45" t="s">
        <v>34</v>
      </c>
      <c r="AL115" s="122">
        <v>8</v>
      </c>
      <c r="AM115" s="46" t="str">
        <f t="shared" si="34"/>
        <v>N-1 SAIFI 8</v>
      </c>
      <c r="AN115" s="30">
        <f t="shared" si="35"/>
        <v>0.74193263189027736</v>
      </c>
      <c r="AO115" s="38">
        <f>NPV('Cost Assumptions'!$B$3,'Mira Loma'!C22:AD22)</f>
        <v>1.8833370770229922</v>
      </c>
    </row>
    <row r="116" spans="36:41" x14ac:dyDescent="0.35">
      <c r="AJ116" s="16" t="s">
        <v>30</v>
      </c>
      <c r="AK116" s="45" t="s">
        <v>35</v>
      </c>
      <c r="AL116" s="122">
        <v>8</v>
      </c>
      <c r="AM116" s="46" t="str">
        <f t="shared" si="34"/>
        <v>N-1 PFD 8</v>
      </c>
      <c r="AN116" s="30">
        <f t="shared" si="35"/>
        <v>325.89400618303426</v>
      </c>
      <c r="AO116" s="38">
        <f>NPV('Cost Assumptions'!$B$3,'Mira Loma'!C23:AD23)</f>
        <v>105.30122361481476</v>
      </c>
    </row>
    <row r="117" spans="36:41" x14ac:dyDescent="0.35">
      <c r="AJ117" s="88" t="s">
        <v>30</v>
      </c>
      <c r="AK117" s="1" t="s">
        <v>36</v>
      </c>
      <c r="AL117" s="122">
        <v>8</v>
      </c>
      <c r="AM117" s="46" t="str">
        <f t="shared" si="34"/>
        <v>N-1 Available Flex-1 8</v>
      </c>
      <c r="AN117" s="30">
        <f t="shared" si="35"/>
        <v>107491.56446464331</v>
      </c>
      <c r="AO117" s="38">
        <f>NPV('Cost Assumptions'!$B$3,'Mira Loma'!C24:AD24)</f>
        <v>71728.911348491354</v>
      </c>
    </row>
    <row r="118" spans="36:41" x14ac:dyDescent="0.35">
      <c r="AJ118" s="16" t="s">
        <v>30</v>
      </c>
      <c r="AK118" s="31" t="s">
        <v>37</v>
      </c>
      <c r="AL118" s="122">
        <v>8</v>
      </c>
      <c r="AM118" s="46" t="str">
        <f t="shared" si="34"/>
        <v>N-1 Available Flex-2-1 8</v>
      </c>
      <c r="AN118" s="30">
        <f t="shared" si="35"/>
        <v>502763.63150252239</v>
      </c>
      <c r="AO118" s="38">
        <f>NPV('Cost Assumptions'!$B$3,'Mira Loma'!C25:AD25)</f>
        <v>1395675.614088946</v>
      </c>
    </row>
    <row r="119" spans="36:41" x14ac:dyDescent="0.35">
      <c r="AJ119" s="16" t="s">
        <v>30</v>
      </c>
      <c r="AK119" s="31" t="s">
        <v>38</v>
      </c>
      <c r="AL119" s="122">
        <v>8</v>
      </c>
      <c r="AM119" s="46" t="str">
        <f t="shared" si="34"/>
        <v>N-1 Available Flex-2-2 8</v>
      </c>
      <c r="AN119" s="30">
        <f t="shared" si="35"/>
        <v>496777.86753826664</v>
      </c>
      <c r="AO119" s="38">
        <f>NPV('Cost Assumptions'!$B$3,'Mira Loma'!C26:AD26)</f>
        <v>290008.43226025783</v>
      </c>
    </row>
    <row r="120" spans="36:41" x14ac:dyDescent="0.35">
      <c r="AJ120" s="16" t="s">
        <v>39</v>
      </c>
      <c r="AK120" s="45" t="s">
        <v>31</v>
      </c>
      <c r="AL120" s="122">
        <v>8</v>
      </c>
      <c r="AM120" s="46" t="str">
        <f t="shared" si="34"/>
        <v>N-0 EENS 8</v>
      </c>
      <c r="AN120" s="30">
        <f t="shared" si="35"/>
        <v>6756.1080887472981</v>
      </c>
      <c r="AO120" s="38">
        <f>NPV('Cost Assumptions'!$B$3,'Mira Loma'!C27:AD27)</f>
        <v>1408.4347019352776</v>
      </c>
    </row>
    <row r="121" spans="36:41" x14ac:dyDescent="0.35">
      <c r="AJ121" s="16" t="s">
        <v>39</v>
      </c>
      <c r="AK121" s="45" t="s">
        <v>32</v>
      </c>
      <c r="AL121" s="122">
        <v>8</v>
      </c>
      <c r="AM121" s="46" t="str">
        <f t="shared" si="34"/>
        <v>N-0 IP 8</v>
      </c>
      <c r="AN121" s="30">
        <f t="shared" si="35"/>
        <v>596.69828441680932</v>
      </c>
      <c r="AO121" s="38">
        <f>NPV('Cost Assumptions'!$B$3,'Mira Loma'!C28:AD28)</f>
        <v>256.3542990759741</v>
      </c>
    </row>
    <row r="122" spans="36:41" x14ac:dyDescent="0.35">
      <c r="AJ122" s="16" t="s">
        <v>39</v>
      </c>
      <c r="AK122" s="45" t="s">
        <v>33</v>
      </c>
      <c r="AL122" s="122">
        <v>8</v>
      </c>
      <c r="AM122" s="46" t="str">
        <f t="shared" si="34"/>
        <v>N-0 SAIDI 8</v>
      </c>
      <c r="AN122" s="30">
        <f t="shared" si="35"/>
        <v>374.98731403574095</v>
      </c>
      <c r="AO122" s="38">
        <f>NPV('Cost Assumptions'!$B$3,'Mira Loma'!C29:AD29)</f>
        <v>29.244427795064468</v>
      </c>
    </row>
    <row r="123" spans="36:41" x14ac:dyDescent="0.35">
      <c r="AJ123" s="16" t="s">
        <v>39</v>
      </c>
      <c r="AK123" s="45" t="s">
        <v>34</v>
      </c>
      <c r="AL123" s="122">
        <v>8</v>
      </c>
      <c r="AM123" s="46" t="str">
        <f t="shared" si="34"/>
        <v>N-0 SAIFI 8</v>
      </c>
      <c r="AN123" s="30">
        <f t="shared" si="35"/>
        <v>7.8146508339753131</v>
      </c>
      <c r="AO123" s="38">
        <f>NPV('Cost Assumptions'!$B$3,'Mira Loma'!C30:AD30)</f>
        <v>1.3993035203308135</v>
      </c>
    </row>
    <row r="124" spans="36:41" x14ac:dyDescent="0.35">
      <c r="AJ124" s="16" t="s">
        <v>39</v>
      </c>
      <c r="AK124" s="45" t="s">
        <v>35</v>
      </c>
      <c r="AL124" s="122">
        <v>8</v>
      </c>
      <c r="AM124" s="46" t="str">
        <f t="shared" si="34"/>
        <v>N-0 PFD 8</v>
      </c>
      <c r="AN124" s="30">
        <f t="shared" si="35"/>
        <v>111.0942022573812</v>
      </c>
      <c r="AO124" s="38">
        <f>NPV('Cost Assumptions'!$B$3,'Mira Loma'!C31:AD31)</f>
        <v>35.698369398028355</v>
      </c>
    </row>
    <row r="125" spans="36:41" x14ac:dyDescent="0.35">
      <c r="AJ125" s="16" t="s">
        <v>30</v>
      </c>
      <c r="AK125" s="45" t="s">
        <v>31</v>
      </c>
      <c r="AL125" s="122">
        <v>9</v>
      </c>
      <c r="AM125" s="46" t="str">
        <f t="shared" ref="AM125:AM137" si="36">CONCATENATE(AJ125," ",AK125," ",AL125)</f>
        <v>N-1 EENS 9</v>
      </c>
      <c r="AN125" s="30">
        <f t="shared" ref="AN125:AN137" si="37">K23</f>
        <v>2501.74093117336</v>
      </c>
      <c r="AO125" s="38">
        <f>NPV('Cost Assumptions'!$B$3,'SCE Orange County'!C19:AD19)</f>
        <v>552.3470141538927</v>
      </c>
    </row>
    <row r="126" spans="36:41" x14ac:dyDescent="0.35">
      <c r="AJ126" s="16" t="s">
        <v>30</v>
      </c>
      <c r="AK126" s="45" t="s">
        <v>32</v>
      </c>
      <c r="AL126" s="122">
        <v>9</v>
      </c>
      <c r="AM126" s="46" t="str">
        <f t="shared" si="36"/>
        <v>N-1 IP 9</v>
      </c>
      <c r="AN126" s="30">
        <f t="shared" si="37"/>
        <v>105.06042613946427</v>
      </c>
      <c r="AO126" s="38">
        <f>NPV('Cost Assumptions'!$B$3,'SCE Orange County'!C20:AD20)</f>
        <v>48.631818600312315</v>
      </c>
    </row>
    <row r="127" spans="36:41" x14ac:dyDescent="0.35">
      <c r="AJ127" s="16" t="s">
        <v>30</v>
      </c>
      <c r="AK127" s="45" t="s">
        <v>33</v>
      </c>
      <c r="AL127" s="122">
        <v>9</v>
      </c>
      <c r="AM127" s="46" t="str">
        <f t="shared" si="36"/>
        <v>N-1 SAIDI 9</v>
      </c>
      <c r="AN127" s="30">
        <f t="shared" si="37"/>
        <v>149.36131929429692</v>
      </c>
      <c r="AO127" s="38">
        <f>NPV('Cost Assumptions'!$B$3,'SCE Orange County'!C21:AD21)</f>
        <v>10.017125615440788</v>
      </c>
    </row>
    <row r="128" spans="36:41" x14ac:dyDescent="0.35">
      <c r="AJ128" s="16" t="s">
        <v>30</v>
      </c>
      <c r="AK128" s="45" t="s">
        <v>34</v>
      </c>
      <c r="AL128" s="122">
        <v>9</v>
      </c>
      <c r="AM128" s="46" t="str">
        <f t="shared" si="36"/>
        <v>N-1 SAIFI 9</v>
      </c>
      <c r="AN128" s="30">
        <f t="shared" si="37"/>
        <v>1.9809430105174144</v>
      </c>
      <c r="AO128" s="38">
        <f>NPV('Cost Assumptions'!$B$3,'SCE Orange County'!C22:AD22)</f>
        <v>0.6443266983958551</v>
      </c>
    </row>
    <row r="129" spans="36:41" x14ac:dyDescent="0.35">
      <c r="AJ129" s="16" t="s">
        <v>30</v>
      </c>
      <c r="AK129" s="45" t="s">
        <v>35</v>
      </c>
      <c r="AL129" s="122">
        <v>9</v>
      </c>
      <c r="AM129" s="46" t="str">
        <f t="shared" si="36"/>
        <v>N-1 PFD 9</v>
      </c>
      <c r="AN129" s="30">
        <f t="shared" si="37"/>
        <v>397.9887782723992</v>
      </c>
      <c r="AO129" s="38">
        <f>NPV('Cost Assumptions'!$B$3,'SCE Orange County'!C23:AD23)</f>
        <v>33.206451525449914</v>
      </c>
    </row>
    <row r="130" spans="36:41" x14ac:dyDescent="0.35">
      <c r="AJ130" s="88" t="s">
        <v>30</v>
      </c>
      <c r="AK130" s="1" t="s">
        <v>36</v>
      </c>
      <c r="AL130" s="122">
        <v>9</v>
      </c>
      <c r="AM130" s="46" t="str">
        <f t="shared" si="36"/>
        <v>N-1 Available Flex-1 9</v>
      </c>
      <c r="AN130" s="30">
        <f t="shared" si="37"/>
        <v>151761.04824744398</v>
      </c>
      <c r="AO130" s="38">
        <f>NPV('Cost Assumptions'!$B$3,'SCE Orange County'!C24:AD24)</f>
        <v>27459.42756569065</v>
      </c>
    </row>
    <row r="131" spans="36:41" x14ac:dyDescent="0.35">
      <c r="AJ131" s="16" t="s">
        <v>30</v>
      </c>
      <c r="AK131" s="31" t="s">
        <v>37</v>
      </c>
      <c r="AL131" s="122">
        <v>9</v>
      </c>
      <c r="AM131" s="46" t="str">
        <f t="shared" si="36"/>
        <v>N-1 Available Flex-2-1 9</v>
      </c>
      <c r="AN131" s="30">
        <f t="shared" si="37"/>
        <v>1304466.2241804211</v>
      </c>
      <c r="AO131" s="38">
        <f>NPV('Cost Assumptions'!$B$3,'SCE Orange County'!C25:AD25)</f>
        <v>593973.02141104708</v>
      </c>
    </row>
    <row r="132" spans="36:41" x14ac:dyDescent="0.35">
      <c r="AJ132" s="16" t="s">
        <v>30</v>
      </c>
      <c r="AK132" s="31" t="s">
        <v>38</v>
      </c>
      <c r="AL132" s="122">
        <v>9</v>
      </c>
      <c r="AM132" s="46" t="str">
        <f t="shared" si="36"/>
        <v>N-1 Available Flex-2-2 9</v>
      </c>
      <c r="AN132" s="30">
        <f t="shared" si="37"/>
        <v>616637.40455033118</v>
      </c>
      <c r="AO132" s="38">
        <f>NPV('Cost Assumptions'!$B$3,'SCE Orange County'!C26:AD26)</f>
        <v>170148.89524819326</v>
      </c>
    </row>
    <row r="133" spans="36:41" x14ac:dyDescent="0.35">
      <c r="AJ133" s="16" t="s">
        <v>39</v>
      </c>
      <c r="AK133" s="45" t="s">
        <v>31</v>
      </c>
      <c r="AL133" s="122">
        <v>9</v>
      </c>
      <c r="AM133" s="46" t="str">
        <f t="shared" si="36"/>
        <v>N-0 EENS 9</v>
      </c>
      <c r="AN133" s="30">
        <f t="shared" si="37"/>
        <v>8557.6474018575409</v>
      </c>
      <c r="AO133" s="38">
        <f>NPV('Cost Assumptions'!$B$3,'SCE Orange County'!C27:AD27)</f>
        <v>99.897851085977976</v>
      </c>
    </row>
    <row r="134" spans="36:41" x14ac:dyDescent="0.35">
      <c r="AJ134" s="16" t="s">
        <v>39</v>
      </c>
      <c r="AK134" s="45" t="s">
        <v>32</v>
      </c>
      <c r="AL134" s="122">
        <v>9</v>
      </c>
      <c r="AM134" s="46" t="str">
        <f t="shared" si="36"/>
        <v>N-0 IP 9</v>
      </c>
      <c r="AN134" s="30">
        <f t="shared" si="37"/>
        <v>819.46625732476843</v>
      </c>
      <c r="AO134" s="38">
        <f>NPV('Cost Assumptions'!$B$3,'SCE Orange County'!C28:AD28)</f>
        <v>33.586326168014971</v>
      </c>
    </row>
    <row r="135" spans="36:41" x14ac:dyDescent="0.35">
      <c r="AJ135" s="16" t="s">
        <v>39</v>
      </c>
      <c r="AK135" s="45" t="s">
        <v>33</v>
      </c>
      <c r="AL135" s="122">
        <v>9</v>
      </c>
      <c r="AM135" s="46" t="str">
        <f t="shared" si="36"/>
        <v>N-0 SAIDI 9</v>
      </c>
      <c r="AN135" s="30">
        <f t="shared" si="37"/>
        <v>402.94576019915144</v>
      </c>
      <c r="AO135" s="38">
        <f>NPV('Cost Assumptions'!$B$3,'SCE Orange County'!C29:AD29)</f>
        <v>1.2859816316539678</v>
      </c>
    </row>
    <row r="136" spans="36:41" x14ac:dyDescent="0.35">
      <c r="AJ136" s="16" t="s">
        <v>39</v>
      </c>
      <c r="AK136" s="45" t="s">
        <v>34</v>
      </c>
      <c r="AL136" s="122">
        <v>9</v>
      </c>
      <c r="AM136" s="46" t="str">
        <f t="shared" si="36"/>
        <v>N-0 SAIFI 9</v>
      </c>
      <c r="AN136" s="30">
        <f t="shared" si="37"/>
        <v>9.103510893662877</v>
      </c>
      <c r="AO136" s="38">
        <f>NPV('Cost Assumptions'!$B$3,'SCE Orange County'!C30:AD30)</f>
        <v>0.11044346064324835</v>
      </c>
    </row>
    <row r="137" spans="36:41" x14ac:dyDescent="0.35">
      <c r="AJ137" s="16" t="s">
        <v>39</v>
      </c>
      <c r="AK137" s="45" t="s">
        <v>35</v>
      </c>
      <c r="AL137" s="122">
        <v>9</v>
      </c>
      <c r="AM137" s="46" t="str">
        <f t="shared" si="36"/>
        <v>N-0 PFD 9</v>
      </c>
      <c r="AN137" s="30">
        <f t="shared" si="37"/>
        <v>142.78709268700183</v>
      </c>
      <c r="AO137" s="38">
        <f>NPV('Cost Assumptions'!$B$3,'SCE Orange County'!C31:AD31)</f>
        <v>4.0054789684076857</v>
      </c>
    </row>
    <row r="138" spans="36:41" x14ac:dyDescent="0.35">
      <c r="AJ138" s="16" t="s">
        <v>30</v>
      </c>
      <c r="AK138" s="45" t="s">
        <v>31</v>
      </c>
      <c r="AL138" s="122">
        <v>10</v>
      </c>
      <c r="AM138" s="46" t="str">
        <f t="shared" ref="AM138:AM150" si="38">CONCATENATE(AJ138," ",AK138," ",AL138)</f>
        <v>N-1 EENS 10</v>
      </c>
      <c r="AN138" s="30">
        <f t="shared" ref="AN138:AN150" si="39">L23</f>
        <v>673.16156827418615</v>
      </c>
      <c r="AO138" s="38">
        <f>NPV('Cost Assumptions'!$B$3,'VS to VN &amp; Central BESS VS VN '!C19:AD19)</f>
        <v>2380.9263770530661</v>
      </c>
    </row>
    <row r="139" spans="36:41" x14ac:dyDescent="0.35">
      <c r="AJ139" s="16" t="s">
        <v>30</v>
      </c>
      <c r="AK139" s="45" t="s">
        <v>32</v>
      </c>
      <c r="AL139" s="122">
        <v>10</v>
      </c>
      <c r="AM139" s="46" t="str">
        <f t="shared" si="38"/>
        <v>N-1 IP 10</v>
      </c>
      <c r="AN139" s="30">
        <f t="shared" si="39"/>
        <v>-30.522975022622681</v>
      </c>
      <c r="AO139" s="38">
        <f>NPV('Cost Assumptions'!$B$3,'VS to VN &amp; Central BESS VS VN '!C20:AD20)</f>
        <v>184.21521976239924</v>
      </c>
    </row>
    <row r="140" spans="36:41" x14ac:dyDescent="0.35">
      <c r="AJ140" s="16" t="s">
        <v>30</v>
      </c>
      <c r="AK140" s="45" t="s">
        <v>33</v>
      </c>
      <c r="AL140" s="122">
        <v>10</v>
      </c>
      <c r="AM140" s="46" t="str">
        <f t="shared" si="38"/>
        <v>N-1 SAIDI 10</v>
      </c>
      <c r="AN140" s="30">
        <f t="shared" si="39"/>
        <v>52.609350081803619</v>
      </c>
      <c r="AO140" s="38">
        <f>NPV('Cost Assumptions'!$B$3,'VS to VN &amp; Central BESS VS VN '!C21:AD21)</f>
        <v>106.76909482793407</v>
      </c>
    </row>
    <row r="141" spans="36:41" x14ac:dyDescent="0.35">
      <c r="AJ141" s="16" t="s">
        <v>30</v>
      </c>
      <c r="AK141" s="45" t="s">
        <v>34</v>
      </c>
      <c r="AL141" s="122">
        <v>10</v>
      </c>
      <c r="AM141" s="46" t="str">
        <f t="shared" si="38"/>
        <v>N-1 SAIFI 10</v>
      </c>
      <c r="AN141" s="30">
        <f t="shared" si="39"/>
        <v>0.42183026101000315</v>
      </c>
      <c r="AO141" s="38">
        <f>NPV('Cost Assumptions'!$B$3,'VS to VN &amp; Central BESS VS VN '!C22:AD22)</f>
        <v>2.2034394479032664</v>
      </c>
    </row>
    <row r="142" spans="36:41" x14ac:dyDescent="0.35">
      <c r="AJ142" s="16" t="s">
        <v>30</v>
      </c>
      <c r="AK142" s="45" t="s">
        <v>35</v>
      </c>
      <c r="AL142" s="122">
        <v>10</v>
      </c>
      <c r="AM142" s="46" t="str">
        <f t="shared" si="38"/>
        <v>N-1 PFD 10</v>
      </c>
      <c r="AN142" s="30">
        <f t="shared" si="39"/>
        <v>270.87690837466926</v>
      </c>
      <c r="AO142" s="38">
        <f>NPV('Cost Assumptions'!$B$3,'VS to VN &amp; Central BESS VS VN '!C23:AD23)</f>
        <v>160.31832142317984</v>
      </c>
    </row>
    <row r="143" spans="36:41" x14ac:dyDescent="0.35">
      <c r="AJ143" s="88" t="s">
        <v>30</v>
      </c>
      <c r="AK143" s="1" t="s">
        <v>36</v>
      </c>
      <c r="AL143" s="122">
        <v>10</v>
      </c>
      <c r="AM143" s="46" t="str">
        <f t="shared" si="38"/>
        <v>N-1 Available Flex-1 10</v>
      </c>
      <c r="AN143" s="30">
        <f t="shared" si="39"/>
        <v>57953.567729287279</v>
      </c>
      <c r="AO143" s="38">
        <f>NPV('Cost Assumptions'!$B$3,'VS to VN &amp; Central BESS VS VN '!C24:AD24)</f>
        <v>121266.90808384742</v>
      </c>
    </row>
    <row r="144" spans="36:41" x14ac:dyDescent="0.35">
      <c r="AJ144" s="16" t="s">
        <v>30</v>
      </c>
      <c r="AK144" s="31" t="s">
        <v>37</v>
      </c>
      <c r="AL144" s="122">
        <v>10</v>
      </c>
      <c r="AM144" s="46" t="str">
        <f t="shared" si="38"/>
        <v>N-1 Available Flex-2-1 10</v>
      </c>
      <c r="AN144" s="30">
        <f t="shared" si="39"/>
        <v>0</v>
      </c>
      <c r="AO144" s="38">
        <f>NPV('Cost Assumptions'!$B$3,'VS to VN &amp; Central BESS VS VN '!C25:AD25)</f>
        <v>1898439.2455914682</v>
      </c>
    </row>
    <row r="145" spans="36:41" x14ac:dyDescent="0.35">
      <c r="AJ145" s="16" t="s">
        <v>30</v>
      </c>
      <c r="AK145" s="31" t="s">
        <v>38</v>
      </c>
      <c r="AL145" s="122">
        <v>10</v>
      </c>
      <c r="AM145" s="46" t="str">
        <f t="shared" si="38"/>
        <v>N-1 Available Flex-2-2 10</v>
      </c>
      <c r="AN145" s="30">
        <f t="shared" si="39"/>
        <v>528242.25788535213</v>
      </c>
      <c r="AO145" s="38">
        <f>NPV('Cost Assumptions'!$B$3,'VS to VN &amp; Central BESS VS VN '!C26:AD26)</f>
        <v>258544.04191317235</v>
      </c>
    </row>
    <row r="146" spans="36:41" x14ac:dyDescent="0.35">
      <c r="AJ146" s="16" t="s">
        <v>39</v>
      </c>
      <c r="AK146" s="45" t="s">
        <v>31</v>
      </c>
      <c r="AL146" s="122">
        <v>10</v>
      </c>
      <c r="AM146" s="46" t="str">
        <f t="shared" si="38"/>
        <v>N-0 EENS 10</v>
      </c>
      <c r="AN146" s="30">
        <f t="shared" si="39"/>
        <v>8657.5452529435206</v>
      </c>
      <c r="AO146" s="38">
        <f>NPV('Cost Assumptions'!$B$3,'VS to VN &amp; Central BESS VS VN '!C28:AD28)</f>
        <v>0</v>
      </c>
    </row>
    <row r="147" spans="36:41" x14ac:dyDescent="0.35">
      <c r="AJ147" s="16" t="s">
        <v>39</v>
      </c>
      <c r="AK147" s="45" t="s">
        <v>32</v>
      </c>
      <c r="AL147" s="122">
        <v>10</v>
      </c>
      <c r="AM147" s="46" t="str">
        <f t="shared" si="38"/>
        <v>N-0 IP 10</v>
      </c>
      <c r="AN147" s="30">
        <f t="shared" si="39"/>
        <v>853.05258349278347</v>
      </c>
      <c r="AO147" s="38">
        <f>NPV('Cost Assumptions'!$B$3,'VS to VN &amp; Central BESS VS VN '!C29:AD29)</f>
        <v>0</v>
      </c>
    </row>
    <row r="148" spans="36:41" x14ac:dyDescent="0.35">
      <c r="AJ148" s="16" t="s">
        <v>39</v>
      </c>
      <c r="AK148" s="45" t="s">
        <v>33</v>
      </c>
      <c r="AL148" s="122">
        <v>10</v>
      </c>
      <c r="AM148" s="46" t="str">
        <f t="shared" si="38"/>
        <v>N-0 SAIDI 10</v>
      </c>
      <c r="AN148" s="30">
        <f t="shared" si="39"/>
        <v>404.2317418308055</v>
      </c>
      <c r="AO148" s="38">
        <f>NPV('Cost Assumptions'!$B$3,'VS to VN &amp; Central BESS VS VN '!C30:AD30)</f>
        <v>0</v>
      </c>
    </row>
    <row r="149" spans="36:41" x14ac:dyDescent="0.35">
      <c r="AJ149" s="16" t="s">
        <v>39</v>
      </c>
      <c r="AK149" s="45" t="s">
        <v>34</v>
      </c>
      <c r="AL149" s="122">
        <v>10</v>
      </c>
      <c r="AM149" s="46" t="str">
        <f t="shared" si="38"/>
        <v>N-0 SAIFI 10</v>
      </c>
      <c r="AN149" s="30">
        <f t="shared" si="39"/>
        <v>9.2139543543061269</v>
      </c>
      <c r="AO149" s="38">
        <f>NPV('Cost Assumptions'!$B$3,'VS to VN &amp; Central BESS VS VN '!C31:AD31)</f>
        <v>0</v>
      </c>
    </row>
    <row r="150" spans="36:41" x14ac:dyDescent="0.35">
      <c r="AJ150" s="16" t="s">
        <v>39</v>
      </c>
      <c r="AK150" s="45" t="s">
        <v>35</v>
      </c>
      <c r="AL150" s="122">
        <v>10</v>
      </c>
      <c r="AM150" s="46" t="str">
        <f t="shared" si="38"/>
        <v>N-0 PFD 10</v>
      </c>
      <c r="AN150" s="30">
        <f t="shared" si="39"/>
        <v>146.79257165540955</v>
      </c>
      <c r="AO150" s="38">
        <f>NPV('Cost Assumptions'!$B$3,'VS to VN &amp; Central BESS VS VN '!C32:AD32)</f>
        <v>0</v>
      </c>
    </row>
    <row r="151" spans="36:41" x14ac:dyDescent="0.35">
      <c r="AJ151" s="16" t="s">
        <v>30</v>
      </c>
      <c r="AK151" s="45" t="s">
        <v>31</v>
      </c>
      <c r="AL151" s="122">
        <v>11</v>
      </c>
      <c r="AM151" s="46" t="str">
        <f t="shared" ref="AM151:AM163" si="40">CONCATENATE(AJ151," ",AK151," ",AL151)</f>
        <v>N-1 EENS 11</v>
      </c>
      <c r="AN151" s="30">
        <f t="shared" ref="AN151:AN163" si="41">M23</f>
        <v>673.16156827418615</v>
      </c>
      <c r="AO151" s="38">
        <f>NPV('Cost Assumptions'!$B$3,'VS to VN to VST &amp; Cen BESS VS'!C19:AD19)</f>
        <v>2380.9263770530661</v>
      </c>
    </row>
    <row r="152" spans="36:41" x14ac:dyDescent="0.35">
      <c r="AJ152" s="16" t="s">
        <v>30</v>
      </c>
      <c r="AK152" s="45" t="s">
        <v>32</v>
      </c>
      <c r="AL152" s="122">
        <v>11</v>
      </c>
      <c r="AM152" s="46" t="str">
        <f t="shared" si="40"/>
        <v>N-1 IP 11</v>
      </c>
      <c r="AN152" s="30">
        <f t="shared" si="41"/>
        <v>-30.522975022622681</v>
      </c>
      <c r="AO152" s="38">
        <f>NPV('Cost Assumptions'!$B$3,'VS to VN to VST &amp; Cen BESS VS'!C20:AD20)</f>
        <v>184.21521976239924</v>
      </c>
    </row>
    <row r="153" spans="36:41" x14ac:dyDescent="0.35">
      <c r="AJ153" s="16" t="s">
        <v>30</v>
      </c>
      <c r="AK153" s="45" t="s">
        <v>33</v>
      </c>
      <c r="AL153" s="122">
        <v>11</v>
      </c>
      <c r="AM153" s="46" t="str">
        <f t="shared" si="40"/>
        <v>N-1 SAIDI 11</v>
      </c>
      <c r="AN153" s="30">
        <f t="shared" si="41"/>
        <v>52.609350081803619</v>
      </c>
      <c r="AO153" s="38">
        <f>NPV('Cost Assumptions'!$B$3,'VS to VN to VST &amp; Cen BESS VS'!C21:AD21)</f>
        <v>106.76909482793407</v>
      </c>
    </row>
    <row r="154" spans="36:41" x14ac:dyDescent="0.35">
      <c r="AJ154" s="16" t="s">
        <v>30</v>
      </c>
      <c r="AK154" s="45" t="s">
        <v>34</v>
      </c>
      <c r="AL154" s="122">
        <v>11</v>
      </c>
      <c r="AM154" s="46" t="str">
        <f t="shared" si="40"/>
        <v>N-1 SAIFI 11</v>
      </c>
      <c r="AN154" s="30">
        <f t="shared" si="41"/>
        <v>0.42183026101000315</v>
      </c>
      <c r="AO154" s="38">
        <f>NPV('Cost Assumptions'!$B$3,'VS to VN to VST &amp; Cen BESS VS'!C22:AD22)</f>
        <v>2.2034394479032664</v>
      </c>
    </row>
    <row r="155" spans="36:41" x14ac:dyDescent="0.35">
      <c r="AJ155" s="16" t="s">
        <v>30</v>
      </c>
      <c r="AK155" s="45" t="s">
        <v>35</v>
      </c>
      <c r="AL155" s="122">
        <v>11</v>
      </c>
      <c r="AM155" s="46" t="str">
        <f t="shared" si="40"/>
        <v>N-1 PFD 11</v>
      </c>
      <c r="AN155" s="30">
        <f t="shared" si="41"/>
        <v>270.87690837466926</v>
      </c>
      <c r="AO155" s="38">
        <f>NPV('Cost Assumptions'!$B$3,'VS to VN to VST &amp; Cen BESS VS'!C23:AD23)</f>
        <v>160.31832142317984</v>
      </c>
    </row>
    <row r="156" spans="36:41" x14ac:dyDescent="0.35">
      <c r="AJ156" s="88" t="s">
        <v>30</v>
      </c>
      <c r="AK156" s="1" t="s">
        <v>36</v>
      </c>
      <c r="AL156" s="122">
        <v>11</v>
      </c>
      <c r="AM156" s="46" t="str">
        <f t="shared" si="40"/>
        <v>N-1 Available Flex-1 11</v>
      </c>
      <c r="AN156" s="30">
        <f t="shared" si="41"/>
        <v>57953.567729287279</v>
      </c>
      <c r="AO156" s="38">
        <f>NPV('Cost Assumptions'!$B$3,'VS to VN to VST &amp; Cen BESS VS'!C24:AD24)</f>
        <v>121266.90808384742</v>
      </c>
    </row>
    <row r="157" spans="36:41" x14ac:dyDescent="0.35">
      <c r="AJ157" s="16" t="s">
        <v>30</v>
      </c>
      <c r="AK157" s="31" t="s">
        <v>37</v>
      </c>
      <c r="AL157" s="122">
        <v>11</v>
      </c>
      <c r="AM157" s="46" t="str">
        <f t="shared" si="40"/>
        <v>N-1 Available Flex-2-1 11</v>
      </c>
      <c r="AN157" s="30">
        <f t="shared" si="41"/>
        <v>0</v>
      </c>
      <c r="AO157" s="38">
        <f>NPV('Cost Assumptions'!$B$3,'VS to VN to VST &amp; Cen BESS VS'!C25:AD25)</f>
        <v>1898439.2455914682</v>
      </c>
    </row>
    <row r="158" spans="36:41" x14ac:dyDescent="0.35">
      <c r="AJ158" s="16" t="s">
        <v>30</v>
      </c>
      <c r="AK158" s="31" t="s">
        <v>38</v>
      </c>
      <c r="AL158" s="122">
        <v>11</v>
      </c>
      <c r="AM158" s="46" t="str">
        <f t="shared" si="40"/>
        <v>N-1 Available Flex-2-2 11</v>
      </c>
      <c r="AN158" s="30">
        <f t="shared" si="41"/>
        <v>528242.25788535213</v>
      </c>
      <c r="AO158" s="38">
        <f>NPV('Cost Assumptions'!$B$3,'VS to VN to VST &amp; Cen BESS VS'!C26:AD26)</f>
        <v>258544.04191317235</v>
      </c>
    </row>
    <row r="159" spans="36:41" x14ac:dyDescent="0.35">
      <c r="AJ159" s="16" t="s">
        <v>39</v>
      </c>
      <c r="AK159" s="45" t="s">
        <v>31</v>
      </c>
      <c r="AL159" s="122">
        <v>11</v>
      </c>
      <c r="AM159" s="46" t="str">
        <f t="shared" si="40"/>
        <v>N-0 EENS 11</v>
      </c>
      <c r="AN159" s="30">
        <f t="shared" si="41"/>
        <v>8428.6491804225825</v>
      </c>
      <c r="AO159" s="38">
        <f>NPV('Cost Assumptions'!$B$3,'VS to VN to VST &amp; Cen BESS VS'!C28:AD28)</f>
        <v>304.66067252537027</v>
      </c>
    </row>
    <row r="160" spans="36:41" x14ac:dyDescent="0.35">
      <c r="AJ160" s="16" t="s">
        <v>39</v>
      </c>
      <c r="AK160" s="45" t="s">
        <v>32</v>
      </c>
      <c r="AL160" s="122">
        <v>11</v>
      </c>
      <c r="AM160" s="46" t="str">
        <f t="shared" si="40"/>
        <v>N-0 IP 11</v>
      </c>
      <c r="AN160" s="30">
        <f t="shared" si="41"/>
        <v>817.28387237435788</v>
      </c>
      <c r="AO160" s="38">
        <f>NPV('Cost Assumptions'!$B$3,'VS to VN to VST &amp; Cen BESS VS'!C29:AD29)</f>
        <v>35.768711118425649</v>
      </c>
    </row>
    <row r="161" spans="36:41" x14ac:dyDescent="0.35">
      <c r="AJ161" s="16" t="s">
        <v>39</v>
      </c>
      <c r="AK161" s="45" t="s">
        <v>33</v>
      </c>
      <c r="AL161" s="122">
        <v>11</v>
      </c>
      <c r="AM161" s="46" t="str">
        <f t="shared" si="40"/>
        <v>N-0 SAIDI 11</v>
      </c>
      <c r="AN161" s="30">
        <f t="shared" si="41"/>
        <v>404.12083984884094</v>
      </c>
      <c r="AO161" s="38">
        <f>NPV('Cost Assumptions'!$B$3,'VS to VN to VST &amp; Cen BESS VS'!C30:AD30)</f>
        <v>0.11090198196451211</v>
      </c>
    </row>
    <row r="162" spans="36:41" x14ac:dyDescent="0.35">
      <c r="AJ162" s="16" t="s">
        <v>39</v>
      </c>
      <c r="AK162" s="45" t="s">
        <v>34</v>
      </c>
      <c r="AL162" s="122">
        <v>11</v>
      </c>
      <c r="AM162" s="46" t="str">
        <f t="shared" si="40"/>
        <v>N-0 SAIFI 11</v>
      </c>
      <c r="AN162" s="30">
        <f t="shared" si="41"/>
        <v>9.2000393391799342</v>
      </c>
      <c r="AO162" s="38">
        <f>NPV('Cost Assumptions'!$B$3,'VS to VN to VST &amp; Cen BESS VS'!C31:AD31)</f>
        <v>1.3915015126190616E-2</v>
      </c>
    </row>
    <row r="163" spans="36:41" x14ac:dyDescent="0.35">
      <c r="AJ163" s="16" t="s">
        <v>39</v>
      </c>
      <c r="AK163" s="45" t="s">
        <v>35</v>
      </c>
      <c r="AL163" s="122">
        <v>11</v>
      </c>
      <c r="AM163" s="46" t="str">
        <f t="shared" si="40"/>
        <v>N-0 PFD 11</v>
      </c>
      <c r="AN163" s="30">
        <f t="shared" si="41"/>
        <v>139.74932100114651</v>
      </c>
      <c r="AO163" s="38">
        <f>NPV('Cost Assumptions'!$B$3,'VS to VN to VST &amp; Cen BESS VS'!C32:AD32)</f>
        <v>7.043250654263038</v>
      </c>
    </row>
    <row r="164" spans="36:41" x14ac:dyDescent="0.35">
      <c r="AJ164" s="16" t="s">
        <v>30</v>
      </c>
      <c r="AK164" s="45" t="s">
        <v>31</v>
      </c>
      <c r="AL164" s="122">
        <v>12</v>
      </c>
      <c r="AM164" s="46" t="str">
        <f t="shared" ref="AM164:AM189" si="42">CONCATENATE(AJ164," ",AK164," ",AL164)</f>
        <v>N-1 EENS 12</v>
      </c>
      <c r="AN164" s="30">
        <f t="shared" ref="AN164:AN171" si="43">N23</f>
        <v>3054.0879453272519</v>
      </c>
      <c r="AO164" s="38">
        <f>NPV('Cost Assumptions'!$B$3,'SDG&amp;E and Central BESS in VS'!C19:AD19)</f>
        <v>0</v>
      </c>
    </row>
    <row r="165" spans="36:41" x14ac:dyDescent="0.35">
      <c r="AJ165" s="16" t="s">
        <v>30</v>
      </c>
      <c r="AK165" s="45" t="s">
        <v>32</v>
      </c>
      <c r="AL165" s="122">
        <v>12</v>
      </c>
      <c r="AM165" s="46" t="str">
        <f t="shared" si="42"/>
        <v>N-1 IP 12</v>
      </c>
      <c r="AN165" s="30">
        <f t="shared" si="43"/>
        <v>153.69224473977658</v>
      </c>
      <c r="AO165" s="38">
        <f>NPV('Cost Assumptions'!$B$3,'SDG&amp;E and Central BESS in VS'!C20:AD20)</f>
        <v>0</v>
      </c>
    </row>
    <row r="166" spans="36:41" x14ac:dyDescent="0.35">
      <c r="AJ166" s="16" t="s">
        <v>30</v>
      </c>
      <c r="AK166" s="45" t="s">
        <v>33</v>
      </c>
      <c r="AL166" s="122">
        <v>12</v>
      </c>
      <c r="AM166" s="46" t="str">
        <f t="shared" si="42"/>
        <v>N-1 SAIDI 12</v>
      </c>
      <c r="AN166" s="30">
        <f t="shared" si="43"/>
        <v>159.37844490973765</v>
      </c>
      <c r="AO166" s="38">
        <f>NPV('Cost Assumptions'!$B$3,'SDG&amp;E and Central BESS in VS'!C21:AD21)</f>
        <v>0</v>
      </c>
    </row>
    <row r="167" spans="36:41" x14ac:dyDescent="0.35">
      <c r="AJ167" s="16" t="s">
        <v>30</v>
      </c>
      <c r="AK167" s="45" t="s">
        <v>34</v>
      </c>
      <c r="AL167" s="122">
        <v>12</v>
      </c>
      <c r="AM167" s="46" t="str">
        <f t="shared" si="42"/>
        <v>N-1 SAIFI 12</v>
      </c>
      <c r="AN167" s="30">
        <f t="shared" si="43"/>
        <v>2.6252697089132693</v>
      </c>
      <c r="AO167" s="38">
        <f>NPV('Cost Assumptions'!$B$3,'SDG&amp;E and Central BESS in VS'!C22:AD22)</f>
        <v>0</v>
      </c>
    </row>
    <row r="168" spans="36:41" x14ac:dyDescent="0.35">
      <c r="AJ168" s="16" t="s">
        <v>30</v>
      </c>
      <c r="AK168" s="45" t="s">
        <v>35</v>
      </c>
      <c r="AL168" s="122">
        <v>12</v>
      </c>
      <c r="AM168" s="46" t="str">
        <f t="shared" si="42"/>
        <v>N-1 PFD 12</v>
      </c>
      <c r="AN168" s="30">
        <f t="shared" si="43"/>
        <v>431.19522979784904</v>
      </c>
      <c r="AO168" s="38">
        <f>NPV('Cost Assumptions'!$B$3,'SDG&amp;E and Central BESS in VS'!C23:AD23)</f>
        <v>0</v>
      </c>
    </row>
    <row r="169" spans="36:41" x14ac:dyDescent="0.35">
      <c r="AJ169" s="88" t="s">
        <v>30</v>
      </c>
      <c r="AK169" s="1" t="s">
        <v>36</v>
      </c>
      <c r="AL169" s="122">
        <v>12</v>
      </c>
      <c r="AM169" s="46" t="str">
        <f t="shared" si="42"/>
        <v>N-1 Available Flex-1 12</v>
      </c>
      <c r="AN169" s="30">
        <f t="shared" si="43"/>
        <v>128484.68741706209</v>
      </c>
      <c r="AO169" s="38">
        <f>NPV('Cost Assumptions'!$B$3,'SDG&amp;E and Central BESS in VS'!C24:AD24)</f>
        <v>50735.788396072567</v>
      </c>
    </row>
    <row r="170" spans="36:41" x14ac:dyDescent="0.35">
      <c r="AJ170" s="16" t="s">
        <v>30</v>
      </c>
      <c r="AK170" s="31" t="s">
        <v>37</v>
      </c>
      <c r="AL170" s="122">
        <v>12</v>
      </c>
      <c r="AM170" s="46" t="str">
        <f t="shared" si="42"/>
        <v>N-1 Available Flex-2-1 12</v>
      </c>
      <c r="AN170" s="30">
        <f t="shared" si="43"/>
        <v>1279733.522949673</v>
      </c>
      <c r="AO170" s="38">
        <f>NPV('Cost Assumptions'!$B$3,'SDG&amp;E and Central BESS in VS'!C25:AD25)</f>
        <v>618705.72264179506</v>
      </c>
    </row>
    <row r="171" spans="36:41" x14ac:dyDescent="0.35">
      <c r="AJ171" s="16" t="s">
        <v>30</v>
      </c>
      <c r="AK171" s="31" t="s">
        <v>38</v>
      </c>
      <c r="AL171" s="122">
        <v>12</v>
      </c>
      <c r="AM171" s="46" t="str">
        <f t="shared" si="42"/>
        <v>N-1 Available Flex-2-2 12</v>
      </c>
      <c r="AN171" s="30">
        <f t="shared" si="43"/>
        <v>581863.94621484273</v>
      </c>
      <c r="AO171" s="38">
        <f>NPV('Cost Assumptions'!$B$3,'SDG&amp;E and Central BESS in VS'!C26:AD26)</f>
        <v>204922.3535836814</v>
      </c>
    </row>
    <row r="172" spans="36:41" x14ac:dyDescent="0.35">
      <c r="AJ172" s="16" t="s">
        <v>39</v>
      </c>
      <c r="AK172" s="45" t="s">
        <v>31</v>
      </c>
      <c r="AL172" s="122">
        <v>12</v>
      </c>
      <c r="AM172" s="46" t="str">
        <f t="shared" si="42"/>
        <v>N-0 EENS 12</v>
      </c>
      <c r="AN172" s="30">
        <f t="shared" ref="AN172:AN176" si="44">N31</f>
        <v>8657.5452529435206</v>
      </c>
      <c r="AO172" s="38">
        <f>NPV('Cost Assumptions'!$B$3,'SDG&amp;E and Central BESS in VS'!C27:AD27)</f>
        <v>0</v>
      </c>
    </row>
    <row r="173" spans="36:41" x14ac:dyDescent="0.35">
      <c r="AJ173" s="16" t="s">
        <v>39</v>
      </c>
      <c r="AK173" s="45" t="s">
        <v>32</v>
      </c>
      <c r="AL173" s="122">
        <v>12</v>
      </c>
      <c r="AM173" s="46" t="str">
        <f t="shared" si="42"/>
        <v>N-0 IP 12</v>
      </c>
      <c r="AN173" s="30">
        <f t="shared" si="44"/>
        <v>853.05258349278347</v>
      </c>
      <c r="AO173" s="38">
        <f>NPV('Cost Assumptions'!$B$3,'SDG&amp;E and Central BESS in VS'!C28:AD28)</f>
        <v>0</v>
      </c>
    </row>
    <row r="174" spans="36:41" x14ac:dyDescent="0.35">
      <c r="AJ174" s="16" t="s">
        <v>39</v>
      </c>
      <c r="AK174" s="45" t="s">
        <v>33</v>
      </c>
      <c r="AL174" s="122">
        <v>12</v>
      </c>
      <c r="AM174" s="46" t="str">
        <f t="shared" si="42"/>
        <v>N-0 SAIDI 12</v>
      </c>
      <c r="AN174" s="30">
        <f t="shared" si="44"/>
        <v>404.2317418308055</v>
      </c>
      <c r="AO174" s="38">
        <f>NPV('Cost Assumptions'!$B$3,'SDG&amp;E and Central BESS in VS'!C29:AD29)</f>
        <v>0</v>
      </c>
    </row>
    <row r="175" spans="36:41" x14ac:dyDescent="0.35">
      <c r="AJ175" s="16" t="s">
        <v>39</v>
      </c>
      <c r="AK175" s="45" t="s">
        <v>34</v>
      </c>
      <c r="AL175" s="122">
        <v>12</v>
      </c>
      <c r="AM175" s="46" t="str">
        <f t="shared" si="42"/>
        <v>N-0 SAIFI 12</v>
      </c>
      <c r="AN175" s="30">
        <f t="shared" si="44"/>
        <v>9.2139543543061269</v>
      </c>
      <c r="AO175" s="38">
        <f>NPV('Cost Assumptions'!$B$3,'SDG&amp;E and Central BESS in VS'!C30:AD30)</f>
        <v>0</v>
      </c>
    </row>
    <row r="176" spans="36:41" x14ac:dyDescent="0.35">
      <c r="AJ176" s="16" t="s">
        <v>39</v>
      </c>
      <c r="AK176" s="45" t="s">
        <v>35</v>
      </c>
      <c r="AL176" s="122">
        <v>12</v>
      </c>
      <c r="AM176" s="46" t="str">
        <f t="shared" si="42"/>
        <v>N-0 PFD 12</v>
      </c>
      <c r="AN176" s="30">
        <f t="shared" si="44"/>
        <v>146.79257165540955</v>
      </c>
      <c r="AO176" s="38">
        <f>NPV('Cost Assumptions'!$B$3,'SDG&amp;E and Central BESS in VS'!C31:AD31)</f>
        <v>0</v>
      </c>
    </row>
    <row r="177" spans="36:41" x14ac:dyDescent="0.35">
      <c r="AJ177" s="16" t="s">
        <v>30</v>
      </c>
      <c r="AK177" s="45" t="s">
        <v>31</v>
      </c>
      <c r="AL177" s="70">
        <v>13</v>
      </c>
      <c r="AM177" s="71" t="str">
        <f t="shared" si="42"/>
        <v>N-1 EENS 13</v>
      </c>
      <c r="AN177" s="30">
        <f t="shared" ref="AN177:AN184" si="45">O23</f>
        <v>399.52411549923175</v>
      </c>
      <c r="AO177" s="38">
        <f>NPV('Cost Assumptions'!$B$3,'Valley South to Valley North'!C19:AD19)</f>
        <v>2654.563829828021</v>
      </c>
    </row>
    <row r="178" spans="36:41" x14ac:dyDescent="0.35">
      <c r="AJ178" s="16" t="s">
        <v>30</v>
      </c>
      <c r="AK178" s="45" t="s">
        <v>32</v>
      </c>
      <c r="AL178" s="70">
        <v>13</v>
      </c>
      <c r="AM178" s="71" t="str">
        <f t="shared" si="42"/>
        <v>N-1 IP 13</v>
      </c>
      <c r="AN178" s="30">
        <f t="shared" si="45"/>
        <v>-35.07387381283089</v>
      </c>
      <c r="AO178" s="38">
        <f>NPV('Cost Assumptions'!$B$3,'Valley South to Valley North'!C20:AD20)</f>
        <v>188.76611855260748</v>
      </c>
    </row>
    <row r="179" spans="36:41" x14ac:dyDescent="0.35">
      <c r="AJ179" s="16" t="s">
        <v>30</v>
      </c>
      <c r="AK179" s="45" t="s">
        <v>33</v>
      </c>
      <c r="AL179" s="70">
        <v>13</v>
      </c>
      <c r="AM179" s="71" t="str">
        <f t="shared" si="42"/>
        <v>N-1 SAIDI 13</v>
      </c>
      <c r="AN179" s="30">
        <f t="shared" si="45"/>
        <v>14.304616225082567</v>
      </c>
      <c r="AO179" s="38">
        <f>NPV('Cost Assumptions'!$B$3,'Valley South to Valley North'!C21:AD21)</f>
        <v>145.07382868465513</v>
      </c>
    </row>
    <row r="180" spans="36:41" x14ac:dyDescent="0.35">
      <c r="AJ180" s="16" t="s">
        <v>30</v>
      </c>
      <c r="AK180" s="45" t="s">
        <v>34</v>
      </c>
      <c r="AL180" s="70">
        <v>13</v>
      </c>
      <c r="AM180" s="71" t="str">
        <f t="shared" si="42"/>
        <v>N-1 SAIFI 13</v>
      </c>
      <c r="AN180" s="30">
        <f t="shared" si="45"/>
        <v>0.17509021452793863</v>
      </c>
      <c r="AO180" s="38">
        <f>NPV('Cost Assumptions'!$B$3,'Valley South to Valley North'!C22:AD22)</f>
        <v>2.4501794943853308</v>
      </c>
    </row>
    <row r="181" spans="36:41" x14ac:dyDescent="0.35">
      <c r="AJ181" s="16" t="s">
        <v>30</v>
      </c>
      <c r="AK181" s="45" t="s">
        <v>35</v>
      </c>
      <c r="AL181" s="70">
        <v>13</v>
      </c>
      <c r="AM181" s="71" t="str">
        <f t="shared" si="42"/>
        <v>N-1 PFD 13</v>
      </c>
      <c r="AN181" s="30">
        <f t="shared" si="45"/>
        <v>266.95611400997069</v>
      </c>
      <c r="AO181" s="38">
        <f>NPV('Cost Assumptions'!$B$3,'Valley South to Valley North'!C23:AD23)</f>
        <v>164.23911578787838</v>
      </c>
    </row>
    <row r="182" spans="36:41" x14ac:dyDescent="0.35">
      <c r="AJ182" s="88" t="s">
        <v>30</v>
      </c>
      <c r="AK182" s="1" t="s">
        <v>36</v>
      </c>
      <c r="AL182" s="70">
        <v>13</v>
      </c>
      <c r="AM182" s="71" t="str">
        <f t="shared" si="42"/>
        <v>N-1 Available Flex-1 13</v>
      </c>
      <c r="AN182" s="30">
        <f t="shared" si="45"/>
        <v>53918.136094856709</v>
      </c>
      <c r="AO182" s="38">
        <f>NPV('Cost Assumptions'!$B$3,'Valley South to Valley North'!C24:AD24)</f>
        <v>125302.33971827797</v>
      </c>
    </row>
    <row r="183" spans="36:41" x14ac:dyDescent="0.35">
      <c r="AJ183" s="16" t="s">
        <v>30</v>
      </c>
      <c r="AK183" s="31" t="s">
        <v>37</v>
      </c>
      <c r="AL183" s="70">
        <v>13</v>
      </c>
      <c r="AM183" s="71" t="str">
        <f t="shared" si="42"/>
        <v>N-1 Available Flex-2-1 13</v>
      </c>
      <c r="AN183" s="30">
        <f t="shared" si="45"/>
        <v>0</v>
      </c>
      <c r="AO183" s="38">
        <f>NPV('Cost Assumptions'!$B$3,'Valley South to Valley North'!C25:AD25)</f>
        <v>1898439.2455914682</v>
      </c>
    </row>
    <row r="184" spans="36:41" x14ac:dyDescent="0.35">
      <c r="AJ184" s="16" t="s">
        <v>30</v>
      </c>
      <c r="AK184" s="31" t="s">
        <v>38</v>
      </c>
      <c r="AL184" s="70">
        <v>13</v>
      </c>
      <c r="AM184" s="71" t="str">
        <f t="shared" si="42"/>
        <v>N-1 Available Flex-2-2 13</v>
      </c>
      <c r="AN184" s="30">
        <f t="shared" si="45"/>
        <v>528219.78220107977</v>
      </c>
      <c r="AO184" s="38">
        <f>NPV('Cost Assumptions'!$B$3,'Valley South to Valley North'!C26:AD26)</f>
        <v>258566.5175974445</v>
      </c>
    </row>
    <row r="185" spans="36:41" x14ac:dyDescent="0.35">
      <c r="AJ185" s="16" t="s">
        <v>39</v>
      </c>
      <c r="AK185" s="45" t="s">
        <v>31</v>
      </c>
      <c r="AL185" s="70">
        <v>13</v>
      </c>
      <c r="AM185" s="71" t="str">
        <f t="shared" si="42"/>
        <v>N-0 EENS 13</v>
      </c>
      <c r="AN185" s="30">
        <f t="shared" ref="AN185:AN189" si="46">O31</f>
        <v>7513.0403353797101</v>
      </c>
      <c r="AO185" s="38">
        <f>NPV('Cost Assumptions'!$B$3,'Valley South to Valley North'!C28:AD28)</f>
        <v>1112.6021327196177</v>
      </c>
    </row>
    <row r="186" spans="36:41" x14ac:dyDescent="0.35">
      <c r="AJ186" s="16" t="s">
        <v>39</v>
      </c>
      <c r="AK186" s="45" t="s">
        <v>32</v>
      </c>
      <c r="AL186" s="70">
        <v>13</v>
      </c>
      <c r="AM186" s="71" t="str">
        <f t="shared" si="42"/>
        <v>N-0 IP 13</v>
      </c>
      <c r="AN186" s="30">
        <f t="shared" si="46"/>
        <v>766.21308358335477</v>
      </c>
      <c r="AO186" s="38">
        <f>NPV('Cost Assumptions'!$B$3,'Valley South to Valley North'!C29:AD29)</f>
        <v>86.839499909428909</v>
      </c>
    </row>
    <row r="187" spans="36:41" x14ac:dyDescent="0.35">
      <c r="AJ187" s="16" t="s">
        <v>39</v>
      </c>
      <c r="AK187" s="45" t="s">
        <v>33</v>
      </c>
      <c r="AL187" s="70">
        <v>13</v>
      </c>
      <c r="AM187" s="71" t="str">
        <f t="shared" si="42"/>
        <v>N-0 SAIDI 13</v>
      </c>
      <c r="AN187" s="30">
        <f t="shared" si="46"/>
        <v>354.80511539308065</v>
      </c>
      <c r="AO187" s="38">
        <f>NPV('Cost Assumptions'!$B$3,'Valley South to Valley North'!C30:AD30)</f>
        <v>49.426626437724785</v>
      </c>
    </row>
    <row r="188" spans="36:41" x14ac:dyDescent="0.35">
      <c r="AJ188" s="16" t="s">
        <v>39</v>
      </c>
      <c r="AK188" s="45" t="s">
        <v>34</v>
      </c>
      <c r="AL188" s="70">
        <v>13</v>
      </c>
      <c r="AM188" s="71" t="str">
        <f t="shared" si="42"/>
        <v>N-0 SAIFI 13</v>
      </c>
      <c r="AN188" s="30">
        <f t="shared" si="46"/>
        <v>7.9806125039048075</v>
      </c>
      <c r="AO188" s="38">
        <f>NPV('Cost Assumptions'!$B$3,'Valley South to Valley North'!C31:AD31)</f>
        <v>1.2333418504013198</v>
      </c>
    </row>
    <row r="189" spans="36:41" x14ac:dyDescent="0.35">
      <c r="AJ189" s="16" t="s">
        <v>39</v>
      </c>
      <c r="AK189" s="45" t="s">
        <v>35</v>
      </c>
      <c r="AL189" s="70">
        <v>13</v>
      </c>
      <c r="AM189" s="71" t="str">
        <f t="shared" si="42"/>
        <v>N-0 PFD 13</v>
      </c>
      <c r="AN189" s="30">
        <f t="shared" si="46"/>
        <v>117.47766013713918</v>
      </c>
      <c r="AO189" s="38">
        <f>NPV('Cost Assumptions'!$B$3,'Valley South to Valley North'!C32:AD32)</f>
        <v>29.314911518270396</v>
      </c>
    </row>
    <row r="190" spans="36:41" x14ac:dyDescent="0.35">
      <c r="AJ190" s="88"/>
      <c r="AK190" s="88"/>
      <c r="AL190" s="88"/>
      <c r="AM190" s="88"/>
      <c r="AN190" s="88"/>
      <c r="AO190" s="88"/>
    </row>
    <row r="191" spans="36:41" x14ac:dyDescent="0.35">
      <c r="AJ191" s="88"/>
      <c r="AK191" s="88"/>
      <c r="AL191" s="88"/>
      <c r="AM191" s="88"/>
      <c r="AN191" s="88"/>
      <c r="AO191" s="88"/>
    </row>
    <row r="192" spans="36:41" x14ac:dyDescent="0.35">
      <c r="AJ192" s="88"/>
      <c r="AK192" s="88"/>
      <c r="AL192" s="88"/>
      <c r="AM192" s="88"/>
      <c r="AN192" s="88"/>
      <c r="AO192" s="88"/>
    </row>
    <row r="193" spans="36:41" x14ac:dyDescent="0.35">
      <c r="AJ193" s="88"/>
      <c r="AK193" s="88"/>
      <c r="AL193" s="88"/>
      <c r="AM193" s="88"/>
      <c r="AN193" s="88"/>
      <c r="AO193" s="88"/>
    </row>
    <row r="194" spans="36:41" x14ac:dyDescent="0.35">
      <c r="AJ194" s="88"/>
      <c r="AK194" s="88"/>
      <c r="AL194" s="88"/>
      <c r="AM194" s="88"/>
      <c r="AN194" s="88"/>
      <c r="AO194" s="88"/>
    </row>
    <row r="195" spans="36:41" x14ac:dyDescent="0.35">
      <c r="AJ195" s="88"/>
      <c r="AK195" s="88"/>
      <c r="AL195" s="88"/>
      <c r="AM195" s="88"/>
      <c r="AN195" s="88"/>
      <c r="AO195" s="88"/>
    </row>
    <row r="196" spans="36:41" x14ac:dyDescent="0.35">
      <c r="AJ196" s="88"/>
      <c r="AK196" s="88"/>
      <c r="AL196" s="88"/>
      <c r="AM196" s="88"/>
      <c r="AN196" s="88"/>
      <c r="AO196" s="88"/>
    </row>
    <row r="197" spans="36:41" x14ac:dyDescent="0.35">
      <c r="AJ197" s="88"/>
      <c r="AK197" s="88"/>
      <c r="AL197" s="88"/>
      <c r="AM197" s="88"/>
      <c r="AN197" s="88"/>
      <c r="AO197" s="88"/>
    </row>
    <row r="198" spans="36:41" x14ac:dyDescent="0.35">
      <c r="AJ198" s="88"/>
      <c r="AK198" s="88"/>
      <c r="AL198" s="88"/>
      <c r="AM198" s="88"/>
      <c r="AN198" s="88"/>
      <c r="AO198" s="88"/>
    </row>
    <row r="199" spans="36:41" x14ac:dyDescent="0.35">
      <c r="AJ199" s="88"/>
      <c r="AK199" s="88"/>
      <c r="AL199" s="88"/>
      <c r="AM199" s="88"/>
      <c r="AN199" s="88"/>
      <c r="AO199" s="88"/>
    </row>
    <row r="200" spans="36:41" x14ac:dyDescent="0.35">
      <c r="AJ200" s="88"/>
      <c r="AK200" s="88"/>
      <c r="AL200" s="88"/>
      <c r="AM200" s="88"/>
      <c r="AN200" s="88"/>
      <c r="AO200" s="88"/>
    </row>
    <row r="201" spans="36:41" x14ac:dyDescent="0.35">
      <c r="AJ201" s="88"/>
      <c r="AK201" s="88"/>
      <c r="AL201" s="88"/>
      <c r="AM201" s="88"/>
      <c r="AN201" s="88"/>
      <c r="AO201" s="88"/>
    </row>
    <row r="202" spans="36:41" x14ac:dyDescent="0.35">
      <c r="AJ202" s="88"/>
      <c r="AK202" s="88"/>
      <c r="AL202" s="88"/>
      <c r="AM202" s="88"/>
      <c r="AN202" s="88"/>
      <c r="AO202" s="88"/>
    </row>
    <row r="203" spans="36:41" x14ac:dyDescent="0.35">
      <c r="AJ203" s="88"/>
      <c r="AK203" s="88"/>
      <c r="AL203" s="88"/>
      <c r="AM203" s="88"/>
      <c r="AN203" s="88"/>
      <c r="AO203" s="88"/>
    </row>
    <row r="204" spans="36:41" x14ac:dyDescent="0.35">
      <c r="AJ204" s="88"/>
      <c r="AK204" s="88"/>
      <c r="AL204" s="88"/>
      <c r="AM204" s="88"/>
      <c r="AN204" s="88"/>
      <c r="AO204" s="88"/>
    </row>
    <row r="205" spans="36:41" x14ac:dyDescent="0.35">
      <c r="AJ205" s="88"/>
      <c r="AK205" s="88"/>
      <c r="AL205" s="88"/>
      <c r="AM205" s="88"/>
      <c r="AN205" s="88"/>
      <c r="AO205" s="88"/>
    </row>
    <row r="206" spans="36:41" x14ac:dyDescent="0.35">
      <c r="AJ206" s="88"/>
      <c r="AK206" s="88"/>
      <c r="AL206" s="88"/>
      <c r="AM206" s="88"/>
      <c r="AN206" s="88"/>
      <c r="AO206" s="88"/>
    </row>
    <row r="207" spans="36:41" x14ac:dyDescent="0.35">
      <c r="AJ207" s="88"/>
      <c r="AK207" s="88"/>
      <c r="AL207" s="88"/>
      <c r="AM207" s="88"/>
      <c r="AN207" s="88"/>
      <c r="AO207" s="88"/>
    </row>
    <row r="208" spans="36:41" x14ac:dyDescent="0.35">
      <c r="AJ208" s="88"/>
      <c r="AK208" s="88"/>
      <c r="AL208" s="88"/>
      <c r="AM208" s="88"/>
      <c r="AN208" s="88"/>
      <c r="AO208" s="88"/>
    </row>
    <row r="209" spans="36:41" x14ac:dyDescent="0.35">
      <c r="AJ209" s="88"/>
      <c r="AK209" s="88"/>
      <c r="AL209" s="88"/>
      <c r="AM209" s="88"/>
      <c r="AN209" s="88"/>
      <c r="AO209" s="88"/>
    </row>
    <row r="210" spans="36:41" x14ac:dyDescent="0.35">
      <c r="AJ210" s="88"/>
      <c r="AK210" s="88"/>
      <c r="AL210" s="88"/>
      <c r="AM210" s="88"/>
      <c r="AN210" s="88"/>
      <c r="AO210" s="88"/>
    </row>
    <row r="211" spans="36:41" x14ac:dyDescent="0.35">
      <c r="AJ211" s="88"/>
      <c r="AK211" s="88"/>
      <c r="AL211" s="88"/>
      <c r="AM211" s="88"/>
      <c r="AN211" s="88"/>
      <c r="AO211" s="88"/>
    </row>
    <row r="212" spans="36:41" x14ac:dyDescent="0.35">
      <c r="AJ212" s="88"/>
      <c r="AK212" s="88"/>
      <c r="AL212" s="88"/>
      <c r="AM212" s="88"/>
      <c r="AN212" s="88"/>
      <c r="AO212" s="88"/>
    </row>
    <row r="213" spans="36:41" x14ac:dyDescent="0.35">
      <c r="AJ213" s="88"/>
      <c r="AK213" s="88"/>
      <c r="AL213" s="88"/>
      <c r="AM213" s="88"/>
      <c r="AN213" s="88"/>
      <c r="AO213" s="88"/>
    </row>
  </sheetData>
  <autoFilter ref="A3:D10" xr:uid="{00000000-0009-0000-0000-000001000000}">
    <sortState xmlns:xlrd2="http://schemas.microsoft.com/office/spreadsheetml/2017/richdata2" ref="A4:D17">
      <sortCondition ref="C3:C10"/>
    </sortState>
  </autoFilter>
  <sortState xmlns:xlrd2="http://schemas.microsoft.com/office/spreadsheetml/2017/richdata2" ref="A4:D9">
    <sortCondition ref="C3"/>
  </sortState>
  <mergeCells count="222">
    <mergeCell ref="U55:V55"/>
    <mergeCell ref="U56:V56"/>
    <mergeCell ref="U57:V57"/>
    <mergeCell ref="U58:V58"/>
    <mergeCell ref="U59:V59"/>
    <mergeCell ref="U60:V60"/>
    <mergeCell ref="U61:V61"/>
    <mergeCell ref="C45:V45"/>
    <mergeCell ref="U46:V46"/>
    <mergeCell ref="U48:V48"/>
    <mergeCell ref="U49:V49"/>
    <mergeCell ref="U50:V50"/>
    <mergeCell ref="U51:V51"/>
    <mergeCell ref="U52:V52"/>
    <mergeCell ref="U53:V53"/>
    <mergeCell ref="U54:V54"/>
    <mergeCell ref="M61:N61"/>
    <mergeCell ref="M48:N48"/>
    <mergeCell ref="M49:N49"/>
    <mergeCell ref="M50:N50"/>
    <mergeCell ref="M51:N51"/>
    <mergeCell ref="M52:N52"/>
    <mergeCell ref="M53:N53"/>
    <mergeCell ref="M54:N54"/>
    <mergeCell ref="Q61:R61"/>
    <mergeCell ref="S46:T46"/>
    <mergeCell ref="S48:T48"/>
    <mergeCell ref="S49:T49"/>
    <mergeCell ref="S50:T50"/>
    <mergeCell ref="S51:T51"/>
    <mergeCell ref="S52:T52"/>
    <mergeCell ref="S53:T53"/>
    <mergeCell ref="S54:T54"/>
    <mergeCell ref="S56:T56"/>
    <mergeCell ref="S57:T57"/>
    <mergeCell ref="S58:T58"/>
    <mergeCell ref="S59:T59"/>
    <mergeCell ref="S60:T60"/>
    <mergeCell ref="S61:T61"/>
    <mergeCell ref="Q46:R46"/>
    <mergeCell ref="Q48:R48"/>
    <mergeCell ref="Q49:R49"/>
    <mergeCell ref="Q50:R50"/>
    <mergeCell ref="Q51:R51"/>
    <mergeCell ref="Q52:R52"/>
    <mergeCell ref="S55:T55"/>
    <mergeCell ref="M60:N60"/>
    <mergeCell ref="K60:L60"/>
    <mergeCell ref="Q55:R55"/>
    <mergeCell ref="K51:L51"/>
    <mergeCell ref="K52:L52"/>
    <mergeCell ref="K53:L53"/>
    <mergeCell ref="Q60:R60"/>
    <mergeCell ref="A21:B21"/>
    <mergeCell ref="B2:O2"/>
    <mergeCell ref="A41:P41"/>
    <mergeCell ref="I51:J51"/>
    <mergeCell ref="K56:L56"/>
    <mergeCell ref="I54:J54"/>
    <mergeCell ref="I52:J52"/>
    <mergeCell ref="I53:J53"/>
    <mergeCell ref="K54:L54"/>
    <mergeCell ref="Q53:R53"/>
    <mergeCell ref="Q59:R59"/>
    <mergeCell ref="K55:L55"/>
    <mergeCell ref="K57:L57"/>
    <mergeCell ref="I56:J56"/>
    <mergeCell ref="I57:J57"/>
    <mergeCell ref="K58:L58"/>
    <mergeCell ref="I58:J58"/>
    <mergeCell ref="I61:J61"/>
    <mergeCell ref="G52:H52"/>
    <mergeCell ref="G53:H53"/>
    <mergeCell ref="G55:H55"/>
    <mergeCell ref="I55:J55"/>
    <mergeCell ref="G56:H56"/>
    <mergeCell ref="G54:H54"/>
    <mergeCell ref="C60:D60"/>
    <mergeCell ref="E60:F60"/>
    <mergeCell ref="G59:H59"/>
    <mergeCell ref="G60:H60"/>
    <mergeCell ref="I59:J59"/>
    <mergeCell ref="I60:J60"/>
    <mergeCell ref="G57:H57"/>
    <mergeCell ref="G58:H58"/>
    <mergeCell ref="E58:F58"/>
    <mergeCell ref="E59:F59"/>
    <mergeCell ref="A22:B22"/>
    <mergeCell ref="AJ4:AK4"/>
    <mergeCell ref="A40:P40"/>
    <mergeCell ref="C58:D58"/>
    <mergeCell ref="C59:D59"/>
    <mergeCell ref="C46:D46"/>
    <mergeCell ref="M46:N46"/>
    <mergeCell ref="O46:P46"/>
    <mergeCell ref="O50:P50"/>
    <mergeCell ref="O51:P51"/>
    <mergeCell ref="O52:P52"/>
    <mergeCell ref="O53:P53"/>
    <mergeCell ref="O54:P54"/>
    <mergeCell ref="O56:P56"/>
    <mergeCell ref="O57:P57"/>
    <mergeCell ref="C51:D51"/>
    <mergeCell ref="G51:H51"/>
    <mergeCell ref="C55:D55"/>
    <mergeCell ref="E51:F51"/>
    <mergeCell ref="C56:D56"/>
    <mergeCell ref="C57:D57"/>
    <mergeCell ref="E57:F57"/>
    <mergeCell ref="C54:D54"/>
    <mergeCell ref="AC45:AC47"/>
    <mergeCell ref="E49:F49"/>
    <mergeCell ref="E50:F50"/>
    <mergeCell ref="I46:J46"/>
    <mergeCell ref="G46:H46"/>
    <mergeCell ref="I48:J48"/>
    <mergeCell ref="I49:J49"/>
    <mergeCell ref="C79:D79"/>
    <mergeCell ref="C64:D64"/>
    <mergeCell ref="C77:D77"/>
    <mergeCell ref="C78:D78"/>
    <mergeCell ref="C75:D75"/>
    <mergeCell ref="C76:D76"/>
    <mergeCell ref="C73:D73"/>
    <mergeCell ref="C74:D74"/>
    <mergeCell ref="C71:D71"/>
    <mergeCell ref="C72:D72"/>
    <mergeCell ref="C69:D69"/>
    <mergeCell ref="C70:D70"/>
    <mergeCell ref="C67:D67"/>
    <mergeCell ref="C68:D68"/>
    <mergeCell ref="C65:D65"/>
    <mergeCell ref="C61:D61"/>
    <mergeCell ref="E61:F61"/>
    <mergeCell ref="G61:H61"/>
    <mergeCell ref="O49:P49"/>
    <mergeCell ref="O48:P48"/>
    <mergeCell ref="A45:B47"/>
    <mergeCell ref="A42:B42"/>
    <mergeCell ref="C53:D53"/>
    <mergeCell ref="C52:D52"/>
    <mergeCell ref="E55:F55"/>
    <mergeCell ref="K46:L46"/>
    <mergeCell ref="C48:D48"/>
    <mergeCell ref="C49:D49"/>
    <mergeCell ref="C50:D50"/>
    <mergeCell ref="G48:H48"/>
    <mergeCell ref="G49:H49"/>
    <mergeCell ref="G50:H50"/>
    <mergeCell ref="K48:L48"/>
    <mergeCell ref="K49:L49"/>
    <mergeCell ref="K50:L50"/>
    <mergeCell ref="I50:J50"/>
    <mergeCell ref="E48:F48"/>
    <mergeCell ref="M55:N55"/>
    <mergeCell ref="O55:P55"/>
    <mergeCell ref="E46:F46"/>
    <mergeCell ref="E52:F52"/>
    <mergeCell ref="E53:F53"/>
    <mergeCell ref="W50:X50"/>
    <mergeCell ref="W51:X51"/>
    <mergeCell ref="W52:X52"/>
    <mergeCell ref="W53:X53"/>
    <mergeCell ref="W54:X54"/>
    <mergeCell ref="W55:X55"/>
    <mergeCell ref="A64:B66"/>
    <mergeCell ref="O61:P61"/>
    <mergeCell ref="O60:P60"/>
    <mergeCell ref="O58:P58"/>
    <mergeCell ref="A61:B61"/>
    <mergeCell ref="O59:P59"/>
    <mergeCell ref="Q54:R54"/>
    <mergeCell ref="Q56:R56"/>
    <mergeCell ref="Q57:R57"/>
    <mergeCell ref="Q58:R58"/>
    <mergeCell ref="K61:L61"/>
    <mergeCell ref="K59:L59"/>
    <mergeCell ref="E54:F54"/>
    <mergeCell ref="E56:F56"/>
    <mergeCell ref="M56:N56"/>
    <mergeCell ref="M57:N57"/>
    <mergeCell ref="M58:N58"/>
    <mergeCell ref="M59:N59"/>
    <mergeCell ref="W56:X56"/>
    <mergeCell ref="W57:X57"/>
    <mergeCell ref="W58:X58"/>
    <mergeCell ref="W59:X59"/>
    <mergeCell ref="W60:X60"/>
    <mergeCell ref="W61:X61"/>
    <mergeCell ref="Y46:Z46"/>
    <mergeCell ref="Y48:Z48"/>
    <mergeCell ref="Y49:Z49"/>
    <mergeCell ref="Y50:Z50"/>
    <mergeCell ref="Y51:Z51"/>
    <mergeCell ref="Y52:Z52"/>
    <mergeCell ref="Y53:Z53"/>
    <mergeCell ref="Y54:Z54"/>
    <mergeCell ref="Y55:Z55"/>
    <mergeCell ref="Y56:Z56"/>
    <mergeCell ref="Y57:Z57"/>
    <mergeCell ref="Y58:Z58"/>
    <mergeCell ref="Y59:Z59"/>
    <mergeCell ref="Y60:Z60"/>
    <mergeCell ref="Y61:Z61"/>
    <mergeCell ref="W46:X46"/>
    <mergeCell ref="W48:X48"/>
    <mergeCell ref="W49:X49"/>
    <mergeCell ref="AA56:AB56"/>
    <mergeCell ref="AA57:AB57"/>
    <mergeCell ref="AA58:AB58"/>
    <mergeCell ref="AA59:AB59"/>
    <mergeCell ref="AA60:AB60"/>
    <mergeCell ref="AA61:AB61"/>
    <mergeCell ref="AA46:AB46"/>
    <mergeCell ref="AA48:AB48"/>
    <mergeCell ref="AA49:AB49"/>
    <mergeCell ref="AA50:AB50"/>
    <mergeCell ref="AA51:AB51"/>
    <mergeCell ref="AA52:AB52"/>
    <mergeCell ref="AA53:AB53"/>
    <mergeCell ref="AA54:AB54"/>
    <mergeCell ref="AA55:AB55"/>
  </mergeCells>
  <phoneticPr fontId="17" type="noConversion"/>
  <conditionalFormatting sqref="C48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 E48 I48 K48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48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D48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8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8:N48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 O48 S48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8:T48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T48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9 E49 I49 K49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L49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D49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9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9:N49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 O49 S49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9:T49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T49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 E50 I50 K50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L50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D50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:N50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 O50 S50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0:T50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T50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1 G51 I51 K51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L51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D51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1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1:N51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 O51 S51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1:T51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T51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2 G52 I52 K52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L52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D52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2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2:N52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 O52 S52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2:T52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T52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4 G54 I54 K54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L54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D54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4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4:N54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 O54 S54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4:T54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T54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 E56 I56 K56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L56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D56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6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6:N56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 O56 S56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6:T56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T56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7 E57 I57 K57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L57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D57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7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7:N57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7 Q57 S57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7:T57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T57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 E58 I58 K58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L58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D58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8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8:N58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 O58 S58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8:T58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T58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9 E59 I59 K59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L59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D59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9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9:N59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9 O59 S59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9:T59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T59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 E60 I60 K60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L60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D60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0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0:N60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0 O60 S60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0:T60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T60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5 E55 I55 K55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L55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D55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5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5:N55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 O55 S55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5:T55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T55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C79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7 M68 G67 O68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H67 M68:P68 C68:D79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D79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8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8:R68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8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8:T68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H67 M68:T68 C68:D79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9 G68 E68 O69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8:H68 M69:P69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9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9:R69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9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9:T69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8:H68 M69:T69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0 G69 E69 O70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9:H69 M70:P70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0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0:R70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0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0:T70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9:H69 M70:T70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1 G70 E70 O71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0:H70 M71:P71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1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1:R71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1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1:T71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0:H70 M71:T71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2 G71 E71 O72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1:H71 M72:P72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2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2:R72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2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2:T72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1:H71 M72:T72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 M73 E72 O73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:H72 M73:P73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R73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3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3:T73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:H72 M73:T73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3 M74 E73 O74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3:H73 M74:P74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4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4:R74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4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4:T74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3:H73 M74:T74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5 M76 E75 O76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5:H75 M76:P76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6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6:R76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6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6:T76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5:H75 M76:T76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 M77 E76 O77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6:H76 M77:P77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R77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7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7:T7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6:H76 M77:T77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7 M78 E77 O78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:H77 M78:P78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8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8:R78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8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8:T78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:H77 M78:T78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9 G78 E78 O7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:H78 M79:P79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R79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9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9:T79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:H78 M79:T79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 G79 I79 K79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:L79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 M75 E74 O75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4:H74 M75:P75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R75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5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5:T7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4:H74 M75:T75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3 E53 I53 K53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L53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D53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3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3:N53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 O53 S53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3:T53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T5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:U60 W48:W60 Y48:Y60 AA48:AA60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:AB60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3"/>
  <sheetViews>
    <sheetView zoomScale="77" zoomScaleNormal="77" workbookViewId="0"/>
  </sheetViews>
  <sheetFormatPr defaultColWidth="8.81640625" defaultRowHeight="14.5" x14ac:dyDescent="0.35"/>
  <cols>
    <col min="1" max="1" width="8.81640625" style="62"/>
    <col min="2" max="2" width="29.7265625" style="62" customWidth="1"/>
    <col min="3" max="3" width="16.26953125" style="62" customWidth="1"/>
    <col min="4" max="4" width="16.453125" style="62" customWidth="1"/>
    <col min="5" max="5" width="16.54296875" style="62" customWidth="1"/>
    <col min="6" max="15" width="16.26953125" style="62" bestFit="1" customWidth="1"/>
    <col min="16" max="16" width="9.453125" style="62" customWidth="1"/>
    <col min="17" max="17" width="14" style="62" bestFit="1" customWidth="1"/>
    <col min="18" max="18" width="7.7265625" style="62" customWidth="1"/>
    <col min="19" max="19" width="8.81640625" style="62" customWidth="1"/>
    <col min="20" max="20" width="9.81640625" style="62" customWidth="1"/>
    <col min="21" max="22" width="8.81640625" style="62"/>
    <col min="23" max="28" width="8.81640625" style="88"/>
    <col min="29" max="32" width="8.81640625" style="62"/>
    <col min="33" max="35" width="38.7265625" style="62" customWidth="1"/>
    <col min="36" max="36" width="38.7265625" style="33" customWidth="1"/>
    <col min="37" max="37" width="38.7265625" style="62" customWidth="1"/>
    <col min="38" max="38" width="38.7265625" style="74" customWidth="1"/>
    <col min="39" max="41" width="38.7265625" style="62" customWidth="1"/>
    <col min="42" max="16384" width="8.81640625" style="62"/>
  </cols>
  <sheetData>
    <row r="1" spans="1:39" s="88" customFormat="1" x14ac:dyDescent="0.35">
      <c r="AJ1" s="33"/>
      <c r="AL1" s="74"/>
    </row>
    <row r="2" spans="1:39" s="88" customFormat="1" ht="21" x14ac:dyDescent="0.5">
      <c r="B2" s="148" t="s">
        <v>49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AJ2" s="33"/>
      <c r="AL2" s="74"/>
    </row>
    <row r="3" spans="1:39" s="88" customFormat="1" ht="10.15" customHeight="1" x14ac:dyDescent="0.35">
      <c r="AJ3" s="33"/>
      <c r="AL3" s="74"/>
    </row>
    <row r="4" spans="1:39" ht="15" customHeight="1" x14ac:dyDescent="0.35">
      <c r="A4" s="42" t="s">
        <v>2</v>
      </c>
      <c r="B4" s="42" t="s">
        <v>3</v>
      </c>
      <c r="C4" s="42" t="s">
        <v>23</v>
      </c>
      <c r="D4" s="42" t="s">
        <v>24</v>
      </c>
      <c r="E4" s="88"/>
      <c r="F4" s="88"/>
      <c r="G4" s="87"/>
      <c r="H4" s="87"/>
      <c r="I4" s="87"/>
      <c r="J4" s="87"/>
      <c r="K4" s="87"/>
      <c r="L4" s="87"/>
      <c r="M4" s="88"/>
      <c r="N4" s="88"/>
      <c r="O4" s="88"/>
      <c r="P4" s="88"/>
      <c r="Q4" s="88"/>
      <c r="R4" s="88"/>
      <c r="S4" s="88"/>
      <c r="T4" s="88"/>
      <c r="U4" s="88"/>
      <c r="V4" s="88"/>
      <c r="AC4" s="88"/>
      <c r="AD4" s="88"/>
      <c r="AE4" s="88"/>
      <c r="AF4" s="88"/>
      <c r="AG4" s="88"/>
      <c r="AH4" s="88" t="s">
        <v>25</v>
      </c>
      <c r="AI4" s="88"/>
      <c r="AK4" s="88"/>
      <c r="AM4" s="88"/>
    </row>
    <row r="5" spans="1:39" ht="15" customHeight="1" x14ac:dyDescent="0.35">
      <c r="A5" s="125">
        <v>0</v>
      </c>
      <c r="B5" s="73" t="s">
        <v>26</v>
      </c>
      <c r="C5" s="32">
        <v>0</v>
      </c>
      <c r="D5" s="32">
        <v>0</v>
      </c>
      <c r="E5" s="88"/>
      <c r="F5" s="88"/>
      <c r="G5" s="87"/>
      <c r="H5" s="87"/>
      <c r="I5" s="87"/>
      <c r="J5" s="87"/>
      <c r="K5" s="87"/>
      <c r="L5" s="87"/>
      <c r="M5" s="88"/>
      <c r="N5" s="88"/>
      <c r="O5" s="88"/>
      <c r="P5" s="88"/>
      <c r="Q5" s="88"/>
      <c r="R5" s="88"/>
      <c r="S5" s="88"/>
      <c r="T5" s="88"/>
      <c r="U5" s="88"/>
      <c r="V5" s="88"/>
      <c r="AC5" s="88"/>
      <c r="AD5" s="88"/>
      <c r="AE5" s="88"/>
      <c r="AF5" s="88"/>
      <c r="AG5" s="88"/>
      <c r="AH5" s="140" t="s">
        <v>27</v>
      </c>
      <c r="AI5" s="141"/>
      <c r="AK5" s="88"/>
      <c r="AL5" s="74" t="s">
        <v>28</v>
      </c>
      <c r="AM5" s="88" t="s">
        <v>29</v>
      </c>
    </row>
    <row r="6" spans="1:39" ht="15.75" customHeight="1" x14ac:dyDescent="0.35">
      <c r="A6" s="125">
        <v>13</v>
      </c>
      <c r="B6" s="73" t="s">
        <v>13</v>
      </c>
      <c r="C6" s="32">
        <v>185</v>
      </c>
      <c r="D6" s="32">
        <v>190</v>
      </c>
      <c r="E6" s="88"/>
      <c r="F6" s="88"/>
      <c r="G6" s="87"/>
      <c r="H6" s="87"/>
      <c r="I6" s="87"/>
      <c r="J6" s="87"/>
      <c r="K6" s="87"/>
      <c r="L6" s="87"/>
      <c r="M6" s="88"/>
      <c r="N6" s="88"/>
      <c r="O6" s="88"/>
      <c r="P6" s="88"/>
      <c r="Q6" s="88"/>
      <c r="R6" s="88"/>
      <c r="S6" s="88"/>
      <c r="T6" s="88"/>
      <c r="U6" s="88"/>
      <c r="V6" s="88"/>
      <c r="AC6" s="88"/>
      <c r="AD6" s="88"/>
      <c r="AE6" s="88"/>
      <c r="AF6" s="88"/>
      <c r="AG6" s="88"/>
      <c r="AH6" s="16" t="s">
        <v>39</v>
      </c>
      <c r="AI6" s="31" t="s">
        <v>31</v>
      </c>
      <c r="AJ6" s="33">
        <f t="shared" ref="AJ6:AJ11" si="0">$C$25</f>
        <v>1</v>
      </c>
      <c r="AK6" s="88" t="str">
        <f>CONCATENATE(AH6," ",AI6," ",AJ6)</f>
        <v>N-0 EENS 1</v>
      </c>
      <c r="AL6" s="17">
        <f t="shared" ref="AL6:AL11" si="1">C26/1000000</f>
        <v>297.720478497702</v>
      </c>
      <c r="AM6" s="17">
        <v>0</v>
      </c>
    </row>
    <row r="7" spans="1:39" ht="46.5" x14ac:dyDescent="0.35">
      <c r="A7" s="25">
        <v>6</v>
      </c>
      <c r="B7" s="50" t="s">
        <v>15</v>
      </c>
      <c r="C7" s="32">
        <v>201</v>
      </c>
      <c r="D7" s="32">
        <v>295</v>
      </c>
      <c r="E7" s="88"/>
      <c r="F7" s="88"/>
      <c r="G7" s="87"/>
      <c r="H7" s="87"/>
      <c r="I7" s="87"/>
      <c r="J7" s="87"/>
      <c r="K7" s="87"/>
      <c r="L7" s="87"/>
      <c r="M7" s="88"/>
      <c r="N7" s="88"/>
      <c r="O7" s="88"/>
      <c r="P7" s="88"/>
      <c r="Q7" s="88"/>
      <c r="R7" s="88"/>
      <c r="S7" s="88"/>
      <c r="T7" s="88"/>
      <c r="U7" s="88"/>
      <c r="V7" s="88"/>
      <c r="AC7" s="88"/>
      <c r="AD7" s="88"/>
      <c r="AE7" s="88"/>
      <c r="AF7" s="88"/>
      <c r="AG7" s="88"/>
      <c r="AH7" s="16" t="s">
        <v>39</v>
      </c>
      <c r="AI7" s="31" t="s">
        <v>50</v>
      </c>
      <c r="AJ7" s="33">
        <f t="shared" si="0"/>
        <v>1</v>
      </c>
      <c r="AK7" s="88" t="str">
        <f t="shared" ref="AK7:AK46" si="2">CONCATENATE(AH7," ",AI7," ",AJ7)</f>
        <v>N-0 Losses 1</v>
      </c>
      <c r="AL7" s="17">
        <f t="shared" si="1"/>
        <v>4.4943221866402361</v>
      </c>
      <c r="AM7" s="17">
        <v>0</v>
      </c>
    </row>
    <row r="8" spans="1:39" ht="31" x14ac:dyDescent="0.35">
      <c r="A8" s="25">
        <v>3</v>
      </c>
      <c r="B8" s="50" t="s">
        <v>12</v>
      </c>
      <c r="C8" s="32">
        <v>270</v>
      </c>
      <c r="D8" s="32">
        <v>285</v>
      </c>
      <c r="E8" s="88"/>
      <c r="F8" s="88"/>
      <c r="G8" s="87"/>
      <c r="H8" s="87"/>
      <c r="I8" s="87"/>
      <c r="J8" s="87"/>
      <c r="K8" s="87"/>
      <c r="L8" s="87"/>
      <c r="M8" s="88"/>
      <c r="N8" s="88"/>
      <c r="O8" s="88"/>
      <c r="P8" s="88"/>
      <c r="Q8" s="88"/>
      <c r="R8" s="88"/>
      <c r="S8" s="88"/>
      <c r="T8" s="88"/>
      <c r="U8" s="88"/>
      <c r="V8" s="88"/>
      <c r="AC8" s="88"/>
      <c r="AD8" s="88"/>
      <c r="AE8" s="88"/>
      <c r="AF8" s="88"/>
      <c r="AG8" s="88"/>
      <c r="AH8" s="16" t="s">
        <v>30</v>
      </c>
      <c r="AI8" s="31" t="s">
        <v>31</v>
      </c>
      <c r="AJ8" s="33">
        <f t="shared" si="0"/>
        <v>1</v>
      </c>
      <c r="AK8" s="88" t="str">
        <f t="shared" si="2"/>
        <v>N-1 EENS 1</v>
      </c>
      <c r="AL8" s="17">
        <f t="shared" si="1"/>
        <v>6.5555879929004215</v>
      </c>
      <c r="AM8" s="17">
        <v>0</v>
      </c>
    </row>
    <row r="9" spans="1:39" ht="21" x14ac:dyDescent="0.35">
      <c r="A9" s="125">
        <v>8</v>
      </c>
      <c r="B9" s="73" t="s">
        <v>10</v>
      </c>
      <c r="C9" s="32">
        <v>290</v>
      </c>
      <c r="D9" s="32">
        <v>328</v>
      </c>
      <c r="E9" s="88"/>
      <c r="F9" s="88"/>
      <c r="G9" s="87"/>
      <c r="H9" s="87"/>
      <c r="I9" s="87"/>
      <c r="J9" s="87"/>
      <c r="K9" s="87"/>
      <c r="L9" s="87"/>
      <c r="M9" s="88"/>
      <c r="N9" s="88"/>
      <c r="O9" s="88"/>
      <c r="P9" s="88"/>
      <c r="Q9" s="88"/>
      <c r="R9" s="88"/>
      <c r="S9" s="88"/>
      <c r="T9" s="88"/>
      <c r="U9" s="88"/>
      <c r="V9" s="88"/>
      <c r="AC9" s="88"/>
      <c r="AD9" s="88"/>
      <c r="AE9" s="88"/>
      <c r="AF9" s="88"/>
      <c r="AG9" s="88"/>
      <c r="AH9" s="16" t="s">
        <v>30</v>
      </c>
      <c r="AI9" s="31" t="s">
        <v>51</v>
      </c>
      <c r="AJ9" s="33">
        <f t="shared" si="0"/>
        <v>1</v>
      </c>
      <c r="AK9" s="88" t="str">
        <f t="shared" si="2"/>
        <v>N-1 Flexibility-1 1</v>
      </c>
      <c r="AL9" s="17">
        <f t="shared" si="1"/>
        <v>5060.1221838868969</v>
      </c>
      <c r="AM9" s="17">
        <v>0</v>
      </c>
    </row>
    <row r="10" spans="1:39" ht="15" customHeight="1" x14ac:dyDescent="0.35">
      <c r="A10" s="125">
        <v>11</v>
      </c>
      <c r="B10" s="73" t="s">
        <v>19</v>
      </c>
      <c r="C10" s="32">
        <v>291</v>
      </c>
      <c r="D10" s="32">
        <v>470</v>
      </c>
      <c r="E10" s="88"/>
      <c r="F10" s="88"/>
      <c r="G10" s="87"/>
      <c r="H10" s="87"/>
      <c r="I10" s="87"/>
      <c r="J10" s="87"/>
      <c r="K10" s="87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  <c r="AC10" s="88"/>
      <c r="AD10" s="88"/>
      <c r="AE10" s="88"/>
      <c r="AF10" s="88"/>
      <c r="AG10" s="88"/>
      <c r="AH10" s="16" t="s">
        <v>30</v>
      </c>
      <c r="AI10" s="31" t="s">
        <v>52</v>
      </c>
      <c r="AJ10" s="33">
        <f t="shared" si="0"/>
        <v>1</v>
      </c>
      <c r="AK10" s="88" t="str">
        <f t="shared" si="2"/>
        <v>N-1 Flexibility-2-1 1</v>
      </c>
      <c r="AL10" s="17">
        <f t="shared" si="1"/>
        <v>418.23606110846248</v>
      </c>
      <c r="AM10" s="17">
        <v>0</v>
      </c>
    </row>
    <row r="11" spans="1:39" ht="34.15" customHeight="1" x14ac:dyDescent="0.35">
      <c r="A11" s="25">
        <v>7</v>
      </c>
      <c r="B11" s="50" t="s">
        <v>18</v>
      </c>
      <c r="C11" s="32">
        <v>315</v>
      </c>
      <c r="D11" s="32">
        <v>358</v>
      </c>
      <c r="E11" s="88"/>
      <c r="F11" s="88"/>
      <c r="G11" s="87"/>
      <c r="H11" s="87"/>
      <c r="I11" s="87"/>
      <c r="J11" s="87"/>
      <c r="K11" s="87"/>
      <c r="L11" s="87"/>
      <c r="M11" s="88"/>
      <c r="N11" s="88"/>
      <c r="O11" s="88"/>
      <c r="P11" s="88"/>
      <c r="Q11" s="88"/>
      <c r="R11" s="88"/>
      <c r="S11" s="88"/>
      <c r="T11" s="88"/>
      <c r="U11" s="88"/>
      <c r="V11" s="88"/>
      <c r="AC11" s="88"/>
      <c r="AD11" s="88"/>
      <c r="AE11" s="88"/>
      <c r="AF11" s="88"/>
      <c r="AG11" s="88"/>
      <c r="AH11" s="16" t="s">
        <v>30</v>
      </c>
      <c r="AI11" s="31" t="s">
        <v>53</v>
      </c>
      <c r="AJ11" s="33">
        <f t="shared" si="0"/>
        <v>1</v>
      </c>
      <c r="AK11" s="88" t="str">
        <f t="shared" si="2"/>
        <v>N-1 Flexibility-2-2 1</v>
      </c>
      <c r="AL11" s="17">
        <f t="shared" si="1"/>
        <v>275.45096755891007</v>
      </c>
      <c r="AM11" s="17">
        <v>0</v>
      </c>
    </row>
    <row r="12" spans="1:39" ht="43.5" x14ac:dyDescent="0.35">
      <c r="A12" s="125">
        <v>10</v>
      </c>
      <c r="B12" s="73" t="s">
        <v>21</v>
      </c>
      <c r="C12" s="32">
        <v>358</v>
      </c>
      <c r="D12" s="32">
        <v>1139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AC12" s="88"/>
      <c r="AD12" s="88"/>
      <c r="AE12" s="88"/>
      <c r="AF12" s="88"/>
      <c r="AG12" s="88"/>
      <c r="AH12" s="16" t="s">
        <v>54</v>
      </c>
      <c r="AI12" s="31" t="s">
        <v>24</v>
      </c>
      <c r="AJ12" s="33">
        <v>1</v>
      </c>
      <c r="AK12" s="88" t="str">
        <f t="shared" si="2"/>
        <v>Total Aggregate 1</v>
      </c>
      <c r="AL12" s="17">
        <f>C32</f>
        <v>6058.0852790448716</v>
      </c>
      <c r="AM12" s="17">
        <v>0</v>
      </c>
    </row>
    <row r="13" spans="1:39" x14ac:dyDescent="0.35">
      <c r="A13" s="125">
        <v>2</v>
      </c>
      <c r="B13" s="73" t="s">
        <v>11</v>
      </c>
      <c r="C13" s="32">
        <v>469</v>
      </c>
      <c r="D13" s="32">
        <v>540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AC13" s="88"/>
      <c r="AD13" s="88"/>
      <c r="AE13" s="88"/>
      <c r="AF13" s="88"/>
      <c r="AG13" s="88"/>
      <c r="AH13" s="16" t="s">
        <v>39</v>
      </c>
      <c r="AI13" s="31" t="s">
        <v>31</v>
      </c>
      <c r="AJ13" s="36">
        <f t="shared" ref="AJ13:AJ18" si="3">$D$25</f>
        <v>2</v>
      </c>
      <c r="AK13" s="37" t="str">
        <f t="shared" si="2"/>
        <v>N-0 EENS 2</v>
      </c>
      <c r="AL13" s="38">
        <f t="shared" ref="AL13:AL18" si="4">D26/1000000</f>
        <v>290.87545032284129</v>
      </c>
      <c r="AM13" s="17">
        <v>0</v>
      </c>
    </row>
    <row r="14" spans="1:39" x14ac:dyDescent="0.35">
      <c r="A14" s="125">
        <v>1</v>
      </c>
      <c r="B14" s="73" t="s">
        <v>9</v>
      </c>
      <c r="C14" s="32">
        <v>545</v>
      </c>
      <c r="D14" s="32">
        <v>545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AC14" s="88"/>
      <c r="AD14" s="88"/>
      <c r="AE14" s="88"/>
      <c r="AF14" s="88"/>
      <c r="AG14" s="88"/>
      <c r="AH14" s="16" t="s">
        <v>39</v>
      </c>
      <c r="AI14" s="31" t="s">
        <v>50</v>
      </c>
      <c r="AJ14" s="33">
        <f t="shared" si="3"/>
        <v>2</v>
      </c>
      <c r="AK14" s="88" t="str">
        <f t="shared" si="2"/>
        <v>N-0 Losses 2</v>
      </c>
      <c r="AL14" s="38">
        <f t="shared" si="4"/>
        <v>3.3224203214480732</v>
      </c>
      <c r="AM14" s="17">
        <v>0</v>
      </c>
    </row>
    <row r="15" spans="1:39" ht="29" x14ac:dyDescent="0.35">
      <c r="A15" s="125">
        <v>12</v>
      </c>
      <c r="B15" s="73" t="s">
        <v>17</v>
      </c>
      <c r="C15" s="32">
        <v>559</v>
      </c>
      <c r="D15" s="32">
        <v>923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AC15" s="88"/>
      <c r="AD15" s="88"/>
      <c r="AE15" s="88"/>
      <c r="AF15" s="88"/>
      <c r="AG15" s="88"/>
      <c r="AH15" s="16" t="s">
        <v>30</v>
      </c>
      <c r="AI15" s="31" t="s">
        <v>31</v>
      </c>
      <c r="AJ15" s="33">
        <f t="shared" si="3"/>
        <v>2</v>
      </c>
      <c r="AK15" s="88" t="str">
        <f t="shared" si="2"/>
        <v>N-1 EENS 2</v>
      </c>
      <c r="AL15" s="38">
        <f t="shared" si="4"/>
        <v>7.0217880745435801</v>
      </c>
      <c r="AM15" s="17">
        <v>0</v>
      </c>
    </row>
    <row r="16" spans="1:39" ht="30" customHeight="1" x14ac:dyDescent="0.35">
      <c r="A16" s="25">
        <v>5</v>
      </c>
      <c r="B16" s="50" t="s">
        <v>16</v>
      </c>
      <c r="C16" s="32">
        <v>571</v>
      </c>
      <c r="D16" s="32">
        <v>1358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AC16" s="88"/>
      <c r="AD16" s="88"/>
      <c r="AE16" s="88"/>
      <c r="AF16" s="88"/>
      <c r="AG16" s="88"/>
      <c r="AH16" s="16" t="s">
        <v>30</v>
      </c>
      <c r="AI16" s="31" t="s">
        <v>51</v>
      </c>
      <c r="AJ16" s="33">
        <f t="shared" si="3"/>
        <v>2</v>
      </c>
      <c r="AK16" s="88" t="str">
        <f t="shared" si="2"/>
        <v>N-1 Flexibility-1 2</v>
      </c>
      <c r="AL16" s="38">
        <f t="shared" si="4"/>
        <v>2146.8592596676635</v>
      </c>
      <c r="AM16" s="17">
        <v>0</v>
      </c>
    </row>
    <row r="17" spans="1:39" x14ac:dyDescent="0.35">
      <c r="A17" s="125">
        <v>4</v>
      </c>
      <c r="B17" s="73" t="s">
        <v>14</v>
      </c>
      <c r="C17" s="32">
        <v>575</v>
      </c>
      <c r="D17" s="32">
        <v>1474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AC17" s="88"/>
      <c r="AD17" s="88"/>
      <c r="AE17" s="88"/>
      <c r="AF17" s="88"/>
      <c r="AG17" s="88"/>
      <c r="AH17" s="16" t="s">
        <v>30</v>
      </c>
      <c r="AI17" s="31" t="s">
        <v>52</v>
      </c>
      <c r="AJ17" s="33">
        <f t="shared" si="3"/>
        <v>2</v>
      </c>
      <c r="AK17" s="88" t="str">
        <f t="shared" si="2"/>
        <v>N-1 Flexibility-2-1 2</v>
      </c>
      <c r="AL17" s="38">
        <f t="shared" si="4"/>
        <v>296.44525443023292</v>
      </c>
      <c r="AM17" s="17">
        <v>0</v>
      </c>
    </row>
    <row r="18" spans="1:39" ht="15.5" x14ac:dyDescent="0.35">
      <c r="A18" s="112">
        <v>9</v>
      </c>
      <c r="B18" s="113" t="s">
        <v>20</v>
      </c>
      <c r="C18" s="83">
        <v>806</v>
      </c>
      <c r="D18" s="83">
        <v>951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AC18" s="88"/>
      <c r="AD18" s="88"/>
      <c r="AE18" s="88"/>
      <c r="AF18" s="88"/>
      <c r="AG18" s="88"/>
      <c r="AH18" s="16" t="s">
        <v>30</v>
      </c>
      <c r="AI18" s="31" t="s">
        <v>53</v>
      </c>
      <c r="AJ18" s="33">
        <f t="shared" si="3"/>
        <v>2</v>
      </c>
      <c r="AK18" s="88" t="str">
        <f t="shared" si="2"/>
        <v>N-1 Flexibility-2-2 2</v>
      </c>
      <c r="AL18" s="38">
        <f t="shared" si="4"/>
        <v>194.59759153534827</v>
      </c>
      <c r="AM18" s="17">
        <v>0</v>
      </c>
    </row>
    <row r="19" spans="1:39" s="88" customFormat="1" x14ac:dyDescent="0.35">
      <c r="A19" s="123"/>
      <c r="B19" s="111"/>
      <c r="C19" s="55"/>
      <c r="D19" s="55"/>
      <c r="AH19" s="16"/>
      <c r="AI19" s="31"/>
      <c r="AJ19" s="33"/>
      <c r="AL19" s="38"/>
      <c r="AM19" s="17"/>
    </row>
    <row r="20" spans="1:39" ht="94.15" customHeight="1" thickBot="1" x14ac:dyDescent="0.4">
      <c r="A20" s="123"/>
      <c r="B20" s="123"/>
      <c r="C20" s="110" t="s">
        <v>55</v>
      </c>
      <c r="D20" s="110" t="s">
        <v>56</v>
      </c>
      <c r="E20" s="110" t="s">
        <v>57</v>
      </c>
      <c r="F20" s="110" t="s">
        <v>58</v>
      </c>
      <c r="G20" s="110" t="s">
        <v>59</v>
      </c>
      <c r="H20" s="110" t="s">
        <v>60</v>
      </c>
      <c r="I20" s="110" t="s">
        <v>61</v>
      </c>
      <c r="J20" s="110" t="s">
        <v>62</v>
      </c>
      <c r="K20" s="110" t="s">
        <v>63</v>
      </c>
      <c r="L20" s="110" t="s">
        <v>64</v>
      </c>
      <c r="M20" s="110" t="s">
        <v>65</v>
      </c>
      <c r="N20" s="110" t="s">
        <v>66</v>
      </c>
      <c r="O20" s="110" t="s">
        <v>67</v>
      </c>
      <c r="P20" s="88"/>
      <c r="Q20" s="88"/>
      <c r="R20" s="88"/>
      <c r="S20" s="88"/>
      <c r="T20" s="88"/>
      <c r="U20" s="88"/>
      <c r="V20" s="88"/>
      <c r="AC20" s="88"/>
      <c r="AD20" s="88"/>
      <c r="AE20" s="88"/>
      <c r="AF20" s="88"/>
      <c r="AG20" s="88"/>
      <c r="AH20" s="16" t="s">
        <v>54</v>
      </c>
      <c r="AI20" s="31" t="s">
        <v>24</v>
      </c>
      <c r="AJ20" s="33">
        <f>$D$25</f>
        <v>2</v>
      </c>
      <c r="AK20" s="88" t="str">
        <f t="shared" si="2"/>
        <v>Total Aggregate 2</v>
      </c>
      <c r="AL20" s="38">
        <f>D32</f>
        <v>2935.7993440306304</v>
      </c>
      <c r="AM20" s="17">
        <v>0</v>
      </c>
    </row>
    <row r="21" spans="1:39" x14ac:dyDescent="0.35">
      <c r="A21" s="123"/>
      <c r="B21" s="123"/>
      <c r="C21" s="121">
        <v>1</v>
      </c>
      <c r="D21" s="121">
        <v>2</v>
      </c>
      <c r="E21" s="121">
        <v>3</v>
      </c>
      <c r="F21" s="121">
        <v>4</v>
      </c>
      <c r="G21" s="121">
        <v>5</v>
      </c>
      <c r="H21" s="121">
        <v>6</v>
      </c>
      <c r="I21" s="121">
        <v>7</v>
      </c>
      <c r="J21" s="121">
        <v>8</v>
      </c>
      <c r="K21" s="121">
        <v>9</v>
      </c>
      <c r="L21" s="121">
        <v>10</v>
      </c>
      <c r="M21" s="121">
        <v>11</v>
      </c>
      <c r="N21" s="121">
        <v>12</v>
      </c>
      <c r="O21" s="121">
        <v>13</v>
      </c>
      <c r="P21" s="88"/>
      <c r="Q21" s="88"/>
      <c r="R21" s="88"/>
      <c r="S21" s="88"/>
      <c r="T21" s="88"/>
      <c r="U21" s="88"/>
      <c r="V21" s="88"/>
      <c r="AC21" s="88"/>
      <c r="AD21" s="88"/>
      <c r="AE21" s="88"/>
      <c r="AF21" s="88"/>
      <c r="AG21" s="88"/>
      <c r="AH21" s="16" t="s">
        <v>39</v>
      </c>
      <c r="AI21" s="31" t="s">
        <v>31</v>
      </c>
      <c r="AJ21" s="36">
        <f t="shared" ref="AJ21:AJ27" si="5">$E$25</f>
        <v>3</v>
      </c>
      <c r="AK21" s="37" t="str">
        <f t="shared" si="2"/>
        <v>N-0 EENS 3</v>
      </c>
      <c r="AL21" s="38">
        <f t="shared" ref="AL21:AL26" si="6">E26/1000000</f>
        <v>288.76936417476304</v>
      </c>
      <c r="AM21" s="17">
        <v>0</v>
      </c>
    </row>
    <row r="22" spans="1:39" ht="15.65" customHeight="1" x14ac:dyDescent="0.35">
      <c r="A22" s="88"/>
      <c r="B22" s="99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88"/>
      <c r="Q22" s="88"/>
      <c r="R22" s="88"/>
      <c r="S22" s="88"/>
      <c r="T22" s="88"/>
      <c r="U22" s="88"/>
      <c r="V22" s="88"/>
      <c r="AC22" s="88"/>
      <c r="AD22" s="88"/>
      <c r="AE22" s="88"/>
      <c r="AF22" s="88"/>
      <c r="AG22" s="88"/>
      <c r="AH22" s="16" t="s">
        <v>39</v>
      </c>
      <c r="AI22" s="31" t="s">
        <v>50</v>
      </c>
      <c r="AJ22" s="36">
        <f t="shared" si="5"/>
        <v>3</v>
      </c>
      <c r="AK22" s="37" t="str">
        <f t="shared" si="2"/>
        <v>N-0 Losses 3</v>
      </c>
      <c r="AL22" s="38">
        <f t="shared" si="6"/>
        <v>0.27055144109136564</v>
      </c>
      <c r="AM22" s="17">
        <v>0</v>
      </c>
    </row>
    <row r="23" spans="1:39" ht="19.5" x14ac:dyDescent="0.45">
      <c r="A23" s="157" t="s">
        <v>68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88"/>
      <c r="Q23" s="88"/>
      <c r="R23" s="88"/>
      <c r="S23" s="88"/>
      <c r="T23" s="88"/>
      <c r="U23" s="88"/>
      <c r="V23" s="88"/>
      <c r="AC23" s="88"/>
      <c r="AD23" s="88"/>
      <c r="AE23" s="88"/>
      <c r="AF23" s="88"/>
      <c r="AG23" s="88"/>
      <c r="AH23" s="16" t="s">
        <v>30</v>
      </c>
      <c r="AI23" s="31" t="s">
        <v>31</v>
      </c>
      <c r="AJ23" s="33">
        <f t="shared" si="5"/>
        <v>3</v>
      </c>
      <c r="AK23" s="88" t="str">
        <f t="shared" si="2"/>
        <v>N-1 EENS 3</v>
      </c>
      <c r="AL23" s="38">
        <f t="shared" si="6"/>
        <v>1.3871742960933757</v>
      </c>
      <c r="AM23" s="17">
        <v>0</v>
      </c>
    </row>
    <row r="24" spans="1:39" ht="72.5" x14ac:dyDescent="0.35">
      <c r="A24" s="146"/>
      <c r="B24" s="147"/>
      <c r="C24" s="90" t="s">
        <v>9</v>
      </c>
      <c r="D24" s="90" t="s">
        <v>11</v>
      </c>
      <c r="E24" s="90" t="s">
        <v>12</v>
      </c>
      <c r="F24" s="90" t="s">
        <v>14</v>
      </c>
      <c r="G24" s="90" t="s">
        <v>16</v>
      </c>
      <c r="H24" s="90" t="s">
        <v>15</v>
      </c>
      <c r="I24" s="90" t="s">
        <v>18</v>
      </c>
      <c r="J24" s="90" t="s">
        <v>10</v>
      </c>
      <c r="K24" s="90" t="s">
        <v>20</v>
      </c>
      <c r="L24" s="90" t="s">
        <v>21</v>
      </c>
      <c r="M24" s="90" t="s">
        <v>19</v>
      </c>
      <c r="N24" s="90" t="s">
        <v>17</v>
      </c>
      <c r="O24" s="90" t="s">
        <v>13</v>
      </c>
      <c r="P24" s="88"/>
      <c r="Q24" s="11"/>
      <c r="R24" s="88"/>
      <c r="S24" s="88"/>
      <c r="T24" s="88"/>
      <c r="U24" s="88"/>
      <c r="V24" s="88"/>
      <c r="AC24" s="88"/>
      <c r="AD24" s="88"/>
      <c r="AE24" s="88"/>
      <c r="AF24" s="88"/>
      <c r="AG24" s="88"/>
      <c r="AH24" s="16" t="s">
        <v>30</v>
      </c>
      <c r="AI24" s="31" t="s">
        <v>51</v>
      </c>
      <c r="AJ24" s="33">
        <f t="shared" si="5"/>
        <v>3</v>
      </c>
      <c r="AK24" s="88" t="str">
        <f t="shared" si="2"/>
        <v>N-1 Flexibility-1 3</v>
      </c>
      <c r="AL24" s="38">
        <f t="shared" si="6"/>
        <v>1522.2388180367386</v>
      </c>
      <c r="AM24" s="17">
        <v>0</v>
      </c>
    </row>
    <row r="25" spans="1:39" x14ac:dyDescent="0.35">
      <c r="A25" s="153" t="s">
        <v>27</v>
      </c>
      <c r="B25" s="153"/>
      <c r="C25" s="121">
        <v>1</v>
      </c>
      <c r="D25" s="121">
        <v>2</v>
      </c>
      <c r="E25" s="121">
        <v>3</v>
      </c>
      <c r="F25" s="121">
        <v>4</v>
      </c>
      <c r="G25" s="121">
        <v>5</v>
      </c>
      <c r="H25" s="121">
        <v>6</v>
      </c>
      <c r="I25" s="121">
        <v>7</v>
      </c>
      <c r="J25" s="121">
        <v>8</v>
      </c>
      <c r="K25" s="121">
        <v>9</v>
      </c>
      <c r="L25" s="121">
        <v>10</v>
      </c>
      <c r="M25" s="121">
        <v>11</v>
      </c>
      <c r="N25" s="121">
        <v>12</v>
      </c>
      <c r="O25" s="121">
        <v>13</v>
      </c>
      <c r="P25" s="88"/>
      <c r="Q25" s="11"/>
      <c r="R25" s="88"/>
      <c r="S25" s="88"/>
      <c r="T25" s="88"/>
      <c r="U25" s="88"/>
      <c r="V25" s="88"/>
      <c r="AC25" s="88"/>
      <c r="AD25" s="88"/>
      <c r="AE25" s="88"/>
      <c r="AF25" s="88"/>
      <c r="AG25" s="88"/>
      <c r="AH25" s="16" t="s">
        <v>30</v>
      </c>
      <c r="AI25" s="31" t="s">
        <v>52</v>
      </c>
      <c r="AJ25" s="33">
        <f t="shared" si="5"/>
        <v>3</v>
      </c>
      <c r="AK25" s="88" t="str">
        <f t="shared" si="2"/>
        <v>N-1 Flexibility-2-1 3</v>
      </c>
      <c r="AL25" s="38">
        <f t="shared" si="6"/>
        <v>0</v>
      </c>
      <c r="AM25" s="17">
        <v>0</v>
      </c>
    </row>
    <row r="26" spans="1:39" x14ac:dyDescent="0.35">
      <c r="A26" s="16" t="s">
        <v>39</v>
      </c>
      <c r="B26" s="31" t="s">
        <v>69</v>
      </c>
      <c r="C26" s="102">
        <f>'Alberhill System Project'!C71</f>
        <v>297720478.497702</v>
      </c>
      <c r="D26" s="102">
        <f>'SDG&amp;E'!$C71</f>
        <v>290875450.32284129</v>
      </c>
      <c r="E26" s="102">
        <f>'Valley S to Valley N to Vista'!$C72</f>
        <v>288769364.17476302</v>
      </c>
      <c r="F26" s="102">
        <f>'Centralized BESS in Valley S'!$C71</f>
        <v>297762502.85174012</v>
      </c>
      <c r="G26" s="102">
        <f>'MiraLoma &amp; Centralized BESS VS'!$C71</f>
        <v>297762502.85174012</v>
      </c>
      <c r="H26" s="102">
        <f>'VS to VN &amp; Distributed BESS VS'!$C72</f>
        <v>251489693.23719999</v>
      </c>
      <c r="I26" s="102">
        <f>Menifee!$C71</f>
        <v>295348789.05535597</v>
      </c>
      <c r="J26" s="102">
        <f>'Mira Loma'!$C71</f>
        <v>231090089.78472951</v>
      </c>
      <c r="K26" s="102">
        <f>'SCE Orange County'!$C71</f>
        <v>291454063.05949324</v>
      </c>
      <c r="L26" s="102">
        <f>'VS to VN &amp; Central BESS VS VN '!$C72</f>
        <v>297762502.85174012</v>
      </c>
      <c r="M26" s="102">
        <f>'VS to VN to VST &amp; Cen BESS VS'!$C72</f>
        <v>288111568.46133494</v>
      </c>
      <c r="N26" s="102">
        <f>'SDG&amp;E and Central BESS in VS'!$C71</f>
        <v>297762502.85174012</v>
      </c>
      <c r="O26" s="102">
        <f>'Valley South to Valley North'!$C72</f>
        <v>248942266.37416357</v>
      </c>
      <c r="P26" s="88"/>
      <c r="Q26" s="11"/>
      <c r="R26" s="88"/>
      <c r="S26" s="88"/>
      <c r="T26" s="88"/>
      <c r="U26" s="88"/>
      <c r="V26" s="88"/>
      <c r="AC26" s="88"/>
      <c r="AD26" s="88"/>
      <c r="AE26" s="88"/>
      <c r="AF26" s="88"/>
      <c r="AG26" s="88"/>
      <c r="AH26" s="16" t="s">
        <v>30</v>
      </c>
      <c r="AI26" s="31" t="s">
        <v>53</v>
      </c>
      <c r="AJ26" s="33">
        <f t="shared" si="5"/>
        <v>3</v>
      </c>
      <c r="AK26" s="88" t="str">
        <f t="shared" si="2"/>
        <v>N-1 Flexibility-2-2 3</v>
      </c>
      <c r="AL26" s="38">
        <f t="shared" si="6"/>
        <v>175.55861366991127</v>
      </c>
      <c r="AM26" s="17">
        <v>0</v>
      </c>
    </row>
    <row r="27" spans="1:39" x14ac:dyDescent="0.35">
      <c r="A27" s="16" t="s">
        <v>39</v>
      </c>
      <c r="B27" s="31" t="s">
        <v>70</v>
      </c>
      <c r="C27" s="102">
        <f>'Alberhill System Project'!B43</f>
        <v>4494322.1866402365</v>
      </c>
      <c r="D27" s="102">
        <f>'SDG&amp;E'!$B43</f>
        <v>3322420.3214480733</v>
      </c>
      <c r="E27" s="102">
        <f>'Valley S to Valley N to Vista'!$B44</f>
        <v>270551.44109136565</v>
      </c>
      <c r="F27" s="102">
        <f>'Centralized BESS in Valley S'!$B43</f>
        <v>748930.12496433174</v>
      </c>
      <c r="G27" s="102">
        <f>'MiraLoma &amp; Centralized BESS VS'!$B43</f>
        <v>648441.00593162002</v>
      </c>
      <c r="H27" s="102">
        <f>'VS to VN &amp; Distributed BESS VS'!$B44</f>
        <v>270703.90609236801</v>
      </c>
      <c r="I27" s="102">
        <f>Menifee!$B43</f>
        <v>492147.58199495077</v>
      </c>
      <c r="J27" s="102">
        <f>'Mira Loma'!$B43</f>
        <v>638758.99618753651</v>
      </c>
      <c r="K27" s="102">
        <f>'SCE Orange County'!$B43</f>
        <v>3088660.6542999502</v>
      </c>
      <c r="L27" s="102">
        <f>'VS to VN &amp; Central BESS VS VN '!$B44</f>
        <v>271211.45397926512</v>
      </c>
      <c r="M27" s="102">
        <f>'VS to VN to VST &amp; Cen BESS VS'!$B44</f>
        <v>271211.45397926512</v>
      </c>
      <c r="N27" s="102">
        <f>'SDG&amp;E and Central BESS in VS'!$B43</f>
        <v>3323604.1799647966</v>
      </c>
      <c r="O27" s="102">
        <f>'Valley South to Valley North'!$B44</f>
        <v>270551.44109136565</v>
      </c>
      <c r="P27" s="88"/>
      <c r="Q27" s="11"/>
      <c r="R27" s="88"/>
      <c r="S27" s="88"/>
      <c r="T27" s="88"/>
      <c r="U27" s="88"/>
      <c r="V27" s="88"/>
      <c r="AC27" s="88"/>
      <c r="AD27" s="88"/>
      <c r="AE27" s="88"/>
      <c r="AF27" s="88"/>
      <c r="AG27" s="88"/>
      <c r="AH27" s="16" t="s">
        <v>54</v>
      </c>
      <c r="AI27" s="31" t="s">
        <v>24</v>
      </c>
      <c r="AJ27" s="33">
        <f t="shared" si="5"/>
        <v>3</v>
      </c>
      <c r="AK27" s="88" t="str">
        <f t="shared" si="2"/>
        <v>Total Aggregate 3</v>
      </c>
      <c r="AL27" s="38">
        <f>E32</f>
        <v>1987.9539701775072</v>
      </c>
      <c r="AM27" s="17">
        <v>0</v>
      </c>
    </row>
    <row r="28" spans="1:39" x14ac:dyDescent="0.35">
      <c r="A28" s="16" t="s">
        <v>30</v>
      </c>
      <c r="B28" s="31" t="s">
        <v>69</v>
      </c>
      <c r="C28" s="102">
        <f>'Alberhill System Project'!C67</f>
        <v>6555587.9929004218</v>
      </c>
      <c r="D28" s="102">
        <f>'SDG&amp;E'!$C67</f>
        <v>7021788.0745435804</v>
      </c>
      <c r="E28" s="102">
        <f>'Valley S to Valley N to Vista'!$C68</f>
        <v>1387174.2960933757</v>
      </c>
      <c r="F28" s="102">
        <f>'Centralized BESS in Valley S'!$C67</f>
        <v>7021788.0745435804</v>
      </c>
      <c r="G28" s="102">
        <f>'MiraLoma &amp; Centralized BESS VS'!$C67</f>
        <v>6152093.6038722396</v>
      </c>
      <c r="H28" s="102">
        <f>'VS to VN &amp; Distributed BESS VS'!$C68</f>
        <v>2114181.9023417472</v>
      </c>
      <c r="I28" s="102">
        <f>Menifee!$C67</f>
        <v>1412551.2109733461</v>
      </c>
      <c r="J28" s="102">
        <f>'Mira Loma'!$C67</f>
        <v>1703460.4046544028</v>
      </c>
      <c r="K28" s="102">
        <f>'SCE Orange County'!$C67</f>
        <v>6360804.4576538978</v>
      </c>
      <c r="L28" s="102">
        <f>'VS to VN &amp; Central BESS VS VN '!$C68</f>
        <v>1897990.4915003066</v>
      </c>
      <c r="M28" s="102">
        <f>'VS to VN to VST &amp; Cen BESS VS'!$C68</f>
        <v>1897990.4915003066</v>
      </c>
      <c r="N28" s="102">
        <f>'SDG&amp;E and Central BESS in VS'!$C67</f>
        <v>7021788.0745435804</v>
      </c>
      <c r="O28" s="102">
        <f>'Valley South to Valley North'!$C68</f>
        <v>1387174.2960933757</v>
      </c>
      <c r="P28" s="88"/>
      <c r="Q28" s="11"/>
      <c r="R28" s="88"/>
      <c r="S28" s="88"/>
      <c r="T28" s="88"/>
      <c r="U28" s="88"/>
      <c r="V28" s="88"/>
      <c r="AC28" s="88"/>
      <c r="AD28" s="88"/>
      <c r="AE28" s="88"/>
      <c r="AF28" s="88"/>
      <c r="AG28" s="88"/>
      <c r="AH28" s="16" t="s">
        <v>39</v>
      </c>
      <c r="AI28" s="31" t="s">
        <v>31</v>
      </c>
      <c r="AJ28" s="36">
        <f t="shared" ref="AJ28:AJ34" si="7">$F$25</f>
        <v>4</v>
      </c>
      <c r="AK28" s="37" t="str">
        <f t="shared" si="2"/>
        <v>N-0 EENS 4</v>
      </c>
      <c r="AL28" s="38">
        <f t="shared" ref="AL28:AL33" si="8">F26/1000000</f>
        <v>297.76250285174012</v>
      </c>
      <c r="AM28" s="17">
        <v>0</v>
      </c>
    </row>
    <row r="29" spans="1:39" x14ac:dyDescent="0.35">
      <c r="A29" s="16" t="s">
        <v>30</v>
      </c>
      <c r="B29" s="31" t="s">
        <v>71</v>
      </c>
      <c r="C29" s="102">
        <f>'Alberhill System Project'!C75</f>
        <v>5060122183.8868971</v>
      </c>
      <c r="D29" s="102">
        <f>'SDG&amp;E'!$C75</f>
        <v>2146859259.6676633</v>
      </c>
      <c r="E29" s="102">
        <f>'Valley S to Valley N to Vista'!$C76</f>
        <v>1522238818.0367386</v>
      </c>
      <c r="F29" s="102">
        <f>'Centralized BESS in Valley S'!$C75</f>
        <v>3324681717.5237079</v>
      </c>
      <c r="G29" s="102">
        <f>'MiraLoma &amp; Centralized BESS VS'!$C75</f>
        <v>3154744208.113719</v>
      </c>
      <c r="H29" s="102">
        <f>'VS to VN &amp; Distributed BESS VS'!$C76</f>
        <v>1582496491.6327162</v>
      </c>
      <c r="I29" s="102">
        <f>Menifee!$C75</f>
        <v>1525608898.8022051</v>
      </c>
      <c r="J29" s="102">
        <f>'Mira Loma'!$C75</f>
        <v>3033802704.3422079</v>
      </c>
      <c r="K29" s="102">
        <f>'SCE Orange County'!$C75</f>
        <v>4284811425.6133771</v>
      </c>
      <c r="L29" s="102">
        <f>'VS to VN &amp; Central BESS VS VN '!$C76</f>
        <v>1673888643.129317</v>
      </c>
      <c r="M29" s="102">
        <f>'VS to VN to VST &amp; Cen BESS VS'!$C76</f>
        <v>1673888643.129317</v>
      </c>
      <c r="N29" s="102">
        <f>'SDG&amp;E and Central BESS in VS'!$C75</f>
        <v>3574102850.3006644</v>
      </c>
      <c r="O29" s="102">
        <f>'Valley South to Valley North'!$C76</f>
        <v>1522238818.0367386</v>
      </c>
      <c r="P29" s="88"/>
      <c r="Q29" s="11"/>
      <c r="R29" s="88"/>
      <c r="S29" s="88"/>
      <c r="T29" s="88"/>
      <c r="U29" s="88"/>
      <c r="V29" s="88"/>
      <c r="AC29" s="88"/>
      <c r="AD29" s="88"/>
      <c r="AE29" s="88"/>
      <c r="AF29" s="88"/>
      <c r="AG29" s="88"/>
      <c r="AH29" s="16" t="s">
        <v>39</v>
      </c>
      <c r="AI29" s="31" t="s">
        <v>50</v>
      </c>
      <c r="AJ29" s="33">
        <f t="shared" si="7"/>
        <v>4</v>
      </c>
      <c r="AK29" s="88" t="str">
        <f t="shared" si="2"/>
        <v>N-0 Losses 4</v>
      </c>
      <c r="AL29" s="38">
        <f t="shared" si="8"/>
        <v>0.74893012496433176</v>
      </c>
      <c r="AM29" s="17">
        <v>0</v>
      </c>
    </row>
    <row r="30" spans="1:39" x14ac:dyDescent="0.35">
      <c r="A30" s="16" t="s">
        <v>30</v>
      </c>
      <c r="B30" s="31" t="s">
        <v>72</v>
      </c>
      <c r="C30" s="102">
        <f>'Alberhill System Project'!C79</f>
        <v>418236061.10846245</v>
      </c>
      <c r="D30" s="102">
        <f>'SDG&amp;E'!$C79</f>
        <v>296445254.43023294</v>
      </c>
      <c r="E30" s="102">
        <f>'Valley S to Valley N to Vista'!$C80</f>
        <v>0</v>
      </c>
      <c r="F30" s="102">
        <f>'Centralized BESS in Valley S'!$C79</f>
        <v>0</v>
      </c>
      <c r="G30" s="102">
        <f>'MiraLoma &amp; Centralized BESS VS'!$C79</f>
        <v>116492565.99272367</v>
      </c>
      <c r="H30" s="102">
        <f>'VS to VN &amp; Distributed BESS VS'!$C80</f>
        <v>0</v>
      </c>
      <c r="I30" s="102">
        <f>Menifee!$C79</f>
        <v>263835039.43075904</v>
      </c>
      <c r="J30" s="102">
        <f>'Mira Loma'!$C79</f>
        <v>116492565.99272367</v>
      </c>
      <c r="K30" s="102">
        <f>'SCE Orange County'!$C79</f>
        <v>302268795.73072493</v>
      </c>
      <c r="L30" s="102">
        <f>'VS to VN &amp; Central BESS VS VN '!$C80</f>
        <v>0</v>
      </c>
      <c r="M30" s="102">
        <f>'VS to VN to VST &amp; Cen BESS VS'!$C80</f>
        <v>0</v>
      </c>
      <c r="N30" s="102">
        <f>'SDG&amp;E and Central BESS in VS'!$C79</f>
        <v>296445254.43023294</v>
      </c>
      <c r="O30" s="102">
        <f>'Valley South to Valley North'!$C80</f>
        <v>0</v>
      </c>
      <c r="P30" s="88"/>
      <c r="Q30" s="88"/>
      <c r="R30" s="88"/>
      <c r="S30" s="88"/>
      <c r="T30" s="88"/>
      <c r="U30" s="88"/>
      <c r="V30" s="88"/>
      <c r="AC30" s="88"/>
      <c r="AD30" s="88"/>
      <c r="AE30" s="88"/>
      <c r="AF30" s="88"/>
      <c r="AG30" s="88"/>
      <c r="AH30" s="16" t="s">
        <v>30</v>
      </c>
      <c r="AI30" s="31" t="s">
        <v>31</v>
      </c>
      <c r="AJ30" s="33">
        <f t="shared" si="7"/>
        <v>4</v>
      </c>
      <c r="AK30" s="88" t="str">
        <f t="shared" si="2"/>
        <v>N-1 EENS 4</v>
      </c>
      <c r="AL30" s="38">
        <f t="shared" si="8"/>
        <v>7.0217880745435801</v>
      </c>
      <c r="AM30" s="17">
        <v>0</v>
      </c>
    </row>
    <row r="31" spans="1:39" x14ac:dyDescent="0.35">
      <c r="A31" s="16" t="s">
        <v>30</v>
      </c>
      <c r="B31" s="31" t="s">
        <v>73</v>
      </c>
      <c r="C31" s="102">
        <f>'Alberhill System Project'!C81</f>
        <v>275450967.55891007</v>
      </c>
      <c r="D31" s="102">
        <f>'SDG&amp;E'!$C81</f>
        <v>194597591.53534827</v>
      </c>
      <c r="E31" s="102">
        <f>'Valley S to Valley N to Vista'!$C82</f>
        <v>175558613.66991127</v>
      </c>
      <c r="F31" s="102">
        <f>'Centralized BESS in Valley S'!$C81</f>
        <v>3087133.3630665937</v>
      </c>
      <c r="G31" s="102">
        <f>'MiraLoma &amp; Centralized BESS VS'!$C81</f>
        <v>164544054.31578967</v>
      </c>
      <c r="H31" s="102">
        <f>'VS to VN &amp; Distributed BESS VS'!$C82</f>
        <v>175568847.88828719</v>
      </c>
      <c r="I31" s="102">
        <f>Menifee!$C81</f>
        <v>175558613.66991127</v>
      </c>
      <c r="J31" s="102">
        <f>'Mira Loma'!$C81</f>
        <v>164515733.15861705</v>
      </c>
      <c r="K31" s="102">
        <f>'SCE Orange County'!$C81</f>
        <v>207256621.9780252</v>
      </c>
      <c r="L31" s="102">
        <f>'VS to VN &amp; Central BESS VS VN '!$C82</f>
        <v>175568847.88828719</v>
      </c>
      <c r="M31" s="102">
        <f>'VS to VN to VST &amp; Cen BESS VS'!$C82</f>
        <v>175568847.88828719</v>
      </c>
      <c r="N31" s="102">
        <f>'SDG&amp;E and Central BESS in VS'!$C81</f>
        <v>194597591.53534827</v>
      </c>
      <c r="O31" s="102">
        <f>'Valley South to Valley North'!$C82</f>
        <v>175558613.66991127</v>
      </c>
      <c r="P31" s="88"/>
      <c r="Q31" s="88"/>
      <c r="R31" s="88"/>
      <c r="S31" s="88"/>
      <c r="T31" s="88"/>
      <c r="U31" s="88"/>
      <c r="V31" s="88"/>
      <c r="AC31" s="88"/>
      <c r="AD31" s="88"/>
      <c r="AE31" s="88"/>
      <c r="AF31" s="88"/>
      <c r="AG31" s="88"/>
      <c r="AH31" s="16" t="s">
        <v>30</v>
      </c>
      <c r="AI31" s="31" t="s">
        <v>51</v>
      </c>
      <c r="AJ31" s="33">
        <f t="shared" si="7"/>
        <v>4</v>
      </c>
      <c r="AK31" s="88" t="str">
        <f t="shared" si="2"/>
        <v>N-1 Flexibility-1 4</v>
      </c>
      <c r="AL31" s="38">
        <f t="shared" si="8"/>
        <v>3324.6817175237079</v>
      </c>
      <c r="AM31" s="17">
        <v>0</v>
      </c>
    </row>
    <row r="32" spans="1:39" x14ac:dyDescent="0.35">
      <c r="A32" s="16" t="s">
        <v>54</v>
      </c>
      <c r="B32" s="31" t="s">
        <v>74</v>
      </c>
      <c r="C32" s="30">
        <f>'Alberhill System Project'!C83</f>
        <v>6058.0852790448716</v>
      </c>
      <c r="D32" s="30">
        <f>'SDG&amp;E'!$C83</f>
        <v>2935.7993440306304</v>
      </c>
      <c r="E32" s="30">
        <f>'Valley S to Valley N to Vista'!$C84</f>
        <v>1987.9539701775072</v>
      </c>
      <c r="F32" s="30">
        <f>'Centralized BESS in Valley S'!$C83</f>
        <v>3632.5531418130581</v>
      </c>
      <c r="G32" s="30">
        <f>'MiraLoma &amp; Centralized BESS VS'!$C83</f>
        <v>3739.6954248778443</v>
      </c>
      <c r="H32" s="30">
        <f>'VS to VN &amp; Distributed BESS VS'!$C84</f>
        <v>2011.6692146605451</v>
      </c>
      <c r="I32" s="30">
        <f>Menifee!$C83</f>
        <v>2261.7638921692055</v>
      </c>
      <c r="J32" s="30">
        <f>'Mira Loma'!$C83</f>
        <v>3547.604553682932</v>
      </c>
      <c r="K32" s="30">
        <f>'SCE Orange County'!$C83</f>
        <v>5092.1517108392745</v>
      </c>
      <c r="L32" s="30">
        <f>'VS to VN &amp; Central BESS VS VN '!$C84</f>
        <v>2149.1179843608456</v>
      </c>
      <c r="M32" s="30">
        <f>'VS to VN to VST &amp; Cen BESS VS'!$C84</f>
        <v>2139.4670499704403</v>
      </c>
      <c r="N32" s="30">
        <f>'SDG&amp;E and Central BESS in VS'!$C83</f>
        <v>4369.9299871925277</v>
      </c>
      <c r="O32" s="30">
        <f>'Valley South to Valley North'!$C84</f>
        <v>1948.1268723769072</v>
      </c>
      <c r="P32" s="88"/>
      <c r="Q32" s="88"/>
      <c r="R32" s="88"/>
      <c r="S32" s="88"/>
      <c r="T32" s="88"/>
      <c r="U32" s="88"/>
      <c r="V32" s="88"/>
      <c r="AC32" s="88"/>
      <c r="AD32" s="88"/>
      <c r="AE32" s="88"/>
      <c r="AF32" s="88"/>
      <c r="AG32" s="88"/>
      <c r="AH32" s="16" t="s">
        <v>30</v>
      </c>
      <c r="AI32" s="31" t="s">
        <v>52</v>
      </c>
      <c r="AJ32" s="33">
        <f t="shared" si="7"/>
        <v>4</v>
      </c>
      <c r="AK32" s="88" t="str">
        <f t="shared" si="2"/>
        <v>N-1 Flexibility-2-1 4</v>
      </c>
      <c r="AL32" s="38">
        <f t="shared" si="8"/>
        <v>0</v>
      </c>
      <c r="AM32" s="17">
        <v>0</v>
      </c>
    </row>
    <row r="33" spans="1:39" hidden="1" x14ac:dyDescent="0.35">
      <c r="A33" s="80"/>
      <c r="B33" s="81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AC33" s="88"/>
      <c r="AD33" s="88"/>
      <c r="AE33" s="88"/>
      <c r="AF33" s="88"/>
      <c r="AG33" s="88"/>
      <c r="AH33" s="16" t="s">
        <v>30</v>
      </c>
      <c r="AI33" s="31" t="s">
        <v>53</v>
      </c>
      <c r="AJ33" s="33">
        <f t="shared" si="7"/>
        <v>4</v>
      </c>
      <c r="AK33" s="88" t="str">
        <f t="shared" si="2"/>
        <v>N-1 Flexibility-2-2 4</v>
      </c>
      <c r="AL33" s="38">
        <f t="shared" si="8"/>
        <v>3.0871333630665938</v>
      </c>
      <c r="AM33" s="17">
        <v>0</v>
      </c>
    </row>
    <row r="34" spans="1:39" ht="20" hidden="1" thickBot="1" x14ac:dyDescent="0.5">
      <c r="A34" s="142" t="s">
        <v>41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88"/>
      <c r="R34" s="88"/>
      <c r="S34" s="88"/>
      <c r="T34" s="88"/>
      <c r="U34" s="88"/>
      <c r="V34" s="88"/>
      <c r="AC34" s="88"/>
      <c r="AD34" s="88"/>
      <c r="AE34" s="88"/>
      <c r="AF34" s="88"/>
      <c r="AG34" s="88"/>
      <c r="AH34" s="16" t="s">
        <v>54</v>
      </c>
      <c r="AI34" s="31" t="s">
        <v>24</v>
      </c>
      <c r="AJ34" s="33">
        <f t="shared" si="7"/>
        <v>4</v>
      </c>
      <c r="AK34" s="88" t="str">
        <f t="shared" si="2"/>
        <v>Total Aggregate 4</v>
      </c>
      <c r="AL34" s="38">
        <f>F32</f>
        <v>3632.5531418130581</v>
      </c>
      <c r="AM34" s="17">
        <v>0</v>
      </c>
    </row>
    <row r="35" spans="1:39" ht="18" hidden="1" thickTop="1" thickBot="1" x14ac:dyDescent="0.45">
      <c r="A35" s="154"/>
      <c r="B35" s="154"/>
      <c r="C35" s="154"/>
      <c r="D35" s="154"/>
      <c r="E35" s="154"/>
      <c r="F35" s="154"/>
      <c r="G35" s="154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AC35" s="88"/>
      <c r="AD35" s="88"/>
      <c r="AE35" s="88"/>
      <c r="AF35" s="88"/>
      <c r="AG35" s="88"/>
      <c r="AH35" s="16" t="s">
        <v>39</v>
      </c>
      <c r="AI35" s="31" t="s">
        <v>31</v>
      </c>
      <c r="AJ35" s="36">
        <f t="shared" ref="AJ35:AJ41" si="9">$G$25</f>
        <v>5</v>
      </c>
      <c r="AK35" s="37" t="str">
        <f t="shared" si="2"/>
        <v>N-0 EENS 5</v>
      </c>
      <c r="AL35" s="38">
        <f t="shared" ref="AL35:AL40" si="10">G26/1000000</f>
        <v>297.76250285174012</v>
      </c>
      <c r="AM35" s="17">
        <v>0</v>
      </c>
    </row>
    <row r="36" spans="1:39" hidden="1" x14ac:dyDescent="0.35">
      <c r="A36" s="155" t="str">
        <f>A25</f>
        <v>Category</v>
      </c>
      <c r="B36" s="155"/>
      <c r="C36" s="122">
        <f>A5</f>
        <v>0</v>
      </c>
      <c r="D36" s="122">
        <f>A6</f>
        <v>13</v>
      </c>
      <c r="E36" s="122">
        <f>A7</f>
        <v>6</v>
      </c>
      <c r="F36" s="122">
        <f>A8</f>
        <v>3</v>
      </c>
      <c r="G36" s="122">
        <f>A9</f>
        <v>8</v>
      </c>
      <c r="H36" s="122">
        <f>A10</f>
        <v>11</v>
      </c>
      <c r="I36" s="122">
        <f>A11</f>
        <v>7</v>
      </c>
      <c r="J36" s="122">
        <f>A12</f>
        <v>10</v>
      </c>
      <c r="K36" s="122">
        <f>A13</f>
        <v>2</v>
      </c>
      <c r="L36" s="122">
        <f>A14</f>
        <v>1</v>
      </c>
      <c r="M36" s="122">
        <f>A15</f>
        <v>12</v>
      </c>
      <c r="N36" s="122">
        <f>A16</f>
        <v>5</v>
      </c>
      <c r="O36" s="122">
        <f>A17</f>
        <v>4</v>
      </c>
      <c r="P36" s="122">
        <f>A18</f>
        <v>9</v>
      </c>
      <c r="Q36" s="88"/>
      <c r="R36" s="88"/>
      <c r="S36" s="88"/>
      <c r="T36" s="88"/>
      <c r="U36" s="88"/>
      <c r="V36" s="88"/>
      <c r="AC36" s="88"/>
      <c r="AD36" s="88"/>
      <c r="AE36" s="88"/>
      <c r="AF36" s="88"/>
      <c r="AG36" s="88"/>
      <c r="AH36" s="16" t="s">
        <v>39</v>
      </c>
      <c r="AI36" s="31" t="s">
        <v>50</v>
      </c>
      <c r="AJ36" s="33">
        <f t="shared" si="9"/>
        <v>5</v>
      </c>
      <c r="AK36" s="88" t="str">
        <f t="shared" si="2"/>
        <v>N-0 Losses 5</v>
      </c>
      <c r="AL36" s="38">
        <f t="shared" si="10"/>
        <v>0.64844100593162002</v>
      </c>
      <c r="AM36" s="17">
        <v>0</v>
      </c>
    </row>
    <row r="37" spans="1:39" x14ac:dyDescent="0.3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AC37" s="88"/>
      <c r="AD37" s="88"/>
      <c r="AE37" s="88"/>
      <c r="AF37" s="88"/>
      <c r="AG37" s="88"/>
      <c r="AH37" s="16" t="s">
        <v>30</v>
      </c>
      <c r="AI37" s="31" t="s">
        <v>31</v>
      </c>
      <c r="AJ37" s="33">
        <f t="shared" si="9"/>
        <v>5</v>
      </c>
      <c r="AK37" s="88" t="str">
        <f t="shared" si="2"/>
        <v>N-1 EENS 5</v>
      </c>
      <c r="AL37" s="38">
        <f t="shared" si="10"/>
        <v>6.15209360387224</v>
      </c>
      <c r="AM37" s="17">
        <v>0</v>
      </c>
    </row>
    <row r="38" spans="1:39" x14ac:dyDescent="0.3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AC38" s="88"/>
      <c r="AD38" s="88"/>
      <c r="AE38" s="88"/>
      <c r="AF38" s="88"/>
      <c r="AG38" s="88"/>
      <c r="AH38" s="16" t="s">
        <v>30</v>
      </c>
      <c r="AI38" s="31" t="s">
        <v>51</v>
      </c>
      <c r="AJ38" s="33">
        <f t="shared" si="9"/>
        <v>5</v>
      </c>
      <c r="AK38" s="88" t="str">
        <f t="shared" si="2"/>
        <v>N-1 Flexibility-1 5</v>
      </c>
      <c r="AL38" s="38">
        <f t="shared" si="10"/>
        <v>3154.7442081137192</v>
      </c>
      <c r="AM38" s="17">
        <v>0</v>
      </c>
    </row>
    <row r="39" spans="1:39" ht="19.899999999999999" customHeight="1" x14ac:dyDescent="0.45">
      <c r="A39" s="133" t="s">
        <v>27</v>
      </c>
      <c r="B39" s="133"/>
      <c r="C39" s="150" t="s">
        <v>42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2"/>
      <c r="W39" s="120"/>
      <c r="X39" s="120"/>
      <c r="Y39" s="120"/>
      <c r="Z39" s="120"/>
      <c r="AA39" s="120"/>
      <c r="AB39" s="120"/>
      <c r="AC39" s="143" t="s">
        <v>43</v>
      </c>
      <c r="AD39" s="88"/>
      <c r="AE39" s="88"/>
      <c r="AF39" s="88"/>
      <c r="AG39" s="88"/>
      <c r="AH39" s="16" t="s">
        <v>30</v>
      </c>
      <c r="AI39" s="31" t="s">
        <v>52</v>
      </c>
      <c r="AJ39" s="33">
        <f t="shared" si="9"/>
        <v>5</v>
      </c>
      <c r="AK39" s="88" t="str">
        <f t="shared" si="2"/>
        <v>N-1 Flexibility-2-1 5</v>
      </c>
      <c r="AL39" s="38">
        <f t="shared" si="10"/>
        <v>116.49256599272367</v>
      </c>
      <c r="AM39" s="17">
        <v>0</v>
      </c>
    </row>
    <row r="40" spans="1:39" x14ac:dyDescent="0.35">
      <c r="A40" s="133"/>
      <c r="B40" s="133"/>
      <c r="C40" s="132" t="str">
        <f>$C$41&amp;" --&gt; "&amp;$D$41</f>
        <v>0 --&gt; 13</v>
      </c>
      <c r="D40" s="132"/>
      <c r="E40" s="132" t="str">
        <f>$E$41&amp;" --&gt; "&amp;$F$41</f>
        <v>13 --&gt; 6</v>
      </c>
      <c r="F40" s="132"/>
      <c r="G40" s="132" t="str">
        <f>$G$41&amp;" --&gt; "&amp;$H$41</f>
        <v>6 --&gt; 3</v>
      </c>
      <c r="H40" s="132"/>
      <c r="I40" s="132" t="str">
        <f>$I$41&amp;" --&gt; "&amp;$J$41</f>
        <v>6 --&gt; 8</v>
      </c>
      <c r="J40" s="132"/>
      <c r="K40" s="132" t="str">
        <f>$K$41&amp;" --&gt; "&amp;$L$41</f>
        <v>8 --&gt; 11</v>
      </c>
      <c r="L40" s="132"/>
      <c r="M40" s="132" t="str">
        <f>$M$41&amp;" --&gt; "&amp;$N$41</f>
        <v>8 --&gt; 7</v>
      </c>
      <c r="N40" s="132"/>
      <c r="O40" s="132" t="str">
        <f>$O$41&amp;" --&gt; "&amp;$P$41</f>
        <v>8 --&gt; 10</v>
      </c>
      <c r="P40" s="132"/>
      <c r="Q40" s="132" t="str">
        <f>$Q$41&amp;" --&gt; "&amp;$R$41</f>
        <v>8 --&gt; 2</v>
      </c>
      <c r="R40" s="132"/>
      <c r="S40" s="132" t="str">
        <f>$S$41&amp;" --&gt; "&amp;$T$41</f>
        <v>8 --&gt; 1</v>
      </c>
      <c r="T40" s="132"/>
      <c r="U40" s="132" t="str">
        <f>$U$41&amp;" --&gt; "&amp;$V$41</f>
        <v>1 --&gt; 12</v>
      </c>
      <c r="V40" s="132"/>
      <c r="W40" s="132" t="str">
        <f>$W$41&amp;" --&gt; "&amp;$X$41</f>
        <v>1 --&gt; 5</v>
      </c>
      <c r="X40" s="132"/>
      <c r="Y40" s="132" t="str">
        <f>$Y$41&amp;" --&gt; "&amp;$Z$41</f>
        <v>1 --&gt; 4</v>
      </c>
      <c r="Z40" s="132"/>
      <c r="AA40" s="132" t="str">
        <f>$AA$41&amp;" --&gt; "&amp;$AB$41</f>
        <v>1 --&gt; 9</v>
      </c>
      <c r="AB40" s="132"/>
      <c r="AC40" s="144"/>
      <c r="AD40" s="88"/>
      <c r="AE40" s="88"/>
      <c r="AF40" s="88"/>
      <c r="AG40" s="88"/>
      <c r="AH40" s="16" t="s">
        <v>30</v>
      </c>
      <c r="AI40" s="31" t="s">
        <v>53</v>
      </c>
      <c r="AJ40" s="33">
        <f t="shared" si="9"/>
        <v>5</v>
      </c>
      <c r="AK40" s="88" t="str">
        <f t="shared" si="2"/>
        <v>N-1 Flexibility-2-2 5</v>
      </c>
      <c r="AL40" s="38">
        <f t="shared" si="10"/>
        <v>164.54405431578968</v>
      </c>
      <c r="AM40" s="17">
        <v>0</v>
      </c>
    </row>
    <row r="41" spans="1:39" x14ac:dyDescent="0.35">
      <c r="A41" s="133"/>
      <c r="B41" s="133"/>
      <c r="C41" s="115">
        <f>$A$5</f>
        <v>0</v>
      </c>
      <c r="D41" s="115">
        <f>$A6</f>
        <v>13</v>
      </c>
      <c r="E41" s="115">
        <f>IF(C49="Y",$D$41,$C$41)</f>
        <v>13</v>
      </c>
      <c r="F41" s="115">
        <f>IF(C49="Y",$A$7,$A$7)</f>
        <v>6</v>
      </c>
      <c r="G41" s="115">
        <f>IF(E49="Y",$F$41,$E$41)</f>
        <v>6</v>
      </c>
      <c r="H41" s="115">
        <f>IF(E49="Y",$A$8,$A$8)</f>
        <v>3</v>
      </c>
      <c r="I41" s="115">
        <f>IF(G49="Y",$H$41,$G$41)</f>
        <v>6</v>
      </c>
      <c r="J41" s="115">
        <f>IF(G49="Y",$A$9,$A$9)</f>
        <v>8</v>
      </c>
      <c r="K41" s="115">
        <f>IF(I49="Y",$J$41,$I$41)</f>
        <v>8</v>
      </c>
      <c r="L41" s="115">
        <f>IF(I49="Y",$A$10,$A$10)</f>
        <v>11</v>
      </c>
      <c r="M41" s="115">
        <f>IF(K49="Y",$L$41,$K$41)</f>
        <v>8</v>
      </c>
      <c r="N41" s="115">
        <f>IF(K49="Y",$A$11,$A$11)</f>
        <v>7</v>
      </c>
      <c r="O41" s="115">
        <f>IF(M49="Y",$N$41,$M$41)</f>
        <v>8</v>
      </c>
      <c r="P41" s="115">
        <f>IF(M49="Y",$A$12,$A$12)</f>
        <v>10</v>
      </c>
      <c r="Q41" s="115">
        <f>IF(O49="Y",$P$41,$O$41)</f>
        <v>8</v>
      </c>
      <c r="R41" s="115">
        <f>IF(O49="Y",$A$13,$A$13)</f>
        <v>2</v>
      </c>
      <c r="S41" s="115">
        <f>IF(Q49="Y",$R$41,$Q$41)</f>
        <v>8</v>
      </c>
      <c r="T41" s="115">
        <f>IF(Q49="Y",$A$14,$A$14)</f>
        <v>1</v>
      </c>
      <c r="U41" s="115">
        <f>IF(S49="Y",$T$41,$S$41)</f>
        <v>1</v>
      </c>
      <c r="V41" s="115">
        <f>IF(S49="Y",$A$15,$A$15)</f>
        <v>12</v>
      </c>
      <c r="W41" s="115">
        <f>IF(U49="Y",$V$41,$U$41)</f>
        <v>1</v>
      </c>
      <c r="X41" s="115">
        <f>IF(U49="Y",$A$16,$A$16)</f>
        <v>5</v>
      </c>
      <c r="Y41" s="115">
        <f>IF(W49="Y",$X$41,$W$41)</f>
        <v>1</v>
      </c>
      <c r="Z41" s="115">
        <f>IF(W49="Y",$A$17,$A$17)</f>
        <v>4</v>
      </c>
      <c r="AA41" s="115">
        <f>IF(Y49="Y",$Z$41,$Y$41)</f>
        <v>1</v>
      </c>
      <c r="AB41" s="115">
        <f>IF(Y49="Y",$A$18,$A$18)</f>
        <v>9</v>
      </c>
      <c r="AC41" s="145"/>
      <c r="AD41" s="88"/>
      <c r="AE41" s="88"/>
      <c r="AF41" s="88"/>
      <c r="AG41" s="88"/>
      <c r="AH41" s="16" t="s">
        <v>54</v>
      </c>
      <c r="AI41" s="31" t="s">
        <v>24</v>
      </c>
      <c r="AJ41" s="33">
        <f t="shared" si="9"/>
        <v>5</v>
      </c>
      <c r="AK41" s="88" t="str">
        <f t="shared" si="2"/>
        <v>Total Aggregate 5</v>
      </c>
      <c r="AL41" s="38">
        <f>G32</f>
        <v>3739.6954248778443</v>
      </c>
      <c r="AM41" s="17">
        <v>0</v>
      </c>
    </row>
    <row r="42" spans="1:39" ht="15.65" customHeight="1" x14ac:dyDescent="0.35">
      <c r="A42" s="16" t="s">
        <v>39</v>
      </c>
      <c r="B42" s="31" t="s">
        <v>31</v>
      </c>
      <c r="C42" s="130">
        <f t="shared" ref="C42:C48" si="11">(VLOOKUP(CONCATENATE($A42," ",$B42," ",$D$41),AK:AM,2,FALSE)-VLOOKUP(CONCATENATE($A42," ",$B42," ",$C$41),AK:AM,2,FALSE))/(VLOOKUP($D$41,$A$4:$D$18,3,FALSE)-(VLOOKUP($C$41,$A$4:$D$18,3,FALSE)))</f>
        <v>1.3456338722927761</v>
      </c>
      <c r="D42" s="130"/>
      <c r="E42" s="130">
        <f t="shared" ref="E42:E48" si="12">(VLOOKUP(CONCATENATE($A42," ",$B42," ",$F$41),$AK:$AM,2,FALSE)-VLOOKUP(CONCATENATE($A42," ",$B42," ",$E$41),$AK:$AM,2,FALSE))/(VLOOKUP($F$41,$A$4:$D$18,3,FALSE)-(VLOOKUP($E$41,$A$4:$D$18,3,FALSE)))</f>
        <v>0.15921417893977541</v>
      </c>
      <c r="F42" s="130"/>
      <c r="G42" s="130">
        <f t="shared" ref="G42:G48" si="13">(VLOOKUP(CONCATENATE($A42," ",$B42," ",$H$41),$AK:$AM,2,FALSE)-VLOOKUP(CONCATENATE($A42," ",$B42," ",$G$41),$AK:$AM,2,FALSE))/(VLOOKUP($H$41,$A$4:$D$18,3,FALSE)-(VLOOKUP($G$41,$A$4:$D$18,3,FALSE)))</f>
        <v>0.5402850860516385</v>
      </c>
      <c r="H42" s="130"/>
      <c r="I42" s="130">
        <f t="shared" ref="I42:I48" si="14">(VLOOKUP(CONCATENATE($A42," ",$B42," ",$J$41),$AK:$AM,2,FALSE)-VLOOKUP(CONCATENATE($A42," ",$B42," ",$I$41),$AK:$AM,2,FALSE))/(VLOOKUP($J$41,$A$4:$D$18,3,FALSE)-(VLOOKUP($I$41,$A$4:$D$18,3,FALSE)))</f>
        <v>-0.22920902755584802</v>
      </c>
      <c r="J42" s="130"/>
      <c r="K42" s="130">
        <f t="shared" ref="K42:K48" si="15">(VLOOKUP(CONCATENATE($A42," ",$B42," ",$L$41),$AK:$AM,2,FALSE)-VLOOKUP(CONCATENATE($A42," ",$B42," ",$K$41),$AK:$AM,2,FALSE))/(VLOOKUP($L$41,$A$4:$D$18,3,FALSE)-(VLOOKUP($K$41,$A$4:$D$18,3,FALSE)))</f>
        <v>57.021478676605454</v>
      </c>
      <c r="L42" s="130"/>
      <c r="M42" s="130">
        <f t="shared" ref="M42:M48" si="16">(VLOOKUP(CONCATENATE($A42," ",$B42," ",$N$41),$AK:$AM,2,FALSE)-VLOOKUP(CONCATENATE($A42," ",$B42," ",$M$41),$AK:$AM,2,FALSE))/(VLOOKUP($N$41,$A$4:$D$18,3,FALSE)-(VLOOKUP($M$41,$A$4:$D$18,3,FALSE)))</f>
        <v>2.5703479708250576</v>
      </c>
      <c r="N42" s="130"/>
      <c r="O42" s="130">
        <f t="shared" ref="O42:O48" si="17">(VLOOKUP(CONCATENATE($A42," ",$B42," ",$P$41),$AK:$AM,2,FALSE)-VLOOKUP(CONCATENATE($A42," ",$B42," ",$O$41),$AK:$AM,2,FALSE))/(VLOOKUP($P$41,$A$4:$D$18,3,FALSE)-(VLOOKUP($O$41,$A$4:$D$18,3,FALSE)))</f>
        <v>0.98047666275015599</v>
      </c>
      <c r="P42" s="130"/>
      <c r="Q42" s="130">
        <f t="shared" ref="Q42:Q48" si="18">(VLOOKUP(CONCATENATE($A42," ",$B42," ",$R$41),$AK:$AM,2,FALSE)-VLOOKUP(CONCATENATE($A42," ",$B42," ",$Q$41),$AK:$AM,2,FALSE))/(VLOOKUP($R$41,$A$4:$D$18,3,FALSE)-(VLOOKUP($Q$41,$A$4:$D$18,3,FALSE)))</f>
        <v>0.33399642758721659</v>
      </c>
      <c r="R42" s="130"/>
      <c r="S42" s="130">
        <f t="shared" ref="S42:S48" si="19">(VLOOKUP(CONCATENATE($A42," ",$B42," ",$T$41),$AK:$AM,2,FALSE)-VLOOKUP(CONCATENATE($A42," ",$B42," ",$S$41),$AK:$AM,2,FALSE))/(VLOOKUP($T$41,$A$4:$D$18,3,FALSE)-(VLOOKUP($S$41,$A$4:$D$18,3,FALSE)))</f>
        <v>0.26129564201165684</v>
      </c>
      <c r="T42" s="130"/>
      <c r="U42" s="130">
        <f t="shared" ref="U42:U48" si="20">(VLOOKUP(CONCATENATE($A42," ",$B42," ",$V$41),$AK:$AM,2,FALSE)-VLOOKUP(CONCATENATE($A42," ",$B42," ",$U$41),$AK:$AM,2,FALSE))/(VLOOKUP($V$41,$A$4:$D$18,3,FALSE)-(VLOOKUP($U$41,$A$4:$D$18,3,FALSE)))</f>
        <v>3.0017395741513803E-3</v>
      </c>
      <c r="V42" s="130"/>
      <c r="W42" s="130">
        <f t="shared" ref="W42:W48" si="21">(VLOOKUP(CONCATENATE($A42," ",$B42," ",$X$41),$AK:$AM,2,FALSE)-VLOOKUP(CONCATENATE($A42," ",$B42," ",$W$41),$AK:$AM,2,FALSE))/(VLOOKUP($X$41,$A$4:$D$18,3,FALSE)-(VLOOKUP($W$41,$A$4:$D$18,3,FALSE)))</f>
        <v>1.6163213091584356E-3</v>
      </c>
      <c r="X42" s="130"/>
      <c r="Y42" s="130">
        <f t="shared" ref="Y42:Y48" si="22">(VLOOKUP(CONCATENATE($A42," ",$B42," ",$Z$41),$AK:$AM,2,FALSE)-VLOOKUP(CONCATENATE($A42," ",$B42," ",$Y$41),$AK:$AM,2,FALSE))/(VLOOKUP($Z$41,$A$4:$D$18,3,FALSE)-(VLOOKUP($Y$41,$A$4:$D$18,3,FALSE)))</f>
        <v>1.4008118012706443E-3</v>
      </c>
      <c r="Z42" s="130"/>
      <c r="AA42" s="130">
        <f t="shared" ref="AA42:AA48" si="23">(VLOOKUP(CONCATENATE($A42," ",$B42," ",$AB$41),$AK:$AM,2,FALSE)-VLOOKUP(CONCATENATE($A42," ",$B42," ",$AA$41),$AK:$AM,2,FALSE))/(VLOOKUP($AB$41,$A$4:$D$18,3,FALSE)-(VLOOKUP($AA$41,$A$4:$D$18,3,FALSE)))</f>
        <v>-2.4009254552523958E-2</v>
      </c>
      <c r="AB42" s="130"/>
      <c r="AC42" s="6" t="s">
        <v>75</v>
      </c>
      <c r="AD42" s="88"/>
      <c r="AE42" s="88"/>
      <c r="AF42" s="88"/>
      <c r="AG42" s="88"/>
      <c r="AH42" s="16" t="s">
        <v>39</v>
      </c>
      <c r="AI42" s="31" t="s">
        <v>31</v>
      </c>
      <c r="AJ42" s="36">
        <v>0</v>
      </c>
      <c r="AK42" s="39" t="str">
        <f t="shared" si="2"/>
        <v>N-0 EENS 0</v>
      </c>
      <c r="AL42" s="30">
        <v>0</v>
      </c>
      <c r="AM42" s="17">
        <v>0</v>
      </c>
    </row>
    <row r="43" spans="1:39" ht="14.5" customHeight="1" x14ac:dyDescent="0.35">
      <c r="A43" s="16" t="s">
        <v>39</v>
      </c>
      <c r="B43" s="31" t="s">
        <v>50</v>
      </c>
      <c r="C43" s="130">
        <f t="shared" si="11"/>
        <v>1.46244022211549E-3</v>
      </c>
      <c r="D43" s="130"/>
      <c r="E43" s="130">
        <f t="shared" si="12"/>
        <v>9.5290625626472114E-6</v>
      </c>
      <c r="F43" s="130"/>
      <c r="G43" s="130">
        <f t="shared" si="13"/>
        <v>-2.2096376956863098E-6</v>
      </c>
      <c r="H43" s="130"/>
      <c r="I43" s="130">
        <f t="shared" si="14"/>
        <v>4.1354504505075112E-3</v>
      </c>
      <c r="J43" s="130"/>
      <c r="K43" s="130">
        <f t="shared" si="15"/>
        <v>-0.3675475422082714</v>
      </c>
      <c r="L43" s="130"/>
      <c r="M43" s="130">
        <f t="shared" si="16"/>
        <v>-5.8644565677034291E-3</v>
      </c>
      <c r="N43" s="130"/>
      <c r="O43" s="130">
        <f t="shared" si="17"/>
        <v>-5.4051109148275205E-3</v>
      </c>
      <c r="P43" s="130"/>
      <c r="Q43" s="130">
        <f t="shared" si="18"/>
        <v>1.4992521370170596E-2</v>
      </c>
      <c r="R43" s="130"/>
      <c r="S43" s="130">
        <f t="shared" si="19"/>
        <v>1.5119855648834116E-2</v>
      </c>
      <c r="T43" s="130"/>
      <c r="U43" s="130">
        <f t="shared" si="20"/>
        <v>-8.3622714762531372E-2</v>
      </c>
      <c r="V43" s="130"/>
      <c r="W43" s="130">
        <f t="shared" si="21"/>
        <v>-0.14791850695033137</v>
      </c>
      <c r="X43" s="130"/>
      <c r="Y43" s="130">
        <f t="shared" si="22"/>
        <v>-0.12484640205586348</v>
      </c>
      <c r="Z43" s="130"/>
      <c r="AA43" s="130">
        <f t="shared" si="23"/>
        <v>-5.3856763691198691E-3</v>
      </c>
      <c r="AB43" s="130"/>
      <c r="AC43" s="6" t="s">
        <v>75</v>
      </c>
      <c r="AD43" s="88"/>
      <c r="AE43" s="88"/>
      <c r="AF43" s="88"/>
      <c r="AG43" s="88"/>
      <c r="AH43" s="16" t="s">
        <v>39</v>
      </c>
      <c r="AI43" s="31" t="s">
        <v>50</v>
      </c>
      <c r="AJ43" s="33">
        <v>0</v>
      </c>
      <c r="AK43" s="34" t="str">
        <f t="shared" si="2"/>
        <v>N-0 Losses 0</v>
      </c>
      <c r="AL43" s="30">
        <v>0</v>
      </c>
      <c r="AM43" s="17">
        <v>0</v>
      </c>
    </row>
    <row r="44" spans="1:39" x14ac:dyDescent="0.35">
      <c r="A44" s="16" t="s">
        <v>30</v>
      </c>
      <c r="B44" s="31" t="s">
        <v>31</v>
      </c>
      <c r="C44" s="130">
        <f t="shared" si="11"/>
        <v>7.4982394383425717E-3</v>
      </c>
      <c r="D44" s="130"/>
      <c r="E44" s="130">
        <f t="shared" si="12"/>
        <v>4.543797539052323E-2</v>
      </c>
      <c r="F44" s="130"/>
      <c r="G44" s="130">
        <f t="shared" si="13"/>
        <v>-1.0536342119541619E-2</v>
      </c>
      <c r="H44" s="130"/>
      <c r="I44" s="130">
        <f t="shared" si="14"/>
        <v>-4.614848288621849E-3</v>
      </c>
      <c r="J44" s="130"/>
      <c r="K44" s="130">
        <f t="shared" si="15"/>
        <v>0.19453008684590389</v>
      </c>
      <c r="L44" s="130"/>
      <c r="M44" s="130">
        <f t="shared" si="16"/>
        <v>-1.1636367747242264E-2</v>
      </c>
      <c r="N44" s="130"/>
      <c r="O44" s="130">
        <f t="shared" si="17"/>
        <v>2.8607365712632928E-3</v>
      </c>
      <c r="P44" s="130"/>
      <c r="Q44" s="130">
        <f t="shared" si="18"/>
        <v>2.9711327764744007E-2</v>
      </c>
      <c r="R44" s="130"/>
      <c r="S44" s="130">
        <f t="shared" si="19"/>
        <v>1.9027951326454975E-2</v>
      </c>
      <c r="T44" s="130"/>
      <c r="U44" s="130">
        <f t="shared" si="20"/>
        <v>3.3300005831654191E-2</v>
      </c>
      <c r="V44" s="130"/>
      <c r="W44" s="130">
        <f t="shared" si="21"/>
        <v>-1.5519014962622365E-2</v>
      </c>
      <c r="X44" s="130"/>
      <c r="Y44" s="130">
        <f t="shared" si="22"/>
        <v>1.5540002721438621E-2</v>
      </c>
      <c r="Z44" s="130"/>
      <c r="AA44" s="130">
        <f t="shared" si="23"/>
        <v>-7.4629706991005251E-4</v>
      </c>
      <c r="AB44" s="130"/>
      <c r="AC44" s="6" t="s">
        <v>75</v>
      </c>
      <c r="AD44" s="88"/>
      <c r="AE44" s="88"/>
      <c r="AF44" s="88"/>
      <c r="AG44" s="88"/>
      <c r="AH44" s="16" t="s">
        <v>30</v>
      </c>
      <c r="AI44" s="31" t="s">
        <v>31</v>
      </c>
      <c r="AJ44" s="33">
        <v>0</v>
      </c>
      <c r="AK44" s="34" t="str">
        <f t="shared" si="2"/>
        <v>N-1 EENS 0</v>
      </c>
      <c r="AL44" s="125">
        <v>0</v>
      </c>
      <c r="AM44" s="17">
        <v>0</v>
      </c>
    </row>
    <row r="45" spans="1:39" ht="16.5" customHeight="1" x14ac:dyDescent="0.35">
      <c r="A45" s="16" t="s">
        <v>30</v>
      </c>
      <c r="B45" s="31" t="s">
        <v>51</v>
      </c>
      <c r="C45" s="130">
        <f t="shared" si="11"/>
        <v>8.2283179353337221</v>
      </c>
      <c r="D45" s="130"/>
      <c r="E45" s="130">
        <f t="shared" si="12"/>
        <v>3.7661045997486013</v>
      </c>
      <c r="F45" s="130"/>
      <c r="G45" s="130">
        <f t="shared" si="13"/>
        <v>-0.87329961733300898</v>
      </c>
      <c r="H45" s="130"/>
      <c r="I45" s="130">
        <f t="shared" si="14"/>
        <v>16.306811378758333</v>
      </c>
      <c r="J45" s="130"/>
      <c r="K45" s="130">
        <f t="shared" si="15"/>
        <v>-1359.9140612128911</v>
      </c>
      <c r="L45" s="130"/>
      <c r="M45" s="130">
        <f t="shared" si="16"/>
        <v>-60.327752221600122</v>
      </c>
      <c r="N45" s="130"/>
      <c r="O45" s="130">
        <f t="shared" si="17"/>
        <v>-19.99873619430722</v>
      </c>
      <c r="P45" s="130"/>
      <c r="Q45" s="130">
        <f t="shared" si="18"/>
        <v>-4.9549913110309749</v>
      </c>
      <c r="R45" s="130"/>
      <c r="S45" s="130">
        <f t="shared" si="19"/>
        <v>7.9463509001752506</v>
      </c>
      <c r="T45" s="130"/>
      <c r="U45" s="130">
        <f t="shared" si="20"/>
        <v>-106.14423811330231</v>
      </c>
      <c r="V45" s="130"/>
      <c r="W45" s="130">
        <f t="shared" si="21"/>
        <v>-73.283768298968369</v>
      </c>
      <c r="X45" s="130"/>
      <c r="Y45" s="130">
        <f t="shared" si="22"/>
        <v>-57.84801554543963</v>
      </c>
      <c r="Z45" s="130"/>
      <c r="AA45" s="130">
        <f t="shared" si="23"/>
        <v>-2.9705393037299621</v>
      </c>
      <c r="AB45" s="130"/>
      <c r="AC45" s="6" t="s">
        <v>75</v>
      </c>
      <c r="AD45" s="88"/>
      <c r="AE45" s="88"/>
      <c r="AF45" s="88"/>
      <c r="AG45" s="88"/>
      <c r="AH45" s="16" t="s">
        <v>30</v>
      </c>
      <c r="AI45" s="31" t="s">
        <v>51</v>
      </c>
      <c r="AJ45" s="33">
        <v>0</v>
      </c>
      <c r="AK45" s="34" t="str">
        <f t="shared" si="2"/>
        <v>N-1 Flexibility-1 0</v>
      </c>
      <c r="AL45" s="30">
        <v>0</v>
      </c>
      <c r="AM45" s="17">
        <v>0</v>
      </c>
    </row>
    <row r="46" spans="1:39" x14ac:dyDescent="0.35">
      <c r="A46" s="16" t="s">
        <v>30</v>
      </c>
      <c r="B46" s="31" t="s">
        <v>52</v>
      </c>
      <c r="C46" s="130">
        <f t="shared" si="11"/>
        <v>0</v>
      </c>
      <c r="D46" s="130"/>
      <c r="E46" s="130">
        <f t="shared" si="12"/>
        <v>0</v>
      </c>
      <c r="F46" s="130"/>
      <c r="G46" s="130">
        <f t="shared" si="13"/>
        <v>0</v>
      </c>
      <c r="H46" s="130"/>
      <c r="I46" s="130">
        <f t="shared" si="14"/>
        <v>1.3089052358732998</v>
      </c>
      <c r="J46" s="130"/>
      <c r="K46" s="130">
        <f t="shared" si="15"/>
        <v>-116.49256599272367</v>
      </c>
      <c r="L46" s="130"/>
      <c r="M46" s="130">
        <f t="shared" si="16"/>
        <v>5.8936989375214148</v>
      </c>
      <c r="N46" s="130"/>
      <c r="O46" s="130">
        <f t="shared" si="17"/>
        <v>-1.7131259704812305</v>
      </c>
      <c r="P46" s="130"/>
      <c r="Q46" s="130">
        <f t="shared" si="18"/>
        <v>1.0053222817737948</v>
      </c>
      <c r="R46" s="130"/>
      <c r="S46" s="130">
        <f t="shared" si="19"/>
        <v>1.1833078239832895</v>
      </c>
      <c r="T46" s="130"/>
      <c r="U46" s="130">
        <f t="shared" si="20"/>
        <v>-8.6993433341592539</v>
      </c>
      <c r="V46" s="130"/>
      <c r="W46" s="130">
        <f t="shared" si="21"/>
        <v>-11.605519042913032</v>
      </c>
      <c r="X46" s="130"/>
      <c r="Y46" s="130">
        <f t="shared" si="22"/>
        <v>-13.941202036948749</v>
      </c>
      <c r="Z46" s="130"/>
      <c r="AA46" s="130">
        <f t="shared" si="23"/>
        <v>-0.44431902443577598</v>
      </c>
      <c r="AB46" s="130"/>
      <c r="AC46" s="6" t="s">
        <v>75</v>
      </c>
      <c r="AD46" s="88"/>
      <c r="AE46" s="88"/>
      <c r="AF46" s="88"/>
      <c r="AG46" s="88"/>
      <c r="AH46" s="16" t="s">
        <v>30</v>
      </c>
      <c r="AI46" s="31" t="s">
        <v>52</v>
      </c>
      <c r="AJ46" s="33">
        <v>0</v>
      </c>
      <c r="AK46" s="34" t="str">
        <f t="shared" si="2"/>
        <v>N-1 Flexibility-2-1 0</v>
      </c>
      <c r="AL46" s="30">
        <v>0</v>
      </c>
      <c r="AM46" s="17">
        <v>0</v>
      </c>
    </row>
    <row r="47" spans="1:39" x14ac:dyDescent="0.35">
      <c r="A47" s="16" t="s">
        <v>30</v>
      </c>
      <c r="B47" s="31" t="s">
        <v>53</v>
      </c>
      <c r="C47" s="130">
        <f t="shared" si="11"/>
        <v>0.94896547929681763</v>
      </c>
      <c r="D47" s="130"/>
      <c r="E47" s="130">
        <f t="shared" si="12"/>
        <v>6.3963864849547747E-4</v>
      </c>
      <c r="F47" s="130"/>
      <c r="G47" s="130">
        <f t="shared" si="13"/>
        <v>-1.4832200544822666E-4</v>
      </c>
      <c r="H47" s="130"/>
      <c r="I47" s="130">
        <f t="shared" si="14"/>
        <v>-0.12419230033337238</v>
      </c>
      <c r="J47" s="130"/>
      <c r="K47" s="130">
        <f t="shared" si="15"/>
        <v>11.053114729670142</v>
      </c>
      <c r="L47" s="130"/>
      <c r="M47" s="130">
        <f t="shared" si="16"/>
        <v>0.44171522045176859</v>
      </c>
      <c r="N47" s="130"/>
      <c r="O47" s="130">
        <f t="shared" si="17"/>
        <v>0.16254580484809034</v>
      </c>
      <c r="P47" s="130"/>
      <c r="Q47" s="130">
        <f t="shared" si="18"/>
        <v>0.16805507473034201</v>
      </c>
      <c r="R47" s="130"/>
      <c r="S47" s="130">
        <f t="shared" si="19"/>
        <v>0.43504013490310983</v>
      </c>
      <c r="T47" s="130"/>
      <c r="U47" s="130">
        <f t="shared" si="20"/>
        <v>-5.7752411445401277</v>
      </c>
      <c r="V47" s="130"/>
      <c r="W47" s="130">
        <f t="shared" si="21"/>
        <v>-4.2656505093507837</v>
      </c>
      <c r="X47" s="130"/>
      <c r="Y47" s="130">
        <f t="shared" si="22"/>
        <v>-9.0787944731947832</v>
      </c>
      <c r="Z47" s="130"/>
      <c r="AA47" s="130">
        <f t="shared" si="23"/>
        <v>-0.26128101755128297</v>
      </c>
      <c r="AB47" s="130"/>
      <c r="AC47" s="6" t="s">
        <v>75</v>
      </c>
      <c r="AD47" s="88"/>
      <c r="AE47" s="88"/>
      <c r="AF47" s="88"/>
      <c r="AG47" s="88"/>
      <c r="AH47" s="16" t="s">
        <v>30</v>
      </c>
      <c r="AI47" s="31" t="s">
        <v>53</v>
      </c>
      <c r="AJ47" s="33">
        <v>0</v>
      </c>
      <c r="AK47" s="34" t="str">
        <f t="shared" ref="AK47:AK83" si="24">CONCATENATE(AH47," ",AI47," ",AJ47)</f>
        <v>N-1 Flexibility-2-2 0</v>
      </c>
      <c r="AL47" s="30">
        <v>0</v>
      </c>
      <c r="AM47" s="17">
        <v>0</v>
      </c>
    </row>
    <row r="48" spans="1:39" x14ac:dyDescent="0.35">
      <c r="A48" s="16" t="s">
        <v>54</v>
      </c>
      <c r="B48" s="31" t="s">
        <v>24</v>
      </c>
      <c r="C48" s="130">
        <f t="shared" si="11"/>
        <v>10.53041552636166</v>
      </c>
      <c r="D48" s="130"/>
      <c r="E48" s="130">
        <f t="shared" si="12"/>
        <v>3.971396392727371</v>
      </c>
      <c r="F48" s="130"/>
      <c r="G48" s="130">
        <f t="shared" si="13"/>
        <v>-0.34369919540634564</v>
      </c>
      <c r="H48" s="130"/>
      <c r="I48" s="130">
        <f t="shared" si="14"/>
        <v>17.257700438453785</v>
      </c>
      <c r="J48" s="130"/>
      <c r="K48" s="130">
        <f t="shared" si="15"/>
        <v>-1408.1375037124917</v>
      </c>
      <c r="L48" s="130"/>
      <c r="M48" s="130">
        <f t="shared" si="16"/>
        <v>-51.433626460549057</v>
      </c>
      <c r="N48" s="130"/>
      <c r="O48" s="130">
        <f t="shared" si="17"/>
        <v>-20.565978960618917</v>
      </c>
      <c r="P48" s="130"/>
      <c r="Q48" s="130">
        <f t="shared" si="18"/>
        <v>-3.4179061991748689</v>
      </c>
      <c r="R48" s="130"/>
      <c r="S48" s="130">
        <f t="shared" si="19"/>
        <v>9.845022452399764</v>
      </c>
      <c r="T48" s="130"/>
      <c r="U48" s="130">
        <f t="shared" si="20"/>
        <v>-120.582520846596</v>
      </c>
      <c r="V48" s="130"/>
      <c r="W48" s="130">
        <f t="shared" si="21"/>
        <v>-89.168840544885668</v>
      </c>
      <c r="X48" s="130"/>
      <c r="Y48" s="130">
        <f t="shared" si="22"/>
        <v>-80.851071241060453</v>
      </c>
      <c r="Z48" s="130"/>
      <c r="AA48" s="130">
        <f t="shared" si="23"/>
        <v>-3.7008948973394524</v>
      </c>
      <c r="AB48" s="130"/>
      <c r="AC48" s="6" t="s">
        <v>75</v>
      </c>
      <c r="AD48" s="88"/>
      <c r="AE48" s="88"/>
      <c r="AF48" s="88"/>
      <c r="AG48" s="88"/>
      <c r="AH48" s="16" t="s">
        <v>54</v>
      </c>
      <c r="AI48" s="31" t="s">
        <v>24</v>
      </c>
      <c r="AJ48" s="33">
        <v>0</v>
      </c>
      <c r="AK48" s="34" t="str">
        <f t="shared" si="24"/>
        <v>Total Aggregate 0</v>
      </c>
      <c r="AL48" s="30">
        <v>0</v>
      </c>
      <c r="AM48" s="17">
        <v>0</v>
      </c>
    </row>
    <row r="49" spans="1:39" ht="17" x14ac:dyDescent="0.4">
      <c r="A49" s="134" t="s">
        <v>45</v>
      </c>
      <c r="B49" s="134"/>
      <c r="C49" s="131" t="s">
        <v>46</v>
      </c>
      <c r="D49" s="131"/>
      <c r="E49" s="131" t="s">
        <v>46</v>
      </c>
      <c r="F49" s="131"/>
      <c r="G49" s="131" t="s">
        <v>47</v>
      </c>
      <c r="H49" s="131"/>
      <c r="I49" s="131" t="s">
        <v>46</v>
      </c>
      <c r="J49" s="131"/>
      <c r="K49" s="131" t="s">
        <v>47</v>
      </c>
      <c r="L49" s="131"/>
      <c r="M49" s="131" t="s">
        <v>47</v>
      </c>
      <c r="N49" s="131"/>
      <c r="O49" s="131" t="s">
        <v>47</v>
      </c>
      <c r="P49" s="131"/>
      <c r="Q49" s="131" t="s">
        <v>47</v>
      </c>
      <c r="R49" s="131"/>
      <c r="S49" s="131" t="s">
        <v>46</v>
      </c>
      <c r="T49" s="131"/>
      <c r="U49" s="131" t="s">
        <v>47</v>
      </c>
      <c r="V49" s="131"/>
      <c r="W49" s="131" t="s">
        <v>47</v>
      </c>
      <c r="X49" s="131"/>
      <c r="Y49" s="131" t="s">
        <v>47</v>
      </c>
      <c r="Z49" s="131"/>
      <c r="AA49" s="131" t="s">
        <v>47</v>
      </c>
      <c r="AB49" s="131"/>
      <c r="AC49" s="100"/>
      <c r="AD49" s="88"/>
      <c r="AE49" s="88"/>
      <c r="AF49" s="88"/>
      <c r="AG49" s="88"/>
      <c r="AH49" s="16" t="s">
        <v>39</v>
      </c>
      <c r="AI49" s="31" t="s">
        <v>31</v>
      </c>
      <c r="AJ49" s="122">
        <v>6</v>
      </c>
      <c r="AK49" s="47" t="str">
        <f t="shared" si="24"/>
        <v>N-0 EENS 6</v>
      </c>
      <c r="AL49" s="30">
        <f t="shared" ref="AL49:AL54" si="25">H26/1000000</f>
        <v>251.48969323719999</v>
      </c>
      <c r="AM49" s="17">
        <v>0</v>
      </c>
    </row>
    <row r="50" spans="1:39" x14ac:dyDescent="0.3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AC50" s="88"/>
      <c r="AD50" s="88"/>
      <c r="AE50" s="88"/>
      <c r="AF50" s="88"/>
      <c r="AG50" s="88"/>
      <c r="AH50" s="16" t="s">
        <v>39</v>
      </c>
      <c r="AI50" s="31" t="s">
        <v>50</v>
      </c>
      <c r="AJ50" s="122">
        <v>6</v>
      </c>
      <c r="AK50" s="46" t="str">
        <f t="shared" si="24"/>
        <v>N-0 Losses 6</v>
      </c>
      <c r="AL50" s="30">
        <f t="shared" si="25"/>
        <v>0.270703906092368</v>
      </c>
      <c r="AM50" s="17">
        <v>0</v>
      </c>
    </row>
    <row r="51" spans="1:39" x14ac:dyDescent="0.3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AC51" s="88"/>
      <c r="AD51" s="88"/>
      <c r="AE51" s="88"/>
      <c r="AF51" s="88"/>
      <c r="AG51" s="88"/>
      <c r="AH51" s="16" t="s">
        <v>30</v>
      </c>
      <c r="AI51" s="31" t="s">
        <v>31</v>
      </c>
      <c r="AJ51" s="122">
        <v>6</v>
      </c>
      <c r="AK51" s="46" t="str">
        <f t="shared" si="24"/>
        <v>N-1 EENS 6</v>
      </c>
      <c r="AL51" s="30">
        <f t="shared" si="25"/>
        <v>2.1141819023417474</v>
      </c>
      <c r="AM51" s="17">
        <v>0</v>
      </c>
    </row>
    <row r="52" spans="1:39" x14ac:dyDescent="0.35">
      <c r="A52" s="88"/>
      <c r="B52" s="88"/>
      <c r="C52" s="67"/>
      <c r="D52" s="6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AC52" s="88"/>
      <c r="AD52" s="88"/>
      <c r="AE52" s="88"/>
      <c r="AF52" s="88"/>
      <c r="AG52" s="88"/>
      <c r="AH52" s="16" t="s">
        <v>30</v>
      </c>
      <c r="AI52" s="31" t="s">
        <v>51</v>
      </c>
      <c r="AJ52" s="122">
        <v>6</v>
      </c>
      <c r="AK52" s="46" t="str">
        <f t="shared" si="24"/>
        <v>N-1 Flexibility-1 6</v>
      </c>
      <c r="AL52" s="30">
        <f t="shared" si="25"/>
        <v>1582.4964916327162</v>
      </c>
      <c r="AM52" s="17">
        <v>0</v>
      </c>
    </row>
    <row r="53" spans="1:39" x14ac:dyDescent="0.35">
      <c r="A53" s="88"/>
      <c r="B53" s="88"/>
      <c r="C53" s="67"/>
      <c r="D53" s="67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AC53" s="88"/>
      <c r="AD53" s="88"/>
      <c r="AE53" s="88"/>
      <c r="AF53" s="88"/>
      <c r="AG53" s="88"/>
      <c r="AH53" s="16" t="s">
        <v>30</v>
      </c>
      <c r="AI53" s="31" t="s">
        <v>52</v>
      </c>
      <c r="AJ53" s="122">
        <v>6</v>
      </c>
      <c r="AK53" s="46" t="str">
        <f t="shared" si="24"/>
        <v>N-1 Flexibility-2-1 6</v>
      </c>
      <c r="AL53" s="30">
        <f t="shared" si="25"/>
        <v>0</v>
      </c>
      <c r="AM53" s="17">
        <v>0</v>
      </c>
    </row>
    <row r="54" spans="1:39" x14ac:dyDescent="0.35">
      <c r="A54" s="88"/>
      <c r="B54" s="88"/>
      <c r="C54" s="67"/>
      <c r="D54" s="67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AC54" s="88"/>
      <c r="AD54" s="88"/>
      <c r="AE54" s="88"/>
      <c r="AF54" s="88"/>
      <c r="AG54" s="88"/>
      <c r="AH54" s="16" t="s">
        <v>30</v>
      </c>
      <c r="AI54" s="31" t="s">
        <v>53</v>
      </c>
      <c r="AJ54" s="122">
        <v>6</v>
      </c>
      <c r="AK54" s="46" t="str">
        <f t="shared" si="24"/>
        <v>N-1 Flexibility-2-2 6</v>
      </c>
      <c r="AL54" s="30">
        <f t="shared" si="25"/>
        <v>175.56884788828719</v>
      </c>
      <c r="AM54" s="17">
        <v>0</v>
      </c>
    </row>
    <row r="55" spans="1:39" x14ac:dyDescent="0.35">
      <c r="A55" s="88"/>
      <c r="B55" s="88"/>
      <c r="C55" s="67"/>
      <c r="D55" s="6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AC55" s="88"/>
      <c r="AD55" s="88"/>
      <c r="AE55" s="88"/>
      <c r="AF55" s="88"/>
      <c r="AG55" s="88"/>
      <c r="AH55" s="16" t="s">
        <v>54</v>
      </c>
      <c r="AI55" s="31" t="s">
        <v>24</v>
      </c>
      <c r="AJ55" s="122">
        <v>6</v>
      </c>
      <c r="AK55" s="46" t="str">
        <f t="shared" si="24"/>
        <v>Total Aggregate 6</v>
      </c>
      <c r="AL55" s="30">
        <f>H32</f>
        <v>2011.6692146605451</v>
      </c>
      <c r="AM55" s="17">
        <v>0</v>
      </c>
    </row>
    <row r="56" spans="1:39" x14ac:dyDescent="0.35">
      <c r="A56" s="88"/>
      <c r="B56" s="88"/>
      <c r="C56" s="67"/>
      <c r="D56" s="67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AC56" s="88"/>
      <c r="AD56" s="88"/>
      <c r="AE56" s="88"/>
      <c r="AF56" s="88"/>
      <c r="AG56" s="88"/>
      <c r="AH56" s="16" t="s">
        <v>39</v>
      </c>
      <c r="AI56" s="31" t="s">
        <v>31</v>
      </c>
      <c r="AJ56" s="122">
        <v>7</v>
      </c>
      <c r="AK56" s="46" t="str">
        <f t="shared" si="24"/>
        <v>N-0 EENS 7</v>
      </c>
      <c r="AL56" s="30">
        <f t="shared" ref="AL56:AL61" si="26">I26/1000000</f>
        <v>295.34878905535595</v>
      </c>
      <c r="AM56" s="17">
        <v>0</v>
      </c>
    </row>
    <row r="57" spans="1:39" x14ac:dyDescent="0.35">
      <c r="A57" s="88"/>
      <c r="B57" s="88"/>
      <c r="C57" s="67"/>
      <c r="D57" s="67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AC57" s="88"/>
      <c r="AD57" s="88"/>
      <c r="AE57" s="88"/>
      <c r="AF57" s="88"/>
      <c r="AG57" s="88"/>
      <c r="AH57" s="16" t="s">
        <v>39</v>
      </c>
      <c r="AI57" s="31" t="s">
        <v>50</v>
      </c>
      <c r="AJ57" s="122">
        <v>7</v>
      </c>
      <c r="AK57" s="46" t="str">
        <f t="shared" si="24"/>
        <v>N-0 Losses 7</v>
      </c>
      <c r="AL57" s="30">
        <f t="shared" si="26"/>
        <v>0.49214758199495079</v>
      </c>
      <c r="AM57" s="17">
        <v>0</v>
      </c>
    </row>
    <row r="58" spans="1:39" x14ac:dyDescent="0.35">
      <c r="A58" s="88"/>
      <c r="B58" s="88"/>
      <c r="C58" s="67"/>
      <c r="D58" s="67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AC58" s="88"/>
      <c r="AD58" s="88"/>
      <c r="AE58" s="88"/>
      <c r="AF58" s="88"/>
      <c r="AG58" s="88"/>
      <c r="AH58" s="16" t="s">
        <v>30</v>
      </c>
      <c r="AI58" s="31" t="s">
        <v>31</v>
      </c>
      <c r="AJ58" s="122">
        <v>7</v>
      </c>
      <c r="AK58" s="46" t="str">
        <f t="shared" si="24"/>
        <v>N-1 EENS 7</v>
      </c>
      <c r="AL58" s="30">
        <f t="shared" si="26"/>
        <v>1.4125512109733462</v>
      </c>
      <c r="AM58" s="17">
        <v>0</v>
      </c>
    </row>
    <row r="59" spans="1:39" x14ac:dyDescent="0.35">
      <c r="A59" s="88"/>
      <c r="B59" s="88"/>
      <c r="C59" s="67"/>
      <c r="D59" s="67"/>
      <c r="E59" s="88"/>
      <c r="F59" s="88"/>
      <c r="G59" s="88"/>
      <c r="H59" s="88"/>
      <c r="I59" s="67"/>
      <c r="J59" s="67"/>
      <c r="K59" s="67"/>
      <c r="L59" s="67"/>
      <c r="M59" s="88"/>
      <c r="N59" s="88"/>
      <c r="O59" s="88"/>
      <c r="P59" s="88"/>
      <c r="Q59" s="88"/>
      <c r="R59" s="88"/>
      <c r="S59" s="88"/>
      <c r="T59" s="88"/>
      <c r="U59" s="88"/>
      <c r="V59" s="88"/>
      <c r="AC59" s="88"/>
      <c r="AD59" s="88"/>
      <c r="AE59" s="88"/>
      <c r="AF59" s="88"/>
      <c r="AG59" s="88"/>
      <c r="AH59" s="16" t="s">
        <v>30</v>
      </c>
      <c r="AI59" s="31" t="s">
        <v>51</v>
      </c>
      <c r="AJ59" s="122">
        <v>7</v>
      </c>
      <c r="AK59" s="46" t="str">
        <f t="shared" si="24"/>
        <v>N-1 Flexibility-1 7</v>
      </c>
      <c r="AL59" s="30">
        <f t="shared" si="26"/>
        <v>1525.608898802205</v>
      </c>
      <c r="AM59" s="17">
        <v>0</v>
      </c>
    </row>
    <row r="60" spans="1:39" x14ac:dyDescent="0.35">
      <c r="A60" s="88"/>
      <c r="B60" s="88"/>
      <c r="C60" s="67"/>
      <c r="D60" s="67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AC60" s="88"/>
      <c r="AD60" s="88"/>
      <c r="AE60" s="88"/>
      <c r="AF60" s="88"/>
      <c r="AG60" s="88"/>
      <c r="AH60" s="16" t="s">
        <v>30</v>
      </c>
      <c r="AI60" s="31" t="s">
        <v>52</v>
      </c>
      <c r="AJ60" s="122">
        <v>7</v>
      </c>
      <c r="AK60" s="46" t="str">
        <f t="shared" si="24"/>
        <v>N-1 Flexibility-2-1 7</v>
      </c>
      <c r="AL60" s="30">
        <f t="shared" si="26"/>
        <v>263.83503943075902</v>
      </c>
      <c r="AM60" s="17">
        <v>0</v>
      </c>
    </row>
    <row r="61" spans="1:39" x14ac:dyDescent="0.35">
      <c r="A61" s="88"/>
      <c r="B61" s="88"/>
      <c r="C61" s="67"/>
      <c r="D61" s="67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AC61" s="88"/>
      <c r="AD61" s="88"/>
      <c r="AE61" s="88"/>
      <c r="AF61" s="88"/>
      <c r="AG61" s="88"/>
      <c r="AH61" s="16" t="s">
        <v>30</v>
      </c>
      <c r="AI61" s="31" t="s">
        <v>53</v>
      </c>
      <c r="AJ61" s="122">
        <v>7</v>
      </c>
      <c r="AK61" s="46" t="str">
        <f t="shared" si="24"/>
        <v>N-1 Flexibility-2-2 7</v>
      </c>
      <c r="AL61" s="30">
        <f t="shared" si="26"/>
        <v>175.55861366991127</v>
      </c>
      <c r="AM61" s="17">
        <v>0</v>
      </c>
    </row>
    <row r="62" spans="1:39" x14ac:dyDescent="0.35">
      <c r="A62" s="88"/>
      <c r="B62" s="88"/>
      <c r="C62" s="67"/>
      <c r="D62" s="67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AC62" s="88"/>
      <c r="AD62" s="88"/>
      <c r="AE62" s="88"/>
      <c r="AF62" s="88"/>
      <c r="AG62" s="88"/>
      <c r="AH62" s="16" t="s">
        <v>54</v>
      </c>
      <c r="AI62" s="31" t="s">
        <v>24</v>
      </c>
      <c r="AJ62" s="122">
        <v>7</v>
      </c>
      <c r="AK62" s="46" t="str">
        <f t="shared" si="24"/>
        <v>Total Aggregate 7</v>
      </c>
      <c r="AL62" s="30">
        <f>I32</f>
        <v>2261.7638921692055</v>
      </c>
      <c r="AM62" s="17">
        <v>0</v>
      </c>
    </row>
    <row r="63" spans="1:39" x14ac:dyDescent="0.35">
      <c r="A63" s="88"/>
      <c r="B63" s="88"/>
      <c r="C63" s="67"/>
      <c r="D63" s="67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AC63" s="88"/>
      <c r="AD63" s="88"/>
      <c r="AE63" s="88"/>
      <c r="AF63" s="88"/>
      <c r="AG63" s="88"/>
      <c r="AH63" s="16" t="s">
        <v>39</v>
      </c>
      <c r="AI63" s="31" t="s">
        <v>31</v>
      </c>
      <c r="AJ63" s="122">
        <v>8</v>
      </c>
      <c r="AK63" s="46" t="str">
        <f t="shared" si="24"/>
        <v>N-0 EENS 8</v>
      </c>
      <c r="AL63" s="17">
        <f t="shared" ref="AL63:AL68" si="27">J26/1000000</f>
        <v>231.09008978472951</v>
      </c>
      <c r="AM63" s="17">
        <v>0</v>
      </c>
    </row>
    <row r="64" spans="1:39" x14ac:dyDescent="0.35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AC64" s="88"/>
      <c r="AD64" s="88"/>
      <c r="AE64" s="88"/>
      <c r="AF64" s="88"/>
      <c r="AG64" s="88"/>
      <c r="AH64" s="16" t="s">
        <v>39</v>
      </c>
      <c r="AI64" s="31" t="s">
        <v>50</v>
      </c>
      <c r="AJ64" s="122">
        <v>8</v>
      </c>
      <c r="AK64" s="46" t="str">
        <f t="shared" si="24"/>
        <v>N-0 Losses 8</v>
      </c>
      <c r="AL64" s="17">
        <f t="shared" si="27"/>
        <v>0.63875899618753651</v>
      </c>
      <c r="AM64" s="17">
        <v>0</v>
      </c>
    </row>
    <row r="65" spans="34:39" x14ac:dyDescent="0.35">
      <c r="AH65" s="16" t="s">
        <v>30</v>
      </c>
      <c r="AI65" s="31" t="s">
        <v>31</v>
      </c>
      <c r="AJ65" s="122">
        <v>8</v>
      </c>
      <c r="AK65" s="46" t="str">
        <f t="shared" si="24"/>
        <v>N-1 EENS 8</v>
      </c>
      <c r="AL65" s="17">
        <f t="shared" si="27"/>
        <v>1.7034604046544028</v>
      </c>
      <c r="AM65" s="17">
        <v>0</v>
      </c>
    </row>
    <row r="66" spans="34:39" x14ac:dyDescent="0.35">
      <c r="AH66" s="16" t="s">
        <v>30</v>
      </c>
      <c r="AI66" s="31" t="s">
        <v>51</v>
      </c>
      <c r="AJ66" s="122">
        <v>8</v>
      </c>
      <c r="AK66" s="46" t="str">
        <f t="shared" si="24"/>
        <v>N-1 Flexibility-1 8</v>
      </c>
      <c r="AL66" s="17">
        <f t="shared" si="27"/>
        <v>3033.802704342208</v>
      </c>
      <c r="AM66" s="17">
        <v>0</v>
      </c>
    </row>
    <row r="67" spans="34:39" x14ac:dyDescent="0.35">
      <c r="AH67" s="16" t="s">
        <v>30</v>
      </c>
      <c r="AI67" s="31" t="s">
        <v>52</v>
      </c>
      <c r="AJ67" s="122">
        <v>8</v>
      </c>
      <c r="AK67" s="46" t="str">
        <f t="shared" si="24"/>
        <v>N-1 Flexibility-2-1 8</v>
      </c>
      <c r="AL67" s="17">
        <f t="shared" si="27"/>
        <v>116.49256599272367</v>
      </c>
      <c r="AM67" s="17">
        <v>0</v>
      </c>
    </row>
    <row r="68" spans="34:39" x14ac:dyDescent="0.35">
      <c r="AH68" s="16" t="s">
        <v>30</v>
      </c>
      <c r="AI68" s="31" t="s">
        <v>53</v>
      </c>
      <c r="AJ68" s="122">
        <v>8</v>
      </c>
      <c r="AK68" s="46" t="str">
        <f t="shared" si="24"/>
        <v>N-1 Flexibility-2-2 8</v>
      </c>
      <c r="AL68" s="17">
        <f t="shared" si="27"/>
        <v>164.51573315861705</v>
      </c>
      <c r="AM68" s="17">
        <v>0</v>
      </c>
    </row>
    <row r="69" spans="34:39" x14ac:dyDescent="0.35">
      <c r="AH69" s="16" t="s">
        <v>54</v>
      </c>
      <c r="AI69" s="31" t="s">
        <v>24</v>
      </c>
      <c r="AJ69" s="122">
        <v>8</v>
      </c>
      <c r="AK69" s="46" t="str">
        <f t="shared" si="24"/>
        <v>Total Aggregate 8</v>
      </c>
      <c r="AL69" s="17">
        <f>J32</f>
        <v>3547.604553682932</v>
      </c>
      <c r="AM69" s="17">
        <v>0</v>
      </c>
    </row>
    <row r="70" spans="34:39" x14ac:dyDescent="0.35">
      <c r="AH70" s="16" t="s">
        <v>39</v>
      </c>
      <c r="AI70" s="31" t="s">
        <v>31</v>
      </c>
      <c r="AJ70" s="122">
        <v>9</v>
      </c>
      <c r="AK70" s="46" t="str">
        <f t="shared" si="24"/>
        <v>N-0 EENS 9</v>
      </c>
      <c r="AL70" s="17">
        <f t="shared" ref="AL70:AL75" si="28">K26/1000000</f>
        <v>291.45406305949325</v>
      </c>
      <c r="AM70" s="17">
        <v>0</v>
      </c>
    </row>
    <row r="71" spans="34:39" x14ac:dyDescent="0.35">
      <c r="AH71" s="16" t="s">
        <v>39</v>
      </c>
      <c r="AI71" s="31" t="s">
        <v>50</v>
      </c>
      <c r="AJ71" s="122">
        <v>9</v>
      </c>
      <c r="AK71" s="46" t="str">
        <f t="shared" si="24"/>
        <v>N-0 Losses 9</v>
      </c>
      <c r="AL71" s="17">
        <f t="shared" si="28"/>
        <v>3.0886606542999502</v>
      </c>
      <c r="AM71" s="17">
        <v>0</v>
      </c>
    </row>
    <row r="72" spans="34:39" x14ac:dyDescent="0.35">
      <c r="AH72" s="16" t="s">
        <v>30</v>
      </c>
      <c r="AI72" s="31" t="s">
        <v>31</v>
      </c>
      <c r="AJ72" s="122">
        <v>9</v>
      </c>
      <c r="AK72" s="46" t="str">
        <f t="shared" si="24"/>
        <v>N-1 EENS 9</v>
      </c>
      <c r="AL72" s="17">
        <f t="shared" si="28"/>
        <v>6.3608044576538978</v>
      </c>
      <c r="AM72" s="17">
        <v>0</v>
      </c>
    </row>
    <row r="73" spans="34:39" x14ac:dyDescent="0.35">
      <c r="AH73" s="16" t="s">
        <v>30</v>
      </c>
      <c r="AI73" s="31" t="s">
        <v>51</v>
      </c>
      <c r="AJ73" s="122">
        <v>9</v>
      </c>
      <c r="AK73" s="46" t="str">
        <f t="shared" si="24"/>
        <v>N-1 Flexibility-1 9</v>
      </c>
      <c r="AL73" s="17">
        <f t="shared" si="28"/>
        <v>4284.8114256133767</v>
      </c>
      <c r="AM73" s="17">
        <v>0</v>
      </c>
    </row>
    <row r="74" spans="34:39" x14ac:dyDescent="0.35">
      <c r="AH74" s="16" t="s">
        <v>30</v>
      </c>
      <c r="AI74" s="31" t="s">
        <v>52</v>
      </c>
      <c r="AJ74" s="122">
        <v>9</v>
      </c>
      <c r="AK74" s="46" t="str">
        <f t="shared" si="24"/>
        <v>N-1 Flexibility-2-1 9</v>
      </c>
      <c r="AL74" s="17">
        <f t="shared" si="28"/>
        <v>302.26879573072495</v>
      </c>
      <c r="AM74" s="17">
        <v>0</v>
      </c>
    </row>
    <row r="75" spans="34:39" x14ac:dyDescent="0.35">
      <c r="AH75" s="16" t="s">
        <v>30</v>
      </c>
      <c r="AI75" s="31" t="s">
        <v>53</v>
      </c>
      <c r="AJ75" s="122">
        <v>9</v>
      </c>
      <c r="AK75" s="46" t="str">
        <f t="shared" si="24"/>
        <v>N-1 Flexibility-2-2 9</v>
      </c>
      <c r="AL75" s="17">
        <f t="shared" si="28"/>
        <v>207.25662197802521</v>
      </c>
      <c r="AM75" s="17">
        <v>0</v>
      </c>
    </row>
    <row r="76" spans="34:39" x14ac:dyDescent="0.35">
      <c r="AH76" s="16" t="s">
        <v>54</v>
      </c>
      <c r="AI76" s="31" t="s">
        <v>24</v>
      </c>
      <c r="AJ76" s="122">
        <v>9</v>
      </c>
      <c r="AK76" s="46" t="str">
        <f t="shared" si="24"/>
        <v>Total Aggregate 9</v>
      </c>
      <c r="AL76" s="17">
        <f>K32</f>
        <v>5092.1517108392745</v>
      </c>
      <c r="AM76" s="17">
        <v>0</v>
      </c>
    </row>
    <row r="77" spans="34:39" x14ac:dyDescent="0.35">
      <c r="AH77" s="16" t="s">
        <v>39</v>
      </c>
      <c r="AI77" s="31" t="s">
        <v>31</v>
      </c>
      <c r="AJ77" s="122">
        <v>10</v>
      </c>
      <c r="AK77" s="46" t="str">
        <f t="shared" si="24"/>
        <v>N-0 EENS 10</v>
      </c>
      <c r="AL77" s="17">
        <f t="shared" ref="AL77:AL82" si="29">L26/1000000</f>
        <v>297.76250285174012</v>
      </c>
      <c r="AM77" s="17">
        <v>0</v>
      </c>
    </row>
    <row r="78" spans="34:39" x14ac:dyDescent="0.35">
      <c r="AH78" s="16" t="s">
        <v>39</v>
      </c>
      <c r="AI78" s="31" t="s">
        <v>50</v>
      </c>
      <c r="AJ78" s="122">
        <v>10</v>
      </c>
      <c r="AK78" s="46" t="str">
        <f t="shared" si="24"/>
        <v>N-0 Losses 10</v>
      </c>
      <c r="AL78" s="17">
        <f t="shared" si="29"/>
        <v>0.2712114539792651</v>
      </c>
      <c r="AM78" s="17">
        <v>0</v>
      </c>
    </row>
    <row r="79" spans="34:39" x14ac:dyDescent="0.35">
      <c r="AH79" s="16" t="s">
        <v>30</v>
      </c>
      <c r="AI79" s="31" t="s">
        <v>31</v>
      </c>
      <c r="AJ79" s="122">
        <v>10</v>
      </c>
      <c r="AK79" s="46" t="str">
        <f t="shared" si="24"/>
        <v>N-1 EENS 10</v>
      </c>
      <c r="AL79" s="17">
        <f t="shared" si="29"/>
        <v>1.8979904915003067</v>
      </c>
      <c r="AM79" s="17">
        <v>0</v>
      </c>
    </row>
    <row r="80" spans="34:39" x14ac:dyDescent="0.35">
      <c r="AH80" s="16" t="s">
        <v>30</v>
      </c>
      <c r="AI80" s="31" t="s">
        <v>51</v>
      </c>
      <c r="AJ80" s="122">
        <v>10</v>
      </c>
      <c r="AK80" s="46" t="str">
        <f t="shared" si="24"/>
        <v>N-1 Flexibility-1 10</v>
      </c>
      <c r="AL80" s="17">
        <f t="shared" si="29"/>
        <v>1673.888643129317</v>
      </c>
      <c r="AM80" s="17">
        <v>0</v>
      </c>
    </row>
    <row r="81" spans="34:39" x14ac:dyDescent="0.35">
      <c r="AH81" s="16" t="s">
        <v>30</v>
      </c>
      <c r="AI81" s="31" t="s">
        <v>52</v>
      </c>
      <c r="AJ81" s="122">
        <v>10</v>
      </c>
      <c r="AK81" s="46" t="str">
        <f t="shared" si="24"/>
        <v>N-1 Flexibility-2-1 10</v>
      </c>
      <c r="AL81" s="17">
        <f t="shared" si="29"/>
        <v>0</v>
      </c>
      <c r="AM81" s="17">
        <v>0</v>
      </c>
    </row>
    <row r="82" spans="34:39" x14ac:dyDescent="0.35">
      <c r="AH82" s="16" t="s">
        <v>30</v>
      </c>
      <c r="AI82" s="31" t="s">
        <v>53</v>
      </c>
      <c r="AJ82" s="122">
        <v>10</v>
      </c>
      <c r="AK82" s="46" t="str">
        <f t="shared" si="24"/>
        <v>N-1 Flexibility-2-2 10</v>
      </c>
      <c r="AL82" s="17">
        <f t="shared" si="29"/>
        <v>175.56884788828719</v>
      </c>
      <c r="AM82" s="17">
        <v>0</v>
      </c>
    </row>
    <row r="83" spans="34:39" x14ac:dyDescent="0.35">
      <c r="AH83" s="16" t="s">
        <v>54</v>
      </c>
      <c r="AI83" s="31" t="s">
        <v>24</v>
      </c>
      <c r="AJ83" s="122">
        <v>10</v>
      </c>
      <c r="AK83" s="46" t="str">
        <f t="shared" si="24"/>
        <v>Total Aggregate 10</v>
      </c>
      <c r="AL83" s="17">
        <f>L32</f>
        <v>2149.1179843608456</v>
      </c>
      <c r="AM83" s="17">
        <v>0</v>
      </c>
    </row>
    <row r="84" spans="34:39" x14ac:dyDescent="0.35">
      <c r="AH84" s="16" t="s">
        <v>39</v>
      </c>
      <c r="AI84" s="31" t="s">
        <v>31</v>
      </c>
      <c r="AJ84" s="122">
        <v>11</v>
      </c>
      <c r="AK84" s="46" t="str">
        <f t="shared" ref="AK84:AK104" si="30">CONCATENATE(AH84," ",AI84," ",AJ84)</f>
        <v>N-0 EENS 11</v>
      </c>
      <c r="AL84" s="17">
        <f t="shared" ref="AL84:AL89" si="31">M26/1000000</f>
        <v>288.11156846133497</v>
      </c>
      <c r="AM84" s="17">
        <v>0</v>
      </c>
    </row>
    <row r="85" spans="34:39" x14ac:dyDescent="0.35">
      <c r="AH85" s="16" t="s">
        <v>39</v>
      </c>
      <c r="AI85" s="31" t="s">
        <v>50</v>
      </c>
      <c r="AJ85" s="122">
        <v>11</v>
      </c>
      <c r="AK85" s="46" t="str">
        <f t="shared" si="30"/>
        <v>N-0 Losses 11</v>
      </c>
      <c r="AL85" s="17">
        <f t="shared" si="31"/>
        <v>0.2712114539792651</v>
      </c>
      <c r="AM85" s="17">
        <v>0</v>
      </c>
    </row>
    <row r="86" spans="34:39" x14ac:dyDescent="0.35">
      <c r="AH86" s="16" t="s">
        <v>30</v>
      </c>
      <c r="AI86" s="31" t="s">
        <v>31</v>
      </c>
      <c r="AJ86" s="122">
        <v>11</v>
      </c>
      <c r="AK86" s="46" t="str">
        <f t="shared" si="30"/>
        <v>N-1 EENS 11</v>
      </c>
      <c r="AL86" s="17">
        <f t="shared" si="31"/>
        <v>1.8979904915003067</v>
      </c>
      <c r="AM86" s="17">
        <v>0</v>
      </c>
    </row>
    <row r="87" spans="34:39" x14ac:dyDescent="0.35">
      <c r="AH87" s="16" t="s">
        <v>30</v>
      </c>
      <c r="AI87" s="31" t="s">
        <v>51</v>
      </c>
      <c r="AJ87" s="122">
        <v>11</v>
      </c>
      <c r="AK87" s="46" t="str">
        <f t="shared" si="30"/>
        <v>N-1 Flexibility-1 11</v>
      </c>
      <c r="AL87" s="17">
        <f t="shared" si="31"/>
        <v>1673.888643129317</v>
      </c>
      <c r="AM87" s="17">
        <v>0</v>
      </c>
    </row>
    <row r="88" spans="34:39" x14ac:dyDescent="0.35">
      <c r="AH88" s="16" t="s">
        <v>30</v>
      </c>
      <c r="AI88" s="31" t="s">
        <v>52</v>
      </c>
      <c r="AJ88" s="122">
        <v>11</v>
      </c>
      <c r="AK88" s="46" t="str">
        <f t="shared" si="30"/>
        <v>N-1 Flexibility-2-1 11</v>
      </c>
      <c r="AL88" s="17">
        <f t="shared" si="31"/>
        <v>0</v>
      </c>
      <c r="AM88" s="17">
        <v>0</v>
      </c>
    </row>
    <row r="89" spans="34:39" x14ac:dyDescent="0.35">
      <c r="AH89" s="16" t="s">
        <v>30</v>
      </c>
      <c r="AI89" s="31" t="s">
        <v>53</v>
      </c>
      <c r="AJ89" s="122">
        <v>11</v>
      </c>
      <c r="AK89" s="46" t="str">
        <f t="shared" si="30"/>
        <v>N-1 Flexibility-2-2 11</v>
      </c>
      <c r="AL89" s="17">
        <f t="shared" si="31"/>
        <v>175.56884788828719</v>
      </c>
      <c r="AM89" s="17">
        <v>0</v>
      </c>
    </row>
    <row r="90" spans="34:39" x14ac:dyDescent="0.35">
      <c r="AH90" s="16" t="s">
        <v>54</v>
      </c>
      <c r="AI90" s="31" t="s">
        <v>24</v>
      </c>
      <c r="AJ90" s="122">
        <v>11</v>
      </c>
      <c r="AK90" s="46" t="str">
        <f t="shared" si="30"/>
        <v>Total Aggregate 11</v>
      </c>
      <c r="AL90" s="17">
        <f>M32</f>
        <v>2139.4670499704403</v>
      </c>
      <c r="AM90" s="17">
        <v>0</v>
      </c>
    </row>
    <row r="91" spans="34:39" x14ac:dyDescent="0.35">
      <c r="AH91" s="16" t="s">
        <v>39</v>
      </c>
      <c r="AI91" s="31" t="s">
        <v>31</v>
      </c>
      <c r="AJ91" s="122">
        <v>12</v>
      </c>
      <c r="AK91" s="46" t="str">
        <f t="shared" si="30"/>
        <v>N-0 EENS 12</v>
      </c>
      <c r="AL91" s="17">
        <f t="shared" ref="AL91:AL96" si="32">N26/1000000</f>
        <v>297.76250285174012</v>
      </c>
      <c r="AM91" s="17">
        <v>0</v>
      </c>
    </row>
    <row r="92" spans="34:39" x14ac:dyDescent="0.35">
      <c r="AH92" s="16" t="s">
        <v>39</v>
      </c>
      <c r="AI92" s="31" t="s">
        <v>50</v>
      </c>
      <c r="AJ92" s="122">
        <v>12</v>
      </c>
      <c r="AK92" s="46" t="str">
        <f t="shared" si="30"/>
        <v>N-0 Losses 12</v>
      </c>
      <c r="AL92" s="17">
        <f t="shared" si="32"/>
        <v>3.3236041799647968</v>
      </c>
      <c r="AM92" s="17">
        <v>0</v>
      </c>
    </row>
    <row r="93" spans="34:39" x14ac:dyDescent="0.35">
      <c r="AH93" s="16" t="s">
        <v>30</v>
      </c>
      <c r="AI93" s="31" t="s">
        <v>31</v>
      </c>
      <c r="AJ93" s="122">
        <v>12</v>
      </c>
      <c r="AK93" s="46" t="str">
        <f t="shared" si="30"/>
        <v>N-1 EENS 12</v>
      </c>
      <c r="AL93" s="17">
        <f t="shared" si="32"/>
        <v>7.0217880745435801</v>
      </c>
      <c r="AM93" s="17">
        <v>0</v>
      </c>
    </row>
    <row r="94" spans="34:39" x14ac:dyDescent="0.35">
      <c r="AH94" s="16" t="s">
        <v>30</v>
      </c>
      <c r="AI94" s="31" t="s">
        <v>51</v>
      </c>
      <c r="AJ94" s="122">
        <v>12</v>
      </c>
      <c r="AK94" s="46" t="str">
        <f t="shared" si="30"/>
        <v>N-1 Flexibility-1 12</v>
      </c>
      <c r="AL94" s="17">
        <f t="shared" si="32"/>
        <v>3574.1028503006646</v>
      </c>
      <c r="AM94" s="17">
        <v>0</v>
      </c>
    </row>
    <row r="95" spans="34:39" x14ac:dyDescent="0.35">
      <c r="AH95" s="16" t="s">
        <v>30</v>
      </c>
      <c r="AI95" s="31" t="s">
        <v>52</v>
      </c>
      <c r="AJ95" s="122">
        <v>12</v>
      </c>
      <c r="AK95" s="46" t="str">
        <f t="shared" si="30"/>
        <v>N-1 Flexibility-2-1 12</v>
      </c>
      <c r="AL95" s="17">
        <f t="shared" si="32"/>
        <v>296.44525443023292</v>
      </c>
      <c r="AM95" s="17">
        <v>0</v>
      </c>
    </row>
    <row r="96" spans="34:39" x14ac:dyDescent="0.35">
      <c r="AH96" s="16" t="s">
        <v>30</v>
      </c>
      <c r="AI96" s="31" t="s">
        <v>53</v>
      </c>
      <c r="AJ96" s="122">
        <v>12</v>
      </c>
      <c r="AK96" s="46" t="str">
        <f t="shared" si="30"/>
        <v>N-1 Flexibility-2-2 12</v>
      </c>
      <c r="AL96" s="17">
        <f t="shared" si="32"/>
        <v>194.59759153534827</v>
      </c>
      <c r="AM96" s="17">
        <v>0</v>
      </c>
    </row>
    <row r="97" spans="34:39" x14ac:dyDescent="0.35">
      <c r="AH97" s="16" t="s">
        <v>54</v>
      </c>
      <c r="AI97" s="31" t="s">
        <v>24</v>
      </c>
      <c r="AJ97" s="122">
        <v>12</v>
      </c>
      <c r="AK97" s="46" t="str">
        <f t="shared" si="30"/>
        <v>Total Aggregate 12</v>
      </c>
      <c r="AL97" s="17">
        <f>N32</f>
        <v>4369.9299871925277</v>
      </c>
      <c r="AM97" s="17">
        <v>0</v>
      </c>
    </row>
    <row r="98" spans="34:39" x14ac:dyDescent="0.35">
      <c r="AH98" s="16" t="s">
        <v>39</v>
      </c>
      <c r="AI98" s="31" t="s">
        <v>31</v>
      </c>
      <c r="AJ98" s="70">
        <v>13</v>
      </c>
      <c r="AK98" s="71" t="str">
        <f t="shared" si="30"/>
        <v>N-0 EENS 13</v>
      </c>
      <c r="AL98" s="17">
        <f t="shared" ref="AL98:AL103" si="33">O26/1000000</f>
        <v>248.94226637416358</v>
      </c>
      <c r="AM98" s="17">
        <v>0</v>
      </c>
    </row>
    <row r="99" spans="34:39" x14ac:dyDescent="0.35">
      <c r="AH99" s="16" t="s">
        <v>39</v>
      </c>
      <c r="AI99" s="31" t="s">
        <v>50</v>
      </c>
      <c r="AJ99" s="70">
        <v>13</v>
      </c>
      <c r="AK99" s="71" t="str">
        <f t="shared" si="30"/>
        <v>N-0 Losses 13</v>
      </c>
      <c r="AL99" s="17">
        <f t="shared" si="33"/>
        <v>0.27055144109136564</v>
      </c>
      <c r="AM99" s="17">
        <v>0</v>
      </c>
    </row>
    <row r="100" spans="34:39" x14ac:dyDescent="0.35">
      <c r="AH100" s="16" t="s">
        <v>30</v>
      </c>
      <c r="AI100" s="31" t="s">
        <v>31</v>
      </c>
      <c r="AJ100" s="70">
        <v>13</v>
      </c>
      <c r="AK100" s="71" t="str">
        <f t="shared" si="30"/>
        <v>N-1 EENS 13</v>
      </c>
      <c r="AL100" s="17">
        <f t="shared" si="33"/>
        <v>1.3871742960933757</v>
      </c>
      <c r="AM100" s="17">
        <v>0</v>
      </c>
    </row>
    <row r="101" spans="34:39" x14ac:dyDescent="0.35">
      <c r="AH101" s="16" t="s">
        <v>30</v>
      </c>
      <c r="AI101" s="31" t="s">
        <v>51</v>
      </c>
      <c r="AJ101" s="70">
        <v>13</v>
      </c>
      <c r="AK101" s="71" t="str">
        <f t="shared" si="30"/>
        <v>N-1 Flexibility-1 13</v>
      </c>
      <c r="AL101" s="17">
        <f t="shared" si="33"/>
        <v>1522.2388180367386</v>
      </c>
      <c r="AM101" s="17">
        <v>0</v>
      </c>
    </row>
    <row r="102" spans="34:39" x14ac:dyDescent="0.35">
      <c r="AH102" s="16" t="s">
        <v>30</v>
      </c>
      <c r="AI102" s="31" t="s">
        <v>52</v>
      </c>
      <c r="AJ102" s="70">
        <v>13</v>
      </c>
      <c r="AK102" s="71" t="str">
        <f t="shared" si="30"/>
        <v>N-1 Flexibility-2-1 13</v>
      </c>
      <c r="AL102" s="17">
        <f t="shared" si="33"/>
        <v>0</v>
      </c>
      <c r="AM102" s="17">
        <v>0</v>
      </c>
    </row>
    <row r="103" spans="34:39" x14ac:dyDescent="0.35">
      <c r="AH103" s="16" t="s">
        <v>30</v>
      </c>
      <c r="AI103" s="31" t="s">
        <v>53</v>
      </c>
      <c r="AJ103" s="70">
        <v>13</v>
      </c>
      <c r="AK103" s="71" t="str">
        <f t="shared" si="30"/>
        <v>N-1 Flexibility-2-2 13</v>
      </c>
      <c r="AL103" s="17">
        <f t="shared" si="33"/>
        <v>175.55861366991127</v>
      </c>
      <c r="AM103" s="17">
        <v>0</v>
      </c>
    </row>
    <row r="104" spans="34:39" x14ac:dyDescent="0.35">
      <c r="AH104" s="16" t="s">
        <v>54</v>
      </c>
      <c r="AI104" s="31" t="s">
        <v>24</v>
      </c>
      <c r="AJ104" s="70">
        <v>13</v>
      </c>
      <c r="AK104" s="71" t="str">
        <f t="shared" si="30"/>
        <v>Total Aggregate 13</v>
      </c>
      <c r="AL104" s="17">
        <f>O32</f>
        <v>1948.1268723769072</v>
      </c>
      <c r="AM104" s="17">
        <v>0</v>
      </c>
    </row>
    <row r="105" spans="34:39" x14ac:dyDescent="0.35">
      <c r="AH105" s="88"/>
      <c r="AI105" s="88"/>
      <c r="AJ105" s="88"/>
      <c r="AK105" s="88"/>
      <c r="AL105" s="88"/>
      <c r="AM105" s="88"/>
    </row>
    <row r="106" spans="34:39" x14ac:dyDescent="0.35">
      <c r="AH106" s="88"/>
      <c r="AI106" s="88"/>
      <c r="AJ106" s="88"/>
      <c r="AK106" s="88"/>
      <c r="AL106" s="88"/>
      <c r="AM106" s="88"/>
    </row>
    <row r="107" spans="34:39" x14ac:dyDescent="0.35">
      <c r="AH107" s="88"/>
      <c r="AI107" s="88"/>
      <c r="AJ107" s="88"/>
      <c r="AK107" s="88"/>
      <c r="AL107" s="88"/>
      <c r="AM107" s="88"/>
    </row>
    <row r="108" spans="34:39" x14ac:dyDescent="0.35">
      <c r="AH108" s="88"/>
      <c r="AI108" s="88"/>
      <c r="AJ108" s="88"/>
      <c r="AK108" s="88"/>
      <c r="AL108" s="88"/>
      <c r="AM108" s="88"/>
    </row>
    <row r="109" spans="34:39" x14ac:dyDescent="0.35">
      <c r="AH109" s="88"/>
      <c r="AI109" s="88"/>
      <c r="AJ109" s="88"/>
      <c r="AK109" s="88"/>
      <c r="AL109" s="88"/>
      <c r="AM109" s="88"/>
    </row>
    <row r="110" spans="34:39" x14ac:dyDescent="0.35">
      <c r="AH110" s="88"/>
      <c r="AI110" s="88"/>
      <c r="AJ110" s="88"/>
      <c r="AK110" s="88"/>
      <c r="AL110" s="88"/>
      <c r="AM110" s="88"/>
    </row>
    <row r="111" spans="34:39" x14ac:dyDescent="0.35">
      <c r="AH111" s="88"/>
      <c r="AI111" s="88"/>
      <c r="AJ111" s="88"/>
      <c r="AK111" s="88"/>
      <c r="AL111" s="88"/>
      <c r="AM111" s="88"/>
    </row>
    <row r="112" spans="34:39" x14ac:dyDescent="0.35">
      <c r="AH112" s="88"/>
      <c r="AI112" s="88"/>
      <c r="AJ112" s="88"/>
      <c r="AK112" s="88"/>
      <c r="AL112" s="88"/>
      <c r="AM112" s="88"/>
    </row>
    <row r="113" spans="36:38" x14ac:dyDescent="0.35">
      <c r="AJ113" s="88"/>
      <c r="AK113" s="88"/>
      <c r="AL113" s="88"/>
    </row>
    <row r="114" spans="36:38" x14ac:dyDescent="0.35">
      <c r="AJ114" s="88"/>
      <c r="AK114" s="88"/>
      <c r="AL114" s="88"/>
    </row>
    <row r="115" spans="36:38" x14ac:dyDescent="0.35">
      <c r="AJ115" s="88"/>
      <c r="AK115" s="88"/>
      <c r="AL115" s="88"/>
    </row>
    <row r="116" spans="36:38" x14ac:dyDescent="0.35">
      <c r="AJ116" s="88"/>
      <c r="AK116" s="88"/>
      <c r="AL116" s="88"/>
    </row>
    <row r="117" spans="36:38" x14ac:dyDescent="0.35">
      <c r="AJ117" s="88"/>
      <c r="AK117" s="88"/>
      <c r="AL117" s="88"/>
    </row>
    <row r="118" spans="36:38" x14ac:dyDescent="0.35">
      <c r="AJ118" s="88"/>
      <c r="AK118" s="88"/>
      <c r="AL118" s="88"/>
    </row>
    <row r="119" spans="36:38" x14ac:dyDescent="0.35">
      <c r="AJ119" s="88"/>
      <c r="AK119" s="88"/>
      <c r="AL119" s="88"/>
    </row>
    <row r="120" spans="36:38" x14ac:dyDescent="0.35">
      <c r="AJ120" s="88"/>
      <c r="AK120" s="88"/>
      <c r="AL120" s="88"/>
    </row>
    <row r="121" spans="36:38" x14ac:dyDescent="0.35">
      <c r="AJ121" s="88"/>
      <c r="AK121" s="88"/>
      <c r="AL121" s="88"/>
    </row>
    <row r="122" spans="36:38" x14ac:dyDescent="0.35">
      <c r="AJ122" s="88"/>
      <c r="AK122" s="88"/>
      <c r="AL122" s="88"/>
    </row>
    <row r="123" spans="36:38" x14ac:dyDescent="0.35">
      <c r="AJ123" s="88"/>
      <c r="AK123" s="88"/>
      <c r="AL123" s="88"/>
    </row>
    <row r="124" spans="36:38" x14ac:dyDescent="0.35">
      <c r="AJ124" s="88"/>
      <c r="AK124" s="88"/>
      <c r="AL124" s="88"/>
    </row>
    <row r="125" spans="36:38" x14ac:dyDescent="0.35">
      <c r="AJ125" s="88"/>
      <c r="AK125" s="88"/>
      <c r="AL125" s="88"/>
    </row>
    <row r="126" spans="36:38" x14ac:dyDescent="0.35">
      <c r="AJ126" s="88"/>
      <c r="AK126" s="88"/>
      <c r="AL126" s="88"/>
    </row>
    <row r="127" spans="36:38" x14ac:dyDescent="0.35">
      <c r="AJ127" s="88"/>
      <c r="AK127" s="88"/>
      <c r="AL127" s="88"/>
    </row>
    <row r="128" spans="36:38" x14ac:dyDescent="0.35">
      <c r="AJ128" s="88"/>
      <c r="AK128" s="88"/>
      <c r="AL128" s="88"/>
    </row>
    <row r="129" spans="36:38" x14ac:dyDescent="0.35">
      <c r="AJ129" s="88"/>
      <c r="AK129" s="88"/>
      <c r="AL129" s="88"/>
    </row>
    <row r="130" spans="36:38" x14ac:dyDescent="0.35">
      <c r="AJ130" s="88"/>
      <c r="AK130" s="88"/>
      <c r="AL130" s="88"/>
    </row>
    <row r="131" spans="36:38" x14ac:dyDescent="0.35">
      <c r="AJ131" s="88"/>
      <c r="AK131" s="88"/>
      <c r="AL131" s="88"/>
    </row>
    <row r="132" spans="36:38" x14ac:dyDescent="0.35">
      <c r="AJ132" s="88"/>
      <c r="AK132" s="88"/>
      <c r="AL132" s="88"/>
    </row>
    <row r="133" spans="36:38" x14ac:dyDescent="0.35">
      <c r="AJ133" s="88"/>
      <c r="AK133" s="88"/>
      <c r="AL133" s="88"/>
    </row>
  </sheetData>
  <autoFilter ref="A4:D11" xr:uid="{00000000-0009-0000-0000-000002000000}">
    <sortState xmlns:xlrd2="http://schemas.microsoft.com/office/spreadsheetml/2017/richdata2" ref="A5:D18">
      <sortCondition ref="C4:C11"/>
    </sortState>
  </autoFilter>
  <mergeCells count="130">
    <mergeCell ref="U45:V45"/>
    <mergeCell ref="U46:V46"/>
    <mergeCell ref="U47:V47"/>
    <mergeCell ref="U48:V48"/>
    <mergeCell ref="U49:V49"/>
    <mergeCell ref="AC39:AC41"/>
    <mergeCell ref="U40:V40"/>
    <mergeCell ref="U42:V42"/>
    <mergeCell ref="U43:V43"/>
    <mergeCell ref="U44:V44"/>
    <mergeCell ref="W42:X42"/>
    <mergeCell ref="W43:X43"/>
    <mergeCell ref="W44:X44"/>
    <mergeCell ref="W45:X45"/>
    <mergeCell ref="W46:X46"/>
    <mergeCell ref="W47:X47"/>
    <mergeCell ref="W48:X48"/>
    <mergeCell ref="W49:X49"/>
    <mergeCell ref="Y42:Z42"/>
    <mergeCell ref="Y43:Z43"/>
    <mergeCell ref="Y44:Z44"/>
    <mergeCell ref="Y45:Z45"/>
    <mergeCell ref="Y46:Z46"/>
    <mergeCell ref="Y47:Z47"/>
    <mergeCell ref="B2:O2"/>
    <mergeCell ref="S46:T46"/>
    <mergeCell ref="M45:N45"/>
    <mergeCell ref="O45:P45"/>
    <mergeCell ref="M47:N47"/>
    <mergeCell ref="O47:P47"/>
    <mergeCell ref="Q47:R47"/>
    <mergeCell ref="S47:T47"/>
    <mergeCell ref="Q45:R45"/>
    <mergeCell ref="M46:N46"/>
    <mergeCell ref="O46:P46"/>
    <mergeCell ref="Q46:R46"/>
    <mergeCell ref="C47:D47"/>
    <mergeCell ref="E47:F47"/>
    <mergeCell ref="G47:H47"/>
    <mergeCell ref="I47:J47"/>
    <mergeCell ref="K47:L47"/>
    <mergeCell ref="C46:D46"/>
    <mergeCell ref="E46:F46"/>
    <mergeCell ref="G46:H46"/>
    <mergeCell ref="I46:J46"/>
    <mergeCell ref="K46:L46"/>
    <mergeCell ref="S44:T44"/>
    <mergeCell ref="C45:D45"/>
    <mergeCell ref="A49:B49"/>
    <mergeCell ref="C49:D49"/>
    <mergeCell ref="E49:F49"/>
    <mergeCell ref="G49:H49"/>
    <mergeCell ref="I49:J49"/>
    <mergeCell ref="K49:L49"/>
    <mergeCell ref="M49:N49"/>
    <mergeCell ref="O49:P49"/>
    <mergeCell ref="S49:T49"/>
    <mergeCell ref="O48:P48"/>
    <mergeCell ref="Q48:R48"/>
    <mergeCell ref="M48:N48"/>
    <mergeCell ref="Q49:R49"/>
    <mergeCell ref="S48:T48"/>
    <mergeCell ref="C48:D48"/>
    <mergeCell ref="E48:F48"/>
    <mergeCell ref="G48:H48"/>
    <mergeCell ref="I48:J48"/>
    <mergeCell ref="K48:L48"/>
    <mergeCell ref="E45:F45"/>
    <mergeCell ref="G45:H45"/>
    <mergeCell ref="I45:J45"/>
    <mergeCell ref="K45:L45"/>
    <mergeCell ref="C44:D44"/>
    <mergeCell ref="E44:F44"/>
    <mergeCell ref="G44:H44"/>
    <mergeCell ref="I44:J44"/>
    <mergeCell ref="S45:T45"/>
    <mergeCell ref="K44:L44"/>
    <mergeCell ref="M44:N44"/>
    <mergeCell ref="O44:P44"/>
    <mergeCell ref="Q44:R44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M42:N42"/>
    <mergeCell ref="O42:P42"/>
    <mergeCell ref="Q42:R42"/>
    <mergeCell ref="C42:D42"/>
    <mergeCell ref="E42:F42"/>
    <mergeCell ref="G42:H42"/>
    <mergeCell ref="I42:J42"/>
    <mergeCell ref="K42:L42"/>
    <mergeCell ref="S42:T42"/>
    <mergeCell ref="AH5:AI5"/>
    <mergeCell ref="A25:B25"/>
    <mergeCell ref="A34:P34"/>
    <mergeCell ref="A35:G35"/>
    <mergeCell ref="A36:B36"/>
    <mergeCell ref="C22:O22"/>
    <mergeCell ref="A23:O23"/>
    <mergeCell ref="A24:B24"/>
    <mergeCell ref="A39:B41"/>
    <mergeCell ref="C40:D40"/>
    <mergeCell ref="E40:F40"/>
    <mergeCell ref="G40:H40"/>
    <mergeCell ref="I40:J40"/>
    <mergeCell ref="Q40:R40"/>
    <mergeCell ref="K40:L40"/>
    <mergeCell ref="M40:N40"/>
    <mergeCell ref="C39:V39"/>
    <mergeCell ref="O40:P40"/>
    <mergeCell ref="S40:T40"/>
    <mergeCell ref="W40:X40"/>
    <mergeCell ref="Y40:Z40"/>
    <mergeCell ref="Y48:Z48"/>
    <mergeCell ref="Y49:Z49"/>
    <mergeCell ref="AA40:AB40"/>
    <mergeCell ref="AA42:AB42"/>
    <mergeCell ref="AA43:AB43"/>
    <mergeCell ref="AA44:AB44"/>
    <mergeCell ref="AA45:AB45"/>
    <mergeCell ref="AA46:AB46"/>
    <mergeCell ref="AA47:AB47"/>
    <mergeCell ref="AA48:AB48"/>
    <mergeCell ref="AA49:AB49"/>
  </mergeCells>
  <conditionalFormatting sqref="O42:R42">
    <cfRule type="colorScale" priority="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">
    <cfRule type="colorScale" priority="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2 G42 I42 K42">
    <cfRule type="colorScale" priority="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L42">
    <cfRule type="colorScale" priority="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D42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:N42">
    <cfRule type="colorScale" priority="8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2 Q42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R42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3:R43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3 G43 I43 K43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:L43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:D43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3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3:N43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3 Q43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:R43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2:T42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T42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T42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3:T43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T43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:T43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4:R44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4 G44 I44 K44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:L44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:D44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4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4:N44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4 Q44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:R44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4:T44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T44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4:T44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5:R45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5 E45 I45 K45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L45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D45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5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5:N45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5 Q45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R45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5:T45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T45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T45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6:R46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 E46 I46 K46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:L46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:D46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6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6:N46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6 Q46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:R46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6:T46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T46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6:T4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7:R47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7 E47 I47 K47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:L47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:D4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7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7:N47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7 Q47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:R47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7:T47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T47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7:T47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8:R48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 E48 I48 K48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48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D48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8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8:N48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8 Q48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R48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8:T48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T48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8:T48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2:U48 W42:W48 Y42:Y48 AA42:AA48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D52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D52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D5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D53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D5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D5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D5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D5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D5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D5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D5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D5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D5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D5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D6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D6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1:D6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1:D6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2:D6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2:D6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3:D6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3:D6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D5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D5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2:AB48">
    <cfRule type="colorScale" priority="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2:AB48">
    <cfRule type="colorScale" priority="9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"/>
  <sheetViews>
    <sheetView workbookViewId="0"/>
  </sheetViews>
  <sheetFormatPr defaultRowHeight="14.5" x14ac:dyDescent="0.35"/>
  <cols>
    <col min="2" max="2" width="18.54296875" bestFit="1" customWidth="1"/>
  </cols>
  <sheetData>
    <row r="1" spans="1:18" s="88" customFormat="1" x14ac:dyDescent="0.35"/>
    <row r="2" spans="1:18" ht="15.5" x14ac:dyDescent="0.35">
      <c r="A2" s="88"/>
      <c r="B2" s="158" t="s">
        <v>76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88"/>
      <c r="Q2" s="88"/>
      <c r="R2" s="88"/>
    </row>
    <row r="3" spans="1:18" s="88" customFormat="1" ht="15.5" x14ac:dyDescent="0.35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8" ht="17" x14ac:dyDescent="0.35">
      <c r="A4" s="126"/>
      <c r="B4" s="126"/>
      <c r="C4" s="160" t="s">
        <v>77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1" t="s">
        <v>78</v>
      </c>
      <c r="Q4" s="161"/>
      <c r="R4" s="161"/>
    </row>
    <row r="5" spans="1:18" ht="174" x14ac:dyDescent="0.35">
      <c r="A5" s="123"/>
      <c r="B5" s="91"/>
      <c r="C5" s="90" t="s">
        <v>9</v>
      </c>
      <c r="D5" s="90" t="s">
        <v>11</v>
      </c>
      <c r="E5" s="90" t="s">
        <v>12</v>
      </c>
      <c r="F5" s="90" t="s">
        <v>14</v>
      </c>
      <c r="G5" s="90" t="s">
        <v>16</v>
      </c>
      <c r="H5" s="90" t="s">
        <v>15</v>
      </c>
      <c r="I5" s="90" t="s">
        <v>18</v>
      </c>
      <c r="J5" s="90" t="s">
        <v>10</v>
      </c>
      <c r="K5" s="90" t="s">
        <v>20</v>
      </c>
      <c r="L5" s="90" t="s">
        <v>21</v>
      </c>
      <c r="M5" s="90" t="s">
        <v>19</v>
      </c>
      <c r="N5" s="90" t="s">
        <v>17</v>
      </c>
      <c r="O5" s="90" t="s">
        <v>13</v>
      </c>
      <c r="P5" s="160"/>
      <c r="Q5" s="160"/>
      <c r="R5" s="160"/>
    </row>
    <row r="6" spans="1:18" x14ac:dyDescent="0.35">
      <c r="A6" s="159" t="s">
        <v>79</v>
      </c>
      <c r="B6" s="159"/>
      <c r="C6" s="125">
        <v>1</v>
      </c>
      <c r="D6" s="125">
        <v>2</v>
      </c>
      <c r="E6" s="125">
        <v>3</v>
      </c>
      <c r="F6" s="125">
        <v>4</v>
      </c>
      <c r="G6" s="125">
        <v>5</v>
      </c>
      <c r="H6" s="125">
        <v>6</v>
      </c>
      <c r="I6" s="125">
        <v>7</v>
      </c>
      <c r="J6" s="125">
        <v>8</v>
      </c>
      <c r="K6" s="125">
        <v>9</v>
      </c>
      <c r="L6" s="125">
        <v>10</v>
      </c>
      <c r="M6" s="125">
        <v>11</v>
      </c>
      <c r="N6" s="125">
        <v>12</v>
      </c>
      <c r="O6" s="125">
        <v>13</v>
      </c>
      <c r="P6" s="118" t="s">
        <v>80</v>
      </c>
      <c r="Q6" s="125" t="s">
        <v>81</v>
      </c>
      <c r="R6" s="125" t="s">
        <v>82</v>
      </c>
    </row>
    <row r="7" spans="1:18" x14ac:dyDescent="0.35">
      <c r="A7" s="125" t="s">
        <v>30</v>
      </c>
      <c r="B7" s="122" t="s">
        <v>83</v>
      </c>
      <c r="C7" s="114">
        <f>Summary!$D$7/'Alberhill System Project'!$B44</f>
        <v>0.18520140328338536</v>
      </c>
      <c r="D7" s="114">
        <f>Summary!$D$8/'SDG&amp;E'!$B44</f>
        <v>0.15356466755240922</v>
      </c>
      <c r="E7" s="114">
        <f>Summary!$D$9/'Valley S to Valley N to Vista'!$B45</f>
        <v>0.67580401163673731</v>
      </c>
      <c r="F7" s="114">
        <f>Summary!$D$10/'Centralized BESS in Valley S'!$B44</f>
        <v>0.1882722469992224</v>
      </c>
      <c r="G7" s="114">
        <f>Summary!$D$11/'MiraLoma &amp; Centralized BESS VS'!$B44</f>
        <v>0.22675691686192265</v>
      </c>
      <c r="H7" s="114">
        <f>Summary!$D$12/'VS to VN &amp; Distributed BESS VS'!$B45</f>
        <v>0.33367111385485709</v>
      </c>
      <c r="I7" s="114">
        <f>Summary!$D$13/Menifee!$B44</f>
        <v>0.76998517659180199</v>
      </c>
      <c r="J7" s="114">
        <f>Summary!$D$14/'Mira Loma'!$B44</f>
        <v>0.25159398210396366</v>
      </c>
      <c r="K7" s="114">
        <f>Summary!$D$15/'SCE Orange County'!$B44</f>
        <v>0.32217564575000657</v>
      </c>
      <c r="L7" s="114">
        <f>Summary!$D$16/'VS to VN &amp; Central BESS VS VN '!$B45</f>
        <v>0.53181883350503845</v>
      </c>
      <c r="M7" s="114">
        <f>Summary!$D$17/'VS to VN to VST &amp; Cen BESS VS'!$B45</f>
        <v>0.43228849315633017</v>
      </c>
      <c r="N7" s="114">
        <f>Summary!$D$18/'SDG&amp;E and Central BESS in VS'!$B44</f>
        <v>0.1830333670827223</v>
      </c>
      <c r="O7" s="114">
        <f>Summary!$D$19/'Valley South to Valley North'!$B45</f>
        <v>0.4630508968622089</v>
      </c>
      <c r="P7" s="118">
        <f>INDEX($C$6:$O$6,1,MATCH(SMALL($C7:$O7,1),$C7:$O7,0))</f>
        <v>2</v>
      </c>
      <c r="Q7" s="125">
        <f>INDEX($C$6:$O$6,1,MATCH(SMALL($C7:$O7,2),$C7:$O7,0))</f>
        <v>12</v>
      </c>
      <c r="R7" s="125">
        <f>INDEX($C$6:$O$6,1,MATCH(SMALL($C7:$O7,3),$C7:$O7,0))</f>
        <v>1</v>
      </c>
    </row>
    <row r="8" spans="1:18" x14ac:dyDescent="0.35">
      <c r="A8" s="125" t="s">
        <v>30</v>
      </c>
      <c r="B8" s="122" t="s">
        <v>84</v>
      </c>
      <c r="C8" s="114">
        <f>Summary!$D$7/'Alberhill System Project'!$B45</f>
        <v>4.1002911862335703</v>
      </c>
      <c r="D8" s="114">
        <f>Summary!$D$8/'SDG&amp;E'!$B45</f>
        <v>3.0515528014707933</v>
      </c>
      <c r="E8" s="114">
        <f>ABS(Summary!$D$9/'Valley S to Valley N to Vista'!$B46)</f>
        <v>7.6980376174252907</v>
      </c>
      <c r="F8" s="114">
        <f>Summary!$D$10/'Centralized BESS in Valley S'!$B45</f>
        <v>3.7412427736582217</v>
      </c>
      <c r="G8" s="114">
        <f>Summary!$D$11/'MiraLoma &amp; Centralized BESS VS'!$B45</f>
        <v>7.3970280787499325</v>
      </c>
      <c r="H8" s="114">
        <f>ABS(Summary!$D$12/'VS to VN &amp; Distributed BESS VS'!$B46)</f>
        <v>5.9563120623623584</v>
      </c>
      <c r="I8" s="114">
        <f>ABS(Summary!$D$13/Menifee!$B45)</f>
        <v>8.3702716745259522</v>
      </c>
      <c r="J8" s="114">
        <f>Summary!$D$14/'Mira Loma'!$B45</f>
        <v>9.6319524237106826</v>
      </c>
      <c r="K8" s="114">
        <f>Summary!$D$15/'SCE Orange County'!$B45</f>
        <v>7.6717754688150741</v>
      </c>
      <c r="L8" s="114">
        <f>ABS(Summary!$D$16/'VS to VN &amp; Central BESS VS VN '!$B46)</f>
        <v>11.728869801671086</v>
      </c>
      <c r="M8" s="114">
        <f>ABS(Summary!$D$17/'VS to VN to VST &amp; Cen BESS VS'!$B46)</f>
        <v>9.5338019896264967</v>
      </c>
      <c r="N8" s="114">
        <f>Summary!$D$18/'SDG&amp;E and Central BESS in VS'!$B45</f>
        <v>3.6371386269129498</v>
      </c>
      <c r="O8" s="114">
        <f>ABS(Summary!$D$19/'Valley South to Valley North'!$B46)</f>
        <v>5.2745813304580693</v>
      </c>
      <c r="P8" s="118">
        <f>INDEX($C$6:$O$6,1,MATCH(SMALL($C8:$O8,1),$C8:$O8,0))</f>
        <v>2</v>
      </c>
      <c r="Q8" s="125">
        <f>INDEX($C$6:$O$6,1,MATCH(SMALL($C8:$O8,2),$C8:$O8,0))</f>
        <v>12</v>
      </c>
      <c r="R8" s="125">
        <f>INDEX($C$6:$O$6,1,MATCH(SMALL($C8:$O8,3),$C8:$O8,0))</f>
        <v>4</v>
      </c>
    </row>
    <row r="9" spans="1:18" x14ac:dyDescent="0.35">
      <c r="A9" s="125" t="s">
        <v>30</v>
      </c>
      <c r="B9" s="122" t="s">
        <v>85</v>
      </c>
      <c r="C9" s="114">
        <f>Summary!$D$7/'Alberhill System Project'!$B46</f>
        <v>3.4967619340894207</v>
      </c>
      <c r="D9" s="114">
        <f>Summary!$D$8/'SDG&amp;E'!$B46</f>
        <v>2.9426814916258803</v>
      </c>
      <c r="E9" s="114">
        <f>Summary!$D$9/'Valley S to Valley N to Vista'!$B47</f>
        <v>18.8750257785012</v>
      </c>
      <c r="F9" s="114">
        <f>Summary!$D$10/'Centralized BESS in Valley S'!$B46</f>
        <v>3.6077651549784249</v>
      </c>
      <c r="G9" s="114">
        <f>Summary!$D$11/'MiraLoma &amp; Centralized BESS VS'!$B46</f>
        <v>4.0175627699221836</v>
      </c>
      <c r="H9" s="114">
        <f>Summary!$D$12/'VS to VN &amp; Distributed BESS VS'!$B47</f>
        <v>4.6242808885276157</v>
      </c>
      <c r="I9" s="114">
        <f>Summary!$D$13/Menifee!$B46</f>
        <v>23.378699919837075</v>
      </c>
      <c r="J9" s="114">
        <f>Summary!$D$14/'Mira Loma'!$B46</f>
        <v>3.2518625011581372</v>
      </c>
      <c r="K9" s="114">
        <f>Summary!$D$15/'SCE Orange County'!$B46</f>
        <v>5.3963101277371726</v>
      </c>
      <c r="L9" s="114">
        <f>Summary!$D$16/'VS to VN &amp; Central BESS VS VN '!$B47</f>
        <v>6.8048740279691096</v>
      </c>
      <c r="M9" s="114">
        <f>Summary!$D$17/'VS to VN to VST &amp; Cen BESS VS'!$B47</f>
        <v>5.5313361512262871</v>
      </c>
      <c r="N9" s="114">
        <f>Summary!$D$18/'SDG&amp;E and Central BESS in VS'!$B46</f>
        <v>3.507375168057286</v>
      </c>
      <c r="O9" s="114">
        <f>Summary!$D$19/'Valley South to Valley North'!$B47</f>
        <v>12.932888033417489</v>
      </c>
      <c r="P9" s="118">
        <f>INDEX($C$6:$O$6,1,MATCH(SMALL($C9:$O9,1),$C9:$O9,0))</f>
        <v>2</v>
      </c>
      <c r="Q9" s="125">
        <f>INDEX($C$6:$O$6,1,MATCH(SMALL($C9:$O9,2),$C9:$O9,0))</f>
        <v>8</v>
      </c>
      <c r="R9" s="125">
        <f>INDEX($C$6:$O$6,1,MATCH(SMALL($C9:$O9,3),$C9:$O9,0))</f>
        <v>1</v>
      </c>
    </row>
    <row r="10" spans="1:18" x14ac:dyDescent="0.35">
      <c r="A10" s="125" t="s">
        <v>30</v>
      </c>
      <c r="B10" s="122" t="s">
        <v>86</v>
      </c>
      <c r="C10" s="114">
        <f>Summary!$D$7/'Alberhill System Project'!$B47</f>
        <v>232.58345977780223</v>
      </c>
      <c r="D10" s="114">
        <f>Summary!$D$8/'SDG&amp;E'!$B47</f>
        <v>178.64831122214204</v>
      </c>
      <c r="E10" s="114">
        <f>Summary!$D$9/'Valley S to Valley N to Vista'!$B48</f>
        <v>1542.0621919274472</v>
      </c>
      <c r="F10" s="114">
        <f>Summary!$D$10/'Centralized BESS in Valley S'!$B47</f>
        <v>219.02511503780741</v>
      </c>
      <c r="G10" s="114">
        <f>Summary!$D$11/'MiraLoma &amp; Centralized BESS VS'!$B47</f>
        <v>275.55778247362497</v>
      </c>
      <c r="H10" s="114">
        <f>Summary!$D$12/'VS to VN &amp; Distributed BESS VS'!$B48</f>
        <v>565.51761520244315</v>
      </c>
      <c r="I10" s="114">
        <f>ABS(Summary!$D$13/Menifee!$B47)</f>
        <v>1893.1653139737368</v>
      </c>
      <c r="J10" s="114">
        <f>Summary!$D$14/'Mira Loma'!$B47</f>
        <v>390.87106771560281</v>
      </c>
      <c r="K10" s="114">
        <f>Summary!$D$15/'SCE Orange County'!$B47</f>
        <v>406.87692463675472</v>
      </c>
      <c r="L10" s="114">
        <f>Summary!$D$16/'VS to VN &amp; Central BESS VS VN '!$B48</f>
        <v>848.68259366416225</v>
      </c>
      <c r="M10" s="114">
        <f>Summary!$D$17/'VS to VN to VST &amp; Cen BESS VS'!$B48</f>
        <v>689.85093507338331</v>
      </c>
      <c r="N10" s="114">
        <f>Summary!$D$18/'SDG&amp;E and Central BESS in VS'!$B47</f>
        <v>212.9305031411032</v>
      </c>
      <c r="O10" s="114">
        <f>Summary!$D$19/'Valley South to Valley North'!$B48</f>
        <v>1056.5981685428806</v>
      </c>
      <c r="P10" s="118">
        <f>INDEX($C$6:$O$6,1,MATCH(SMALL($C10:$O10,1),$C10:$O10,0))</f>
        <v>2</v>
      </c>
      <c r="Q10" s="125">
        <f>INDEX($C$6:$O$6,1,MATCH(SMALL($C10:$O10,2),$C10:$O10,0))</f>
        <v>12</v>
      </c>
      <c r="R10" s="125">
        <f>INDEX($C$6:$O$6,1,MATCH(SMALL($C10:$O10,3),$C10:$O10,0))</f>
        <v>4</v>
      </c>
    </row>
    <row r="11" spans="1:18" x14ac:dyDescent="0.35">
      <c r="A11" s="125" t="s">
        <v>30</v>
      </c>
      <c r="B11" s="122" t="s">
        <v>87</v>
      </c>
      <c r="C11" s="114">
        <f>Summary!$D$7/'Alberhill System Project'!$B48</f>
        <v>1.2957448801681744</v>
      </c>
      <c r="D11" s="114">
        <f>Summary!$D$8/'SDG&amp;E'!$B48</f>
        <v>1.0876743701916054</v>
      </c>
      <c r="E11" s="114">
        <f>Summary!$D$9/'Valley S to Valley N to Vista'!$B49</f>
        <v>1.0114021962048625</v>
      </c>
      <c r="F11" s="114">
        <f>Summary!$D$10/'Centralized BESS in Valley S'!$B48</f>
        <v>1.3335026926656142</v>
      </c>
      <c r="G11" s="114">
        <f>Summary!$D$11/'MiraLoma &amp; Centralized BESS VS'!$B48</f>
        <v>1.7129014709219861</v>
      </c>
      <c r="H11" s="114">
        <f>Summary!$D$12/'VS to VN &amp; Distributed BESS VS'!$B49</f>
        <v>0.75871961464797832</v>
      </c>
      <c r="I11" s="114">
        <f>Summary!$D$13/Menifee!$B48</f>
        <v>1.1773565893369846</v>
      </c>
      <c r="J11" s="114">
        <f>Summary!$D$14/'Mira Loma'!$B48</f>
        <v>0.88985987621117879</v>
      </c>
      <c r="K11" s="114">
        <f>Summary!$D$15/'SCE Orange County'!$B48</f>
        <v>2.0251827287661408</v>
      </c>
      <c r="L11" s="114">
        <f>Summary!$D$16/'VS to VN &amp; Central BESS VS VN '!$B49</f>
        <v>1.321633512978613</v>
      </c>
      <c r="M11" s="114">
        <f>Summary!$D$17/'VS to VN to VST &amp; Cen BESS VS'!$B49</f>
        <v>1.0742886935105485</v>
      </c>
      <c r="N11" s="114">
        <f>Summary!$D$18/'SDG&amp;E and Central BESS in VS'!$B48</f>
        <v>1.296396530782745</v>
      </c>
      <c r="O11" s="114">
        <f>Summary!$D$19/'Valley South to Valley North'!$B49</f>
        <v>0.69299780110333165</v>
      </c>
      <c r="P11" s="118">
        <f>INDEX($C$6:$O$6,1,MATCH(SMALL($C11:$O11,1),$C11:$O11,0))</f>
        <v>13</v>
      </c>
      <c r="Q11" s="125">
        <f>INDEX($C$6:$O$6,1,MATCH(SMALL($C11:$O11,2),$C11:$O11,0))</f>
        <v>6</v>
      </c>
      <c r="R11" s="125">
        <f>INDEX($C$6:$O$6,1,MATCH(SMALL($C11:$O11,3),$C11:$O11,0))</f>
        <v>8</v>
      </c>
    </row>
    <row r="12" spans="1:18" x14ac:dyDescent="0.35">
      <c r="A12" s="125" t="s">
        <v>30</v>
      </c>
      <c r="B12" s="122" t="s">
        <v>88</v>
      </c>
      <c r="C12" s="51">
        <f>Summary!$D$7/'Alberhill System Project'!$B49</f>
        <v>3.0409471770862138E-3</v>
      </c>
      <c r="D12" s="51">
        <f>Summary!$D$8/'SDG&amp;E'!$B49</f>
        <v>6.0267714794204168E-3</v>
      </c>
      <c r="E12" s="51">
        <f>Summary!$D$9/'Valley S to Valley N to Vista'!$B50</f>
        <v>5.0075914999175106E-3</v>
      </c>
      <c r="F12" s="51">
        <f>Summary!$D$10/'Centralized BESS in Valley S'!$B49</f>
        <v>4.8829854450257847E-3</v>
      </c>
      <c r="G12" s="51">
        <f>Summary!$D$11/'MiraLoma &amp; Centralized BESS VS'!$B49</f>
        <v>5.1373425759278415E-3</v>
      </c>
      <c r="H12" s="51">
        <f>Summary!$D$12/'VS to VN &amp; Distributed BESS VS'!$B50</f>
        <v>3.6202123723726E-3</v>
      </c>
      <c r="I12" s="51">
        <f>Summary!$D$13/Menifee!$B49</f>
        <v>5.8210251068335226E-3</v>
      </c>
      <c r="J12" s="51">
        <f>Summary!$D$14/'Mira Loma'!$B49</f>
        <v>2.6978861219885616E-3</v>
      </c>
      <c r="K12" s="51">
        <f>Summary!$D$15/'SCE Orange County'!$B49</f>
        <v>5.310980711505299E-3</v>
      </c>
      <c r="L12" s="51">
        <f>Summary!$D$16/'VS to VN &amp; Central BESS VS VN '!$B50</f>
        <v>6.1773591174281058E-3</v>
      </c>
      <c r="M12" s="51">
        <f>Summary!$D$17/'VS to VN to VST &amp; Cen BESS VS'!$B50</f>
        <v>5.0212611820435156E-3</v>
      </c>
      <c r="N12" s="51">
        <f>Summary!$D$18/'SDG&amp;E and Central BESS in VS'!$B49</f>
        <v>4.3507130011958741E-3</v>
      </c>
      <c r="O12" s="51">
        <f>Summary!$D$19/'Valley South to Valley North'!$B50</f>
        <v>3.431127509202739E-3</v>
      </c>
      <c r="P12" s="118">
        <f t="shared" ref="P12:P14" si="0">INDEX($C$6:$O$6,1,MATCH(SMALL($C12:$O12,1),$C12:$O12,0))</f>
        <v>8</v>
      </c>
      <c r="Q12" s="125">
        <f t="shared" ref="Q12:Q14" si="1">INDEX($C$6:$O$6,1,MATCH(SMALL($C12:$O12,2),$C12:$O12,0))</f>
        <v>1</v>
      </c>
      <c r="R12" s="125">
        <f t="shared" ref="R12:R14" si="2">INDEX($C$6:$O$6,1,MATCH(SMALL($C12:$O12,3),$C12:$O12,0))</f>
        <v>13</v>
      </c>
    </row>
    <row r="13" spans="1:18" x14ac:dyDescent="0.35">
      <c r="A13" s="125" t="s">
        <v>30</v>
      </c>
      <c r="B13" s="122" t="s">
        <v>89</v>
      </c>
      <c r="C13" s="51">
        <f>Summary!$D$7/'Alberhill System Project'!$B50</f>
        <v>3.0327581505828024E-4</v>
      </c>
      <c r="D13" s="51">
        <f>Summary!$D$8/'SDG&amp;E'!$B50</f>
        <v>3.6648254624056136E-4</v>
      </c>
      <c r="E13" s="85"/>
      <c r="F13" s="85"/>
      <c r="G13" s="51">
        <f>Summary!$D$11/'MiraLoma &amp; Centralized BESS VS'!$B50</f>
        <v>1.1357225626952201E-3</v>
      </c>
      <c r="H13" s="85"/>
      <c r="I13" s="51">
        <f>Summary!$D$13/Menifee!$B50</f>
        <v>2.7653399366156831E-4</v>
      </c>
      <c r="J13" s="51">
        <f>Summary!$D$14/'Mira Loma'!$B50</f>
        <v>5.7681180942489288E-4</v>
      </c>
      <c r="K13" s="51">
        <f>Summary!$D$15/'SCE Orange County'!$B50</f>
        <v>6.178772474591277E-4</v>
      </c>
      <c r="L13" s="85"/>
      <c r="M13" s="85"/>
      <c r="N13" s="51">
        <f>Summary!$D$18/'SDG&amp;E and Central BESS in VS'!$B50</f>
        <v>4.3680968731017863E-4</v>
      </c>
      <c r="O13" s="85"/>
      <c r="P13" s="118">
        <f t="shared" si="0"/>
        <v>7</v>
      </c>
      <c r="Q13" s="125">
        <f t="shared" si="1"/>
        <v>1</v>
      </c>
      <c r="R13" s="125">
        <f t="shared" si="2"/>
        <v>2</v>
      </c>
    </row>
    <row r="14" spans="1:18" s="82" customFormat="1" x14ac:dyDescent="0.35">
      <c r="A14" s="125" t="s">
        <v>30</v>
      </c>
      <c r="B14" s="122" t="s">
        <v>90</v>
      </c>
      <c r="C14" s="51">
        <f>Summary!$D$7/'Alberhill System Project'!$B51</f>
        <v>6.927405771508942E-4</v>
      </c>
      <c r="D14" s="51">
        <f>Summary!$D$8/'SDG&amp;E'!$B51</f>
        <v>8.0603034962202361E-4</v>
      </c>
      <c r="E14" s="51">
        <f>Summary!$D$9/'Valley S to Valley N to Vista'!$B52</f>
        <v>5.1115086768412229E-4</v>
      </c>
      <c r="F14" s="51">
        <f>Summary!$D$10/'Centralized BESS in Valley S'!$B51</f>
        <v>6.9216892673173283E-2</v>
      </c>
      <c r="G14" s="51">
        <f>Summary!$D$11/'MiraLoma &amp; Centralized BESS VS'!$B51</f>
        <v>1.1492600521794448E-3</v>
      </c>
      <c r="H14" s="51">
        <f>Summary!$D$12/'VS to VN &amp; Distributed BESS VS'!$B52</f>
        <v>3.805234237204021E-4</v>
      </c>
      <c r="I14" s="51">
        <f>Summary!$D$13/Menifee!$B51</f>
        <v>5.9634267896480932E-4</v>
      </c>
      <c r="J14" s="51">
        <f>Summary!$D$14/'Mira Loma'!$B51</f>
        <v>5.8376191644178154E-4</v>
      </c>
      <c r="K14" s="51">
        <f>Summary!$D$15/'SCE Orange County'!$B51</f>
        <v>1.3070890511219591E-3</v>
      </c>
      <c r="L14" s="51">
        <f>Summary!$D$16/'VS to VN &amp; Central BESS VS VN '!$B52</f>
        <v>6.777193506500934E-4</v>
      </c>
      <c r="M14" s="51">
        <f>Summary!$D$17/'VS to VN to VST &amp; Cen BESS VS'!$B52</f>
        <v>5.5088360625468486E-4</v>
      </c>
      <c r="N14" s="51">
        <f>Summary!$D$18/'SDG&amp;E and Central BESS in VS'!$B51</f>
        <v>9.6070568323819016E-4</v>
      </c>
      <c r="O14" s="51">
        <f>Summary!$D$19/'Valley South to Valley North'!$B52</f>
        <v>3.5023300193171339E-4</v>
      </c>
      <c r="P14" s="118">
        <f t="shared" si="0"/>
        <v>13</v>
      </c>
      <c r="Q14" s="125">
        <f t="shared" si="1"/>
        <v>6</v>
      </c>
      <c r="R14" s="125">
        <f t="shared" si="2"/>
        <v>3</v>
      </c>
    </row>
    <row r="15" spans="1:18" x14ac:dyDescent="0.35">
      <c r="A15" s="125" t="s">
        <v>39</v>
      </c>
      <c r="B15" s="122" t="s">
        <v>83</v>
      </c>
      <c r="C15" s="114">
        <f>Summary!$D$7/'Alberhill System Project'!$B52</f>
        <v>6.29544247254646E-2</v>
      </c>
      <c r="D15" s="114">
        <f>Summary!$D$8/'SDG&amp;E'!$B52</f>
        <v>5.4809526913404689E-2</v>
      </c>
      <c r="E15" s="114">
        <f>Summary!$D$9/'Valley S to Valley N to Vista'!$B53</f>
        <v>3.2155311983958233E-2</v>
      </c>
      <c r="F15" s="114">
        <f>Summary!$D$10/'Centralized BESS in Valley S'!$B52</f>
        <v>6.6416054805431474E-2</v>
      </c>
      <c r="G15" s="114">
        <f>Summary!$D$11/'MiraLoma &amp; Centralized BESS VS'!$B52</f>
        <v>6.5954030076350215E-2</v>
      </c>
      <c r="H15" s="114">
        <f>Summary!$D$12/'VS to VN &amp; Distributed BESS VS'!$B53</f>
        <v>2.6641383366394752E-2</v>
      </c>
      <c r="I15" s="114">
        <f>Summary!$D$13/Menifee!$B52</f>
        <v>3.6514921198750591E-2</v>
      </c>
      <c r="J15" s="114">
        <f>Summary!$D$14/'Mira Loma'!$B52</f>
        <v>4.2924120838595273E-2</v>
      </c>
      <c r="K15" s="114">
        <f>Summary!$D$15/'SCE Orange County'!$B52</f>
        <v>9.4184763890254222E-2</v>
      </c>
      <c r="L15" s="114">
        <f>Summary!$D$16/'VS to VN &amp; Central BESS VS VN '!$B53</f>
        <v>4.1351213252772988E-2</v>
      </c>
      <c r="M15" s="114">
        <f>Summary!$D$17/'VS to VN to VST &amp; Cen BESS VS'!$B53</f>
        <v>3.452510524176429E-2</v>
      </c>
      <c r="N15" s="114">
        <f>Summary!$D$18/'SDG&amp;E and Central BESS in VS'!$B52</f>
        <v>6.4567955889106424E-2</v>
      </c>
      <c r="O15" s="114">
        <f>Summary!$D$19/'Valley South to Valley North'!$B53</f>
        <v>2.4623852893324055E-2</v>
      </c>
      <c r="P15" s="118">
        <f>INDEX($C$6:$O$6,1,MATCH(SMALL($C15:$O15,1),$C15:$O15,0))</f>
        <v>13</v>
      </c>
      <c r="Q15" s="125">
        <f>INDEX($C$6:$O$6,1,MATCH(SMALL($C15:$O15,2),$C15:$O15,0))</f>
        <v>6</v>
      </c>
      <c r="R15" s="125">
        <f>INDEX($C$6:$O$6,1,MATCH(SMALL($C15:$O15,3),$C15:$O15,0))</f>
        <v>3</v>
      </c>
    </row>
    <row r="16" spans="1:18" x14ac:dyDescent="0.35">
      <c r="A16" s="125" t="s">
        <v>39</v>
      </c>
      <c r="B16" s="122" t="s">
        <v>84</v>
      </c>
      <c r="C16" s="114">
        <f>Summary!$D$7/'Alberhill System Project'!$B53</f>
        <v>0.63911407089565886</v>
      </c>
      <c r="D16" s="114">
        <f>Summary!$D$8/'SDG&amp;E'!$B53</f>
        <v>0.5723325693609369</v>
      </c>
      <c r="E16" s="114">
        <f>Summary!$D$9/'Valley S to Valley N to Vista'!$B54</f>
        <v>0.33462562258807382</v>
      </c>
      <c r="F16" s="114">
        <f>Summary!$D$10/'Centralized BESS in Valley S'!$B53</f>
        <v>0.67404988992084136</v>
      </c>
      <c r="G16" s="114">
        <f>Summary!$D$11/'MiraLoma &amp; Centralized BESS VS'!$B53</f>
        <v>0.66936084720834854</v>
      </c>
      <c r="H16" s="114">
        <f>Summary!$D$12/'VS to VN &amp; Distributed BESS VS'!$B54</f>
        <v>0.25612556805396941</v>
      </c>
      <c r="I16" s="114">
        <f>Summary!$D$13/Menifee!$B53</f>
        <v>0.37419836124884298</v>
      </c>
      <c r="J16" s="114">
        <f>Summary!$D$14/'Mira Loma'!$B53</f>
        <v>0.48600776568921294</v>
      </c>
      <c r="K16" s="114">
        <f>Summary!$D$15/'SCE Orange County'!$B53</f>
        <v>0.98356703866156681</v>
      </c>
      <c r="L16" s="114">
        <f>Summary!$D$16/'VS to VN &amp; Central BESS VS VN '!$B54</f>
        <v>0.41966932276810642</v>
      </c>
      <c r="M16" s="114">
        <f>Summary!$D$17/'VS to VN to VST &amp; Cen BESS VS'!$B54</f>
        <v>0.35605743589995509</v>
      </c>
      <c r="N16" s="114">
        <f>Summary!$D$18/'SDG&amp;E and Central BESS in VS'!$B53</f>
        <v>0.65529371907087008</v>
      </c>
      <c r="O16" s="114">
        <f>Summary!$D$19/'Valley South to Valley North'!$B54</f>
        <v>0.24144719525645403</v>
      </c>
      <c r="P16" s="118">
        <f>INDEX($C$6:$O$6,1,MATCH(SMALL($C16:$O16,1),$C16:$O16,0))</f>
        <v>13</v>
      </c>
      <c r="Q16" s="125">
        <f>INDEX($C$6:$O$6,1,MATCH(SMALL($C16:$O16,2),$C16:$O16,0))</f>
        <v>6</v>
      </c>
      <c r="R16" s="125">
        <f>INDEX($C$6:$O$6,1,MATCH(SMALL($C16:$O16,3),$C16:$O16,0))</f>
        <v>3</v>
      </c>
    </row>
    <row r="17" spans="1:18" x14ac:dyDescent="0.35">
      <c r="A17" s="125" t="s">
        <v>39</v>
      </c>
      <c r="B17" s="122" t="s">
        <v>85</v>
      </c>
      <c r="C17" s="114">
        <f>Summary!$D$7/'Alberhill System Project'!$B54</f>
        <v>1.3482478330219161</v>
      </c>
      <c r="D17" s="114">
        <f>Summary!$D$8/'SDG&amp;E'!$B54</f>
        <v>1.1615394120411238</v>
      </c>
      <c r="E17" s="114">
        <f>Summary!$D$9/'Valley S to Valley N to Vista'!$B55</f>
        <v>0.66892201361160886</v>
      </c>
      <c r="F17" s="114">
        <f>Summary!$D$10/'Centralized BESS in Valley S'!$B54</f>
        <v>1.42245138245643</v>
      </c>
      <c r="G17" s="114">
        <f>Summary!$D$11/'MiraLoma &amp; Centralized BESS VS'!$B54</f>
        <v>1.4125560684915157</v>
      </c>
      <c r="H17" s="114">
        <f>Summary!$D$12/'VS to VN &amp; Distributed BESS VS'!$B55</f>
        <v>0.54873439344721642</v>
      </c>
      <c r="I17" s="114">
        <f>Summary!$D$13/Menifee!$B54</f>
        <v>0.77976506422003344</v>
      </c>
      <c r="J17" s="114">
        <f>Summary!$D$14/'Mira Loma'!$B54</f>
        <v>0.77335949549578464</v>
      </c>
      <c r="K17" s="114">
        <f>Summary!$D$15/'SCE Orange County'!$B54</f>
        <v>2.0002692163869487</v>
      </c>
      <c r="L17" s="114">
        <f>Summary!$D$16/'VS to VN &amp; Central BESS VS VN '!$B55</f>
        <v>0.8856305998598295</v>
      </c>
      <c r="M17" s="114">
        <f>Summary!$D$17/'VS to VN to VST &amp; Cen BESS VS'!$B55</f>
        <v>0.72008164713516598</v>
      </c>
      <c r="N17" s="114">
        <f>Summary!$D$18/'SDG&amp;E and Central BESS in VS'!$B54</f>
        <v>1.3828701265967729</v>
      </c>
      <c r="O17" s="114">
        <f>Summary!$D$19/'Valley South to Valley North'!$B55</f>
        <v>0.52141300103591415</v>
      </c>
      <c r="P17" s="118">
        <f>INDEX($C$6:$O$6,1,MATCH(SMALL($C17:$O17,1),$C17:$O17,0))</f>
        <v>13</v>
      </c>
      <c r="Q17" s="125">
        <f>INDEX($C$6:$O$6,1,MATCH(SMALL($C17:$O17,2),$C17:$O17,0))</f>
        <v>6</v>
      </c>
      <c r="R17" s="125">
        <f>INDEX($C$6:$O$6,1,MATCH(SMALL($C17:$O17,3),$C17:$O17,0))</f>
        <v>3</v>
      </c>
    </row>
    <row r="18" spans="1:18" x14ac:dyDescent="0.35">
      <c r="A18" s="125" t="s">
        <v>39</v>
      </c>
      <c r="B18" s="122" t="s">
        <v>86</v>
      </c>
      <c r="C18" s="114">
        <f>Summary!$D$7/'Alberhill System Project'!$B55</f>
        <v>59.160295636184507</v>
      </c>
      <c r="D18" s="114">
        <f>Summary!$D$8/'SDG&amp;E'!$B55</f>
        <v>51.388914253676319</v>
      </c>
      <c r="E18" s="114">
        <f>Summary!$D$9/'Valley S to Valley N to Vista'!$B56</f>
        <v>29.393541597596762</v>
      </c>
      <c r="F18" s="114">
        <f>Summary!$D$10/'Centralized BESS in Valley S'!$B55</f>
        <v>62.405344968013075</v>
      </c>
      <c r="G18" s="114">
        <f>Summary!$D$11/'MiraLoma &amp; Centralized BESS VS'!$B55</f>
        <v>61.971220829105157</v>
      </c>
      <c r="H18" s="114">
        <f>Summary!$D$12/'VS to VN &amp; Distributed BESS VS'!$B56</f>
        <v>24.958658756989383</v>
      </c>
      <c r="I18" s="114">
        <f>Summary!$D$13/Menifee!$B55</f>
        <v>34.314430980717155</v>
      </c>
      <c r="J18" s="114">
        <f>Summary!$D$14/'Mira Loma'!$B55</f>
        <v>37.109783426174779</v>
      </c>
      <c r="K18" s="114">
        <f>Summary!$D$15/'SCE Orange County'!$B55</f>
        <v>88.537269786876578</v>
      </c>
      <c r="L18" s="114">
        <f>Summary!$D$16/'VS to VN &amp; Central BESS VS VN '!$B56</f>
        <v>38.854110432258572</v>
      </c>
      <c r="M18" s="114">
        <f>Summary!$D$17/'VS to VN to VST &amp; Cen BESS VS'!$B56</f>
        <v>31.630299531516886</v>
      </c>
      <c r="N18" s="114">
        <f>Summary!$D$18/'SDG&amp;E and Central BESS in VS'!$B55</f>
        <v>60.668848412381408</v>
      </c>
      <c r="O18" s="114">
        <f>Summary!$D$19/'Valley South to Valley North'!$B56</f>
        <v>23.181178125047666</v>
      </c>
      <c r="P18" s="118">
        <f>INDEX($C$6:$O$6,1,MATCH(SMALL($C18:$O18,1),$C18:$O18,0))</f>
        <v>13</v>
      </c>
      <c r="Q18" s="125">
        <f>INDEX($C$6:$O$6,1,MATCH(SMALL($C18:$O18,2),$C18:$O18,0))</f>
        <v>6</v>
      </c>
      <c r="R18" s="125">
        <f>INDEX($C$6:$O$6,1,MATCH(SMALL($C18:$O18,3),$C18:$O18,0))</f>
        <v>3</v>
      </c>
    </row>
    <row r="19" spans="1:18" x14ac:dyDescent="0.35">
      <c r="A19" s="125" t="s">
        <v>39</v>
      </c>
      <c r="B19" s="122" t="s">
        <v>87</v>
      </c>
      <c r="C19" s="114">
        <f>Summary!$D$7/'Alberhill System Project'!$B56</f>
        <v>3.7209845556901033</v>
      </c>
      <c r="D19" s="114">
        <f>Summary!$D$8/'SDG&amp;E'!$B56</f>
        <v>3.2867449783713267</v>
      </c>
      <c r="E19" s="114">
        <f>Summary!$D$9/'Valley S to Valley N to Vista'!$B57</f>
        <v>1.9531817888774008</v>
      </c>
      <c r="F19" s="114">
        <f>Summary!$D$10/'Centralized BESS in Valley S'!$B56</f>
        <v>3.917091944882555</v>
      </c>
      <c r="G19" s="114">
        <f>Summary!$D$11/'MiraLoma &amp; Centralized BESS VS'!$B56</f>
        <v>3.8898426096138068</v>
      </c>
      <c r="H19" s="114">
        <f>Summary!$D$12/'VS to VN &amp; Distributed BESS VS'!$B57</f>
        <v>1.6750847956214596</v>
      </c>
      <c r="I19" s="114">
        <f>Summary!$D$13/Menifee!$B56</f>
        <v>2.1661563464353946</v>
      </c>
      <c r="J19" s="114">
        <f>Summary!$D$14/'Mira Loma'!$B56</f>
        <v>2.6103972494274079</v>
      </c>
      <c r="K19" s="114">
        <f>Summary!$D$15/'SCE Orange County'!$B56</f>
        <v>5.644767918671767</v>
      </c>
      <c r="L19" s="114">
        <f>Summary!$D$16/'VS to VN &amp; Central BESS VS VN '!$B57</f>
        <v>2.4388155065529649</v>
      </c>
      <c r="M19" s="114">
        <f>Summary!$D$17/'VS to VN to VST &amp; Cen BESS VS'!$B57</f>
        <v>2.0822999204240329</v>
      </c>
      <c r="N19" s="114">
        <f>Summary!$D$18/'SDG&amp;E and Central BESS in VS'!$B56</f>
        <v>3.8080946038075623</v>
      </c>
      <c r="O19" s="114">
        <f>Summary!$D$19/'Valley South to Valley North'!$B57</f>
        <v>1.5747674901256774</v>
      </c>
      <c r="P19" s="118">
        <f>INDEX($C$6:$O$6,1,MATCH(SMALL($C19:$O19,1),$C19:$O19,0))</f>
        <v>13</v>
      </c>
      <c r="Q19" s="125">
        <f>INDEX($C$6:$O$6,1,MATCH(SMALL($C19:$O19,2),$C19:$O19,0))</f>
        <v>6</v>
      </c>
      <c r="R19" s="125">
        <f>INDEX($C$6:$O$6,1,MATCH(SMALL($C19:$O19,3),$C19:$O19,0))</f>
        <v>3</v>
      </c>
    </row>
    <row r="20" spans="1:18" ht="15.5" x14ac:dyDescent="0.35">
      <c r="A20" s="162" t="s">
        <v>91</v>
      </c>
      <c r="B20" s="162"/>
      <c r="C20" s="92">
        <f t="shared" ref="C20:O20" si="3">COUNTIF($P$7:$P$19,"="&amp;C6)</f>
        <v>0</v>
      </c>
      <c r="D20" s="92">
        <f t="shared" si="3"/>
        <v>4</v>
      </c>
      <c r="E20" s="92">
        <f t="shared" si="3"/>
        <v>0</v>
      </c>
      <c r="F20" s="92">
        <f t="shared" si="3"/>
        <v>0</v>
      </c>
      <c r="G20" s="92">
        <f t="shared" si="3"/>
        <v>0</v>
      </c>
      <c r="H20" s="92">
        <f t="shared" si="3"/>
        <v>0</v>
      </c>
      <c r="I20" s="92">
        <f t="shared" si="3"/>
        <v>1</v>
      </c>
      <c r="J20" s="92">
        <f t="shared" si="3"/>
        <v>1</v>
      </c>
      <c r="K20" s="92">
        <f t="shared" si="3"/>
        <v>0</v>
      </c>
      <c r="L20" s="92">
        <f t="shared" si="3"/>
        <v>0</v>
      </c>
      <c r="M20" s="92">
        <f t="shared" si="3"/>
        <v>0</v>
      </c>
      <c r="N20" s="92">
        <f t="shared" si="3"/>
        <v>0</v>
      </c>
      <c r="O20" s="92">
        <f t="shared" si="3"/>
        <v>7</v>
      </c>
      <c r="P20" s="88"/>
      <c r="Q20" s="88"/>
      <c r="R20" s="88"/>
    </row>
    <row r="23" spans="1:18" ht="15" customHeight="1" x14ac:dyDescent="0.35">
      <c r="A23" s="123"/>
      <c r="B23" s="91"/>
      <c r="C23" s="88"/>
      <c r="D23" s="88"/>
      <c r="E23" s="88"/>
      <c r="F23" s="88"/>
      <c r="G23" s="88"/>
      <c r="H23" s="88"/>
      <c r="I23" s="89"/>
      <c r="J23" s="89"/>
      <c r="K23" s="89"/>
      <c r="L23" s="89"/>
      <c r="M23" s="89"/>
      <c r="N23" s="89"/>
      <c r="O23" s="88"/>
      <c r="P23" s="88"/>
      <c r="Q23" s="88"/>
      <c r="R23" s="88"/>
    </row>
    <row r="24" spans="1:18" ht="21" x14ac:dyDescent="0.35">
      <c r="A24" s="123"/>
      <c r="B24" s="91"/>
      <c r="C24" s="88"/>
      <c r="D24" s="88"/>
      <c r="E24" s="88"/>
      <c r="F24" s="88"/>
      <c r="G24" s="88"/>
      <c r="H24" s="88"/>
      <c r="I24" s="89"/>
      <c r="J24" s="89"/>
      <c r="K24" s="89"/>
      <c r="L24" s="89"/>
      <c r="M24" s="89"/>
      <c r="N24" s="89"/>
      <c r="O24" s="88"/>
      <c r="P24" s="88"/>
      <c r="Q24" s="88"/>
      <c r="R24" s="88"/>
    </row>
    <row r="25" spans="1:18" ht="21" x14ac:dyDescent="0.35">
      <c r="A25" s="123"/>
      <c r="B25" s="91"/>
      <c r="C25" s="88"/>
      <c r="D25" s="88"/>
      <c r="E25" s="88"/>
      <c r="F25" s="88"/>
      <c r="G25" s="88"/>
      <c r="H25" s="88"/>
      <c r="I25" s="89"/>
      <c r="J25" s="89"/>
      <c r="K25" s="89"/>
      <c r="L25" s="89"/>
      <c r="M25" s="89"/>
      <c r="N25" s="89"/>
      <c r="O25" s="88"/>
      <c r="P25" s="88"/>
      <c r="Q25" s="88"/>
      <c r="R25" s="88"/>
    </row>
    <row r="26" spans="1:18" ht="21" x14ac:dyDescent="0.35">
      <c r="A26" s="123"/>
      <c r="B26" s="91"/>
      <c r="C26" s="88"/>
      <c r="D26" s="88"/>
      <c r="E26" s="88"/>
      <c r="F26" s="88"/>
      <c r="G26" s="88"/>
      <c r="H26" s="88"/>
      <c r="I26" s="89"/>
      <c r="J26" s="89"/>
      <c r="K26" s="89"/>
      <c r="L26" s="89"/>
      <c r="M26" s="89"/>
      <c r="N26" s="89"/>
      <c r="O26" s="88"/>
      <c r="P26" s="88"/>
      <c r="Q26" s="88"/>
      <c r="R26" s="88"/>
    </row>
    <row r="27" spans="1:18" ht="21" x14ac:dyDescent="0.35">
      <c r="A27" s="123"/>
      <c r="B27" s="91"/>
      <c r="C27" s="88"/>
      <c r="D27" s="88"/>
      <c r="E27" s="88"/>
      <c r="F27" s="88"/>
      <c r="G27" s="88"/>
      <c r="H27" s="88"/>
      <c r="I27" s="89"/>
      <c r="J27" s="89"/>
      <c r="K27" s="89"/>
      <c r="L27" s="89"/>
      <c r="M27" s="89"/>
      <c r="N27" s="89"/>
      <c r="O27" s="88"/>
      <c r="P27" s="88"/>
      <c r="Q27" s="88"/>
      <c r="R27" s="88"/>
    </row>
    <row r="28" spans="1:18" ht="15" customHeight="1" x14ac:dyDescent="0.35">
      <c r="A28" s="123"/>
      <c r="B28" s="91"/>
      <c r="C28" s="88"/>
      <c r="D28" s="88"/>
      <c r="E28" s="88"/>
      <c r="F28" s="88"/>
      <c r="G28" s="88"/>
      <c r="H28" s="88"/>
      <c r="I28" s="89"/>
      <c r="J28" s="89"/>
      <c r="K28" s="89"/>
      <c r="L28" s="89"/>
      <c r="M28" s="89"/>
      <c r="N28" s="89"/>
      <c r="O28" s="88"/>
      <c r="P28" s="88"/>
      <c r="Q28" s="88"/>
      <c r="R28" s="88"/>
    </row>
    <row r="29" spans="1:18" ht="15" customHeight="1" x14ac:dyDescent="0.35">
      <c r="A29" s="123"/>
      <c r="B29" s="91"/>
      <c r="C29" s="88"/>
      <c r="D29" s="88"/>
      <c r="E29" s="88"/>
      <c r="F29" s="88"/>
      <c r="G29" s="88"/>
      <c r="H29" s="88"/>
      <c r="I29" s="89"/>
      <c r="J29" s="89"/>
      <c r="K29" s="89"/>
      <c r="L29" s="89"/>
      <c r="M29" s="89"/>
      <c r="N29" s="89"/>
      <c r="O29" s="88"/>
      <c r="P29" s="88"/>
      <c r="Q29" s="88"/>
      <c r="R29" s="88"/>
    </row>
    <row r="30" spans="1:18" x14ac:dyDescent="0.35">
      <c r="A30" s="123"/>
      <c r="B30" s="91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</row>
    <row r="31" spans="1:18" x14ac:dyDescent="0.35">
      <c r="A31" s="123"/>
      <c r="B31" s="91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1:18" x14ac:dyDescent="0.35">
      <c r="A32" s="123"/>
      <c r="B32" s="91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1:2" x14ac:dyDescent="0.35">
      <c r="A33" s="123"/>
      <c r="B33" s="91"/>
    </row>
    <row r="34" spans="1:2" x14ac:dyDescent="0.35">
      <c r="A34" s="123"/>
      <c r="B34" s="91"/>
    </row>
  </sheetData>
  <mergeCells count="5">
    <mergeCell ref="B2:O2"/>
    <mergeCell ref="A6:B6"/>
    <mergeCell ref="C4:O4"/>
    <mergeCell ref="P4:R5"/>
    <mergeCell ref="A20:B20"/>
  </mergeCells>
  <conditionalFormatting sqref="C7:N7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N7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N7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O7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N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N8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N8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O8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N9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N9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N9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O9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N10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N10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N10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O10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N11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N11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N11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O11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N1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N12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N12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O1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N15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N15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N1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O15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16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1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16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O1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N1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N17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N1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O17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N18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N18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N18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O1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N19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N1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N1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O1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N13 C14:D1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N1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N1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O13 C14:D1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:O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:O1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:O1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:O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5"/>
  <sheetViews>
    <sheetView workbookViewId="0">
      <selection activeCell="E28" sqref="E28"/>
    </sheetView>
  </sheetViews>
  <sheetFormatPr defaultRowHeight="14.5" x14ac:dyDescent="0.35"/>
  <cols>
    <col min="1" max="1" width="63.54296875" customWidth="1"/>
    <col min="2" max="2" width="13.81640625" style="18" customWidth="1"/>
    <col min="3" max="3" width="10.453125" style="18" customWidth="1"/>
    <col min="4" max="4" width="9.1796875" style="18"/>
  </cols>
  <sheetData>
    <row r="2" spans="1:4" x14ac:dyDescent="0.35">
      <c r="A2" s="14" t="s">
        <v>92</v>
      </c>
      <c r="B2" s="15" t="s">
        <v>93</v>
      </c>
      <c r="C2" s="29" t="s">
        <v>94</v>
      </c>
      <c r="D2" s="29" t="s">
        <v>95</v>
      </c>
    </row>
    <row r="3" spans="1:4" ht="15.5" x14ac:dyDescent="0.35">
      <c r="A3" s="8" t="s">
        <v>96</v>
      </c>
      <c r="B3" s="27">
        <v>0.1</v>
      </c>
      <c r="C3" s="25"/>
      <c r="D3" s="25" t="s">
        <v>97</v>
      </c>
    </row>
    <row r="4" spans="1:4" ht="31" x14ac:dyDescent="0.35">
      <c r="A4" s="22" t="s">
        <v>98</v>
      </c>
      <c r="B4" s="28">
        <v>40</v>
      </c>
      <c r="C4" s="25" t="s">
        <v>99</v>
      </c>
      <c r="D4" s="25" t="s">
        <v>100</v>
      </c>
    </row>
    <row r="5" spans="1:4" ht="15.5" x14ac:dyDescent="0.35">
      <c r="A5" s="8" t="s">
        <v>101</v>
      </c>
      <c r="B5" s="28">
        <v>1.0249999999999999</v>
      </c>
      <c r="C5" s="25"/>
      <c r="D5" s="25" t="s">
        <v>102</v>
      </c>
    </row>
    <row r="6" spans="1:4" ht="15.5" x14ac:dyDescent="0.35">
      <c r="A6" s="8" t="s">
        <v>103</v>
      </c>
      <c r="B6" s="27">
        <v>0.9</v>
      </c>
      <c r="C6" s="25"/>
      <c r="D6" s="25" t="s">
        <v>104</v>
      </c>
    </row>
    <row r="7" spans="1:4" ht="15.5" x14ac:dyDescent="0.35">
      <c r="A7" s="8" t="s">
        <v>105</v>
      </c>
      <c r="B7" s="27">
        <f>1-B6</f>
        <v>9.9999999999999978E-2</v>
      </c>
      <c r="C7" s="25"/>
      <c r="D7" s="25" t="s">
        <v>104</v>
      </c>
    </row>
    <row r="8" spans="1:4" ht="31" x14ac:dyDescent="0.35">
      <c r="A8" s="22" t="s">
        <v>106</v>
      </c>
      <c r="B8" s="26">
        <v>4.1725000000000003</v>
      </c>
      <c r="C8" s="25" t="s">
        <v>107</v>
      </c>
      <c r="D8" s="25" t="s">
        <v>108</v>
      </c>
    </row>
    <row r="9" spans="1:4" ht="31" x14ac:dyDescent="0.35">
      <c r="A9" s="22" t="s">
        <v>109</v>
      </c>
      <c r="B9" s="26">
        <v>3.5212499999999998</v>
      </c>
      <c r="C9" s="25" t="s">
        <v>107</v>
      </c>
      <c r="D9" s="25" t="s">
        <v>108</v>
      </c>
    </row>
    <row r="10" spans="1:4" ht="31" x14ac:dyDescent="0.35">
      <c r="A10" s="22" t="s">
        <v>110</v>
      </c>
      <c r="B10" s="26">
        <v>154.70249999999999</v>
      </c>
      <c r="C10" s="25" t="s">
        <v>107</v>
      </c>
      <c r="D10" s="25" t="s">
        <v>108</v>
      </c>
    </row>
    <row r="11" spans="1:4" ht="31" x14ac:dyDescent="0.35">
      <c r="A11" s="22" t="s">
        <v>111</v>
      </c>
      <c r="B11" s="26">
        <v>142.85312500000003</v>
      </c>
      <c r="C11" s="25" t="s">
        <v>107</v>
      </c>
      <c r="D11" s="25" t="s">
        <v>108</v>
      </c>
    </row>
    <row r="12" spans="1:4" s="62" customFormat="1" ht="15.5" x14ac:dyDescent="0.35">
      <c r="A12" s="8" t="s">
        <v>112</v>
      </c>
      <c r="B12" s="28">
        <f>0.13*0.13</f>
        <v>1.6900000000000002E-2</v>
      </c>
      <c r="C12" s="25"/>
      <c r="D12" s="25" t="s">
        <v>113</v>
      </c>
    </row>
    <row r="13" spans="1:4" ht="15" customHeight="1" x14ac:dyDescent="0.35">
      <c r="A13" s="8" t="s">
        <v>114</v>
      </c>
      <c r="B13" s="28">
        <v>0.01</v>
      </c>
      <c r="C13" s="25"/>
      <c r="D13" s="25" t="s">
        <v>113</v>
      </c>
    </row>
    <row r="14" spans="1:4" ht="15.5" x14ac:dyDescent="0.35">
      <c r="A14" s="57" t="s">
        <v>115</v>
      </c>
      <c r="B14" s="26">
        <v>1</v>
      </c>
      <c r="C14" s="25" t="s">
        <v>116</v>
      </c>
      <c r="D14" s="25" t="s">
        <v>102</v>
      </c>
    </row>
    <row r="15" spans="1:4" ht="15.5" x14ac:dyDescent="0.35">
      <c r="A15" s="58" t="s">
        <v>117</v>
      </c>
      <c r="B15" s="26">
        <v>1</v>
      </c>
      <c r="C15" s="25"/>
      <c r="D15" s="25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7"/>
  <sheetViews>
    <sheetView zoomScale="82" zoomScaleNormal="82" workbookViewId="0">
      <selection activeCell="F2" sqref="F2"/>
    </sheetView>
  </sheetViews>
  <sheetFormatPr defaultRowHeight="14.5" x14ac:dyDescent="0.35"/>
  <cols>
    <col min="1" max="1" width="18.81640625" customWidth="1"/>
    <col min="2" max="2" width="28.7265625" customWidth="1"/>
    <col min="3" max="3" width="27" customWidth="1"/>
    <col min="4" max="4" width="21.26953125" customWidth="1"/>
    <col min="5" max="5" width="19.1796875" customWidth="1"/>
    <col min="6" max="6" width="21.453125" customWidth="1"/>
    <col min="7" max="7" width="18.81640625" customWidth="1"/>
    <col min="8" max="8" width="16.54296875" customWidth="1"/>
    <col min="9" max="13" width="17.81640625" customWidth="1"/>
    <col min="14" max="24" width="18.81640625" customWidth="1"/>
    <col min="25" max="29" width="19.81640625" customWidth="1"/>
    <col min="30" max="30" width="19.81640625" bestFit="1" customWidth="1"/>
    <col min="31" max="32" width="10" bestFit="1" customWidth="1"/>
  </cols>
  <sheetData>
    <row r="1" spans="1:32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  <c r="AE1" s="88"/>
      <c r="AF1" s="88"/>
    </row>
    <row r="2" spans="1:32" ht="15" thickTop="1" x14ac:dyDescent="0.35">
      <c r="A2" s="88" t="s">
        <v>119</v>
      </c>
      <c r="B2" s="163" t="s">
        <v>26</v>
      </c>
      <c r="C2" s="88" t="s">
        <v>120</v>
      </c>
      <c r="D2" s="63">
        <v>49666.999999999534</v>
      </c>
      <c r="E2" s="63">
        <f>D2+($D2-$AD2)/(COLUMN($D2)-COLUMN($AD2))</f>
        <v>50103.790384614935</v>
      </c>
      <c r="F2" s="63">
        <f t="shared" ref="F2:AC2" si="0">E2+($D2-$AD2)/(COLUMN($D2)-COLUMN($AD2))</f>
        <v>50540.580769230335</v>
      </c>
      <c r="G2" s="63">
        <f t="shared" si="0"/>
        <v>50977.371153845736</v>
      </c>
      <c r="H2" s="63">
        <f t="shared" si="0"/>
        <v>51414.161538461136</v>
      </c>
      <c r="I2" s="63">
        <f t="shared" si="0"/>
        <v>51850.951923076536</v>
      </c>
      <c r="J2" s="63">
        <f t="shared" si="0"/>
        <v>52287.742307691937</v>
      </c>
      <c r="K2" s="63">
        <f t="shared" si="0"/>
        <v>52724.532692307337</v>
      </c>
      <c r="L2" s="63">
        <f t="shared" si="0"/>
        <v>53161.323076922738</v>
      </c>
      <c r="M2" s="63">
        <f t="shared" si="0"/>
        <v>53598.113461538138</v>
      </c>
      <c r="N2" s="63">
        <f t="shared" si="0"/>
        <v>54034.903846153538</v>
      </c>
      <c r="O2" s="63">
        <f t="shared" si="0"/>
        <v>54471.694230768939</v>
      </c>
      <c r="P2" s="63">
        <f t="shared" si="0"/>
        <v>54908.484615384339</v>
      </c>
      <c r="Q2" s="63">
        <f t="shared" si="0"/>
        <v>55345.27499999974</v>
      </c>
      <c r="R2" s="63">
        <f t="shared" si="0"/>
        <v>55782.06538461514</v>
      </c>
      <c r="S2" s="63">
        <f t="shared" si="0"/>
        <v>56218.85576923054</v>
      </c>
      <c r="T2" s="63">
        <f t="shared" si="0"/>
        <v>56655.646153845941</v>
      </c>
      <c r="U2" s="63">
        <f t="shared" si="0"/>
        <v>57092.436538461341</v>
      </c>
      <c r="V2" s="63">
        <f>U2+($D2-$AD2)/(COLUMN($D2)-COLUMN($AD2))</f>
        <v>57529.226923076742</v>
      </c>
      <c r="W2" s="63">
        <f t="shared" si="0"/>
        <v>57966.017307692142</v>
      </c>
      <c r="X2" s="63">
        <f t="shared" si="0"/>
        <v>58402.807692307542</v>
      </c>
      <c r="Y2" s="63">
        <f t="shared" si="0"/>
        <v>58839.598076922943</v>
      </c>
      <c r="Z2" s="63">
        <f t="shared" si="0"/>
        <v>59276.388461538343</v>
      </c>
      <c r="AA2" s="63">
        <f t="shared" si="0"/>
        <v>59713.178846153744</v>
      </c>
      <c r="AB2" s="63">
        <f t="shared" si="0"/>
        <v>60149.969230769144</v>
      </c>
      <c r="AC2" s="63">
        <f t="shared" si="0"/>
        <v>60586.759615384544</v>
      </c>
      <c r="AD2" s="63">
        <v>61023.550000000017</v>
      </c>
      <c r="AE2" s="63"/>
      <c r="AF2" s="88"/>
    </row>
    <row r="3" spans="1:32" x14ac:dyDescent="0.35">
      <c r="A3" s="88" t="s">
        <v>30</v>
      </c>
      <c r="B3" s="164"/>
      <c r="C3" s="88" t="s">
        <v>31</v>
      </c>
      <c r="D3" s="63">
        <v>10</v>
      </c>
      <c r="E3" s="63">
        <v>20.5</v>
      </c>
      <c r="F3" s="63">
        <f>E3+($J3-$E3)/(COLUMN($J3)-COLUMN($E3))</f>
        <v>29.879999999999995</v>
      </c>
      <c r="G3" s="63">
        <f>F3+($J$3-$E$3)/(COLUMN($J$3)-COLUMN($E$3))</f>
        <v>39.259999999999991</v>
      </c>
      <c r="H3" s="63">
        <f>G3+($J$3-$E$3)/(COLUMN($J$3)-COLUMN($E$3))</f>
        <v>48.639999999999986</v>
      </c>
      <c r="I3" s="63">
        <f>H3+($J$3-$E$3)/(COLUMN($J$3)-COLUMN($E$3))</f>
        <v>58.019999999999982</v>
      </c>
      <c r="J3" s="63">
        <v>67.399999999999977</v>
      </c>
      <c r="K3" s="63">
        <f t="shared" ref="K3:M7" si="1">J3+(($N3-$J3)/(COLUMN($N3)-COLUMN($J3)))</f>
        <v>91.449999999999989</v>
      </c>
      <c r="L3" s="63">
        <f t="shared" si="1"/>
        <v>115.5</v>
      </c>
      <c r="M3" s="63">
        <f t="shared" si="1"/>
        <v>139.55000000000001</v>
      </c>
      <c r="N3" s="63">
        <v>163.6</v>
      </c>
      <c r="O3" s="63">
        <f>N3+(($T3-$N3)/(COLUMN($T3)-COLUMN($N3)))</f>
        <v>249.4666666666667</v>
      </c>
      <c r="P3" s="63">
        <f>O3+(($T3-$N3)/(COLUMN($T3)-COLUMN($N3)))</f>
        <v>335.33333333333337</v>
      </c>
      <c r="Q3" s="63">
        <f>P3+(($T3-$N3)/(COLUMN($T3)-COLUMN($N3)))</f>
        <v>421.20000000000005</v>
      </c>
      <c r="R3" s="63">
        <f>Q3+(($T3-$N3)/(COLUMN($T3)-COLUMN($N3)))</f>
        <v>507.06666666666672</v>
      </c>
      <c r="S3" s="63">
        <f>R3+(($T3-$N3)/(COLUMN($T3)-COLUMN($N3)))</f>
        <v>592.93333333333339</v>
      </c>
      <c r="T3" s="63">
        <v>678.80000000000018</v>
      </c>
      <c r="U3" s="63">
        <f>T3+(($AD3-$T3)/(COLUMN($AD3)-COLUMN($T3)))</f>
        <v>893.22000000000014</v>
      </c>
      <c r="V3" s="63">
        <f>U3+(($AD3-$T3)/(COLUMN($AD3)-COLUMN($T3)))</f>
        <v>1107.6400000000001</v>
      </c>
      <c r="W3" s="63">
        <f>V3+(($AD3-$T3)/(COLUMN($AD3)-COLUMN($T3)))</f>
        <v>1322.0600000000002</v>
      </c>
      <c r="X3" s="63">
        <f>W3+(($AD3-$T3)/(COLUMN($AD3)-COLUMN($T3)))</f>
        <v>1536.4800000000002</v>
      </c>
      <c r="Y3" s="63">
        <v>1595.6</v>
      </c>
      <c r="Z3" s="63">
        <f>Y3+(($AD3-$Y3)/(COLUMN($AD3)-COLUMN($Y3)))</f>
        <v>1841.08</v>
      </c>
      <c r="AA3" s="63">
        <f t="shared" ref="Z3:AC7" si="2">Z3+(($AD3-$Y3)/(COLUMN($AD3)-COLUMN($Y3)))</f>
        <v>2086.56</v>
      </c>
      <c r="AB3" s="63">
        <f t="shared" si="2"/>
        <v>2332.04</v>
      </c>
      <c r="AC3" s="63">
        <f t="shared" si="2"/>
        <v>2577.52</v>
      </c>
      <c r="AD3" s="63">
        <v>2823</v>
      </c>
      <c r="AE3" s="88"/>
      <c r="AF3" s="88"/>
    </row>
    <row r="4" spans="1:32" x14ac:dyDescent="0.35">
      <c r="A4" s="88" t="s">
        <v>30</v>
      </c>
      <c r="B4" s="164"/>
      <c r="C4" s="88" t="s">
        <v>32</v>
      </c>
      <c r="D4" s="63">
        <v>2</v>
      </c>
      <c r="E4" s="63">
        <v>3</v>
      </c>
      <c r="F4" s="63">
        <f>E4+($J4-$E4)/(COLUMN($J4)-COLUMN($E4))</f>
        <v>4.6799999999999953</v>
      </c>
      <c r="G4" s="63">
        <f>F4+($J4-$E4)/(COLUMN($J4)-COLUMN($E4))</f>
        <v>6.3599999999999905</v>
      </c>
      <c r="H4" s="63">
        <f>G4+($J4-$E4)/(COLUMN($J4)-COLUMN($E4))</f>
        <v>8.0399999999999867</v>
      </c>
      <c r="I4" s="63">
        <f>H4+($J4-$E4)/(COLUMN($J4)-COLUMN($E4))</f>
        <v>9.7199999999999829</v>
      </c>
      <c r="J4" s="63">
        <v>11.399999999999977</v>
      </c>
      <c r="K4" s="63">
        <f>J4+(($N4-$J4)/(COLUMN($N4)-COLUMN($J4)))</f>
        <v>13.199999999999989</v>
      </c>
      <c r="L4" s="63">
        <f t="shared" si="1"/>
        <v>15</v>
      </c>
      <c r="M4" s="63">
        <f t="shared" si="1"/>
        <v>16.800000000000011</v>
      </c>
      <c r="N4" s="63">
        <v>18.600000000000023</v>
      </c>
      <c r="O4" s="63">
        <f>N4+(($T4-$N4)/(COLUMN($T4)-COLUMN($N4)))</f>
        <v>21.350000000000023</v>
      </c>
      <c r="P4" s="63">
        <f t="shared" ref="O4:S7" si="3">O4+(($T4-$N4)/(COLUMN($T4)-COLUMN($N4)))</f>
        <v>24.100000000000023</v>
      </c>
      <c r="Q4" s="63">
        <f t="shared" si="3"/>
        <v>26.850000000000023</v>
      </c>
      <c r="R4" s="63">
        <f t="shared" si="3"/>
        <v>29.600000000000023</v>
      </c>
      <c r="S4" s="63">
        <f t="shared" si="3"/>
        <v>32.350000000000023</v>
      </c>
      <c r="T4" s="63">
        <v>35.100000000000023</v>
      </c>
      <c r="U4" s="63">
        <f t="shared" ref="U4:X7" si="4">T4+(($Y4-$T4)/(COLUMN($Y4)-COLUMN($T4)))</f>
        <v>37.140000000000015</v>
      </c>
      <c r="V4" s="63">
        <f t="shared" si="4"/>
        <v>39.180000000000007</v>
      </c>
      <c r="W4" s="63">
        <f t="shared" si="4"/>
        <v>41.22</v>
      </c>
      <c r="X4" s="63">
        <f t="shared" si="4"/>
        <v>43.259999999999991</v>
      </c>
      <c r="Y4" s="63">
        <v>45.3</v>
      </c>
      <c r="Z4" s="63">
        <f t="shared" si="2"/>
        <v>49.92</v>
      </c>
      <c r="AA4" s="63">
        <f t="shared" si="2"/>
        <v>54.540000000000006</v>
      </c>
      <c r="AB4" s="63">
        <f t="shared" si="2"/>
        <v>59.160000000000011</v>
      </c>
      <c r="AC4" s="63">
        <f t="shared" si="2"/>
        <v>63.780000000000015</v>
      </c>
      <c r="AD4" s="63">
        <v>68.400000000000006</v>
      </c>
      <c r="AE4" s="88"/>
      <c r="AF4" s="88"/>
    </row>
    <row r="5" spans="1:32" x14ac:dyDescent="0.35">
      <c r="A5" s="88" t="s">
        <v>30</v>
      </c>
      <c r="B5" s="164"/>
      <c r="C5" s="88" t="s">
        <v>33</v>
      </c>
      <c r="D5" s="63">
        <v>8.4812112193331513E-2</v>
      </c>
      <c r="E5" s="63">
        <v>0.24283371212350299</v>
      </c>
      <c r="F5" s="63">
        <f t="shared" ref="F5:I7" si="5">E5+($J5-$E5)/(COLUMN($J5)-COLUMN($E5))</f>
        <v>0.34046276046663143</v>
      </c>
      <c r="G5" s="63">
        <f t="shared" si="5"/>
        <v>0.43809180880975984</v>
      </c>
      <c r="H5" s="63">
        <f t="shared" si="5"/>
        <v>0.53572085715288831</v>
      </c>
      <c r="I5" s="63">
        <f t="shared" si="5"/>
        <v>0.63334990549601677</v>
      </c>
      <c r="J5" s="63">
        <v>0.73097895383914513</v>
      </c>
      <c r="K5" s="63">
        <f t="shared" si="1"/>
        <v>1.1654530565649843</v>
      </c>
      <c r="L5" s="63">
        <f t="shared" si="1"/>
        <v>1.5999271592908235</v>
      </c>
      <c r="M5" s="63">
        <f t="shared" si="1"/>
        <v>2.0344012620166625</v>
      </c>
      <c r="N5" s="63">
        <v>2.4688753647425017</v>
      </c>
      <c r="O5" s="63">
        <f t="shared" si="3"/>
        <v>6.1188246067013257</v>
      </c>
      <c r="P5" s="63">
        <f t="shared" si="3"/>
        <v>9.7687738486601496</v>
      </c>
      <c r="Q5" s="63">
        <f t="shared" si="3"/>
        <v>13.418723090618974</v>
      </c>
      <c r="R5" s="63">
        <f t="shared" si="3"/>
        <v>17.068672332577798</v>
      </c>
      <c r="S5" s="63">
        <f t="shared" si="3"/>
        <v>20.718621574536623</v>
      </c>
      <c r="T5" s="63">
        <v>24.368570816495449</v>
      </c>
      <c r="U5" s="63">
        <f t="shared" si="4"/>
        <v>38.177554292324203</v>
      </c>
      <c r="V5" s="63">
        <f t="shared" si="4"/>
        <v>51.986537768152957</v>
      </c>
      <c r="W5" s="63">
        <f t="shared" si="4"/>
        <v>65.79552124398171</v>
      </c>
      <c r="X5" s="63">
        <f t="shared" si="4"/>
        <v>79.604504719810464</v>
      </c>
      <c r="Y5" s="63">
        <v>93.413488195639218</v>
      </c>
      <c r="Z5" s="63">
        <f t="shared" si="2"/>
        <v>125.5073617484412</v>
      </c>
      <c r="AA5" s="63">
        <f t="shared" si="2"/>
        <v>157.60123530124318</v>
      </c>
      <c r="AB5" s="63">
        <f t="shared" si="2"/>
        <v>189.69510885404515</v>
      </c>
      <c r="AC5" s="63">
        <f t="shared" si="2"/>
        <v>221.78898240684714</v>
      </c>
      <c r="AD5" s="63">
        <v>253.88285595964913</v>
      </c>
      <c r="AE5" s="88"/>
      <c r="AF5" s="88"/>
    </row>
    <row r="6" spans="1:32" x14ac:dyDescent="0.35">
      <c r="A6" s="88" t="s">
        <v>30</v>
      </c>
      <c r="B6" s="164"/>
      <c r="C6" s="88" t="s">
        <v>34</v>
      </c>
      <c r="D6" s="63">
        <v>6.0580080138093939E-3</v>
      </c>
      <c r="E6" s="63">
        <v>1.7771756236396739E-2</v>
      </c>
      <c r="F6" s="63">
        <f t="shared" si="5"/>
        <v>2.504677784712513E-2</v>
      </c>
      <c r="G6" s="63">
        <f t="shared" si="5"/>
        <v>3.2321799457853517E-2</v>
      </c>
      <c r="H6" s="63">
        <f t="shared" si="5"/>
        <v>3.9596821068581908E-2</v>
      </c>
      <c r="I6" s="63">
        <f t="shared" si="5"/>
        <v>4.6871842679310299E-2</v>
      </c>
      <c r="J6" s="63">
        <v>5.414686429003869E-2</v>
      </c>
      <c r="K6" s="63">
        <f t="shared" si="1"/>
        <v>7.3798800432577555E-2</v>
      </c>
      <c r="L6" s="63">
        <f t="shared" si="1"/>
        <v>9.3450736575116419E-2</v>
      </c>
      <c r="M6" s="63">
        <f t="shared" si="1"/>
        <v>0.11310267271765528</v>
      </c>
      <c r="N6" s="63">
        <v>0.13275460886019416</v>
      </c>
      <c r="O6" s="63">
        <f t="shared" si="3"/>
        <v>0.20937705636327303</v>
      </c>
      <c r="P6" s="63">
        <f t="shared" si="3"/>
        <v>0.28599950386635192</v>
      </c>
      <c r="Q6" s="63">
        <f t="shared" si="3"/>
        <v>0.36262195136943082</v>
      </c>
      <c r="R6" s="63">
        <f t="shared" si="3"/>
        <v>0.43924439887250971</v>
      </c>
      <c r="S6" s="63">
        <f t="shared" si="3"/>
        <v>0.51586684637558855</v>
      </c>
      <c r="T6" s="63">
        <v>0.59248929387866744</v>
      </c>
      <c r="U6" s="63">
        <f t="shared" si="4"/>
        <v>0.75647401896257604</v>
      </c>
      <c r="V6" s="63">
        <f t="shared" si="4"/>
        <v>0.92045874404648464</v>
      </c>
      <c r="W6" s="63">
        <f t="shared" si="4"/>
        <v>1.0844434691303932</v>
      </c>
      <c r="X6" s="63">
        <f t="shared" si="4"/>
        <v>1.2484281942143018</v>
      </c>
      <c r="Y6" s="63">
        <v>1.4124129192982104</v>
      </c>
      <c r="Z6" s="63">
        <f t="shared" si="2"/>
        <v>1.6368955320956846</v>
      </c>
      <c r="AA6" s="63">
        <f t="shared" si="2"/>
        <v>1.8613781448931588</v>
      </c>
      <c r="AB6" s="63">
        <f t="shared" si="2"/>
        <v>2.0858607576906327</v>
      </c>
      <c r="AC6" s="63">
        <f t="shared" si="2"/>
        <v>2.3103433704881069</v>
      </c>
      <c r="AD6" s="63">
        <v>2.5348259832855811</v>
      </c>
      <c r="AE6" s="88"/>
      <c r="AF6" s="88"/>
    </row>
    <row r="7" spans="1:32" x14ac:dyDescent="0.35">
      <c r="A7" s="88" t="s">
        <v>30</v>
      </c>
      <c r="B7" s="164"/>
      <c r="C7" s="88" t="s">
        <v>35</v>
      </c>
      <c r="D7" s="63">
        <v>14</v>
      </c>
      <c r="E7" s="63">
        <v>21</v>
      </c>
      <c r="F7" s="63">
        <f t="shared" si="5"/>
        <v>23.2</v>
      </c>
      <c r="G7" s="63">
        <f t="shared" si="5"/>
        <v>25.4</v>
      </c>
      <c r="H7" s="63">
        <f t="shared" si="5"/>
        <v>27.599999999999998</v>
      </c>
      <c r="I7" s="63">
        <f t="shared" si="5"/>
        <v>29.799999999999997</v>
      </c>
      <c r="J7" s="63">
        <v>32</v>
      </c>
      <c r="K7" s="63">
        <f t="shared" si="1"/>
        <v>35.75</v>
      </c>
      <c r="L7" s="63">
        <f t="shared" si="1"/>
        <v>39.5</v>
      </c>
      <c r="M7" s="63">
        <f t="shared" si="1"/>
        <v>43.25</v>
      </c>
      <c r="N7" s="63">
        <v>47</v>
      </c>
      <c r="O7" s="63">
        <f t="shared" si="3"/>
        <v>53.833333333333336</v>
      </c>
      <c r="P7" s="63">
        <f t="shared" si="3"/>
        <v>60.666666666666671</v>
      </c>
      <c r="Q7" s="63">
        <f t="shared" si="3"/>
        <v>67.5</v>
      </c>
      <c r="R7" s="63">
        <f t="shared" si="3"/>
        <v>74.333333333333329</v>
      </c>
      <c r="S7" s="63">
        <f t="shared" si="3"/>
        <v>81.166666666666657</v>
      </c>
      <c r="T7" s="63">
        <v>88</v>
      </c>
      <c r="U7" s="63">
        <f t="shared" si="4"/>
        <v>94.4</v>
      </c>
      <c r="V7" s="63">
        <f t="shared" si="4"/>
        <v>100.80000000000001</v>
      </c>
      <c r="W7" s="63">
        <f t="shared" si="4"/>
        <v>107.20000000000002</v>
      </c>
      <c r="X7" s="63">
        <f t="shared" si="4"/>
        <v>113.60000000000002</v>
      </c>
      <c r="Y7" s="63">
        <v>120</v>
      </c>
      <c r="Z7" s="63">
        <f t="shared" si="2"/>
        <v>126.6</v>
      </c>
      <c r="AA7" s="63">
        <f t="shared" si="2"/>
        <v>133.19999999999999</v>
      </c>
      <c r="AB7" s="63">
        <f t="shared" si="2"/>
        <v>139.79999999999998</v>
      </c>
      <c r="AC7" s="63">
        <f t="shared" si="2"/>
        <v>146.39999999999998</v>
      </c>
      <c r="AD7" s="63">
        <v>153</v>
      </c>
      <c r="AE7" s="88"/>
      <c r="AF7" s="88"/>
    </row>
    <row r="8" spans="1:32" x14ac:dyDescent="0.35">
      <c r="A8" s="88" t="s">
        <v>39</v>
      </c>
      <c r="B8" s="164"/>
      <c r="C8" s="88" t="s">
        <v>31</v>
      </c>
      <c r="D8" s="63">
        <v>22.2</v>
      </c>
      <c r="E8" s="63">
        <v>65.8</v>
      </c>
      <c r="F8" s="63">
        <f t="shared" ref="F8:I10" si="6">E8+($J8-$E8)/(COLUMN($J8)-COLUMN($E8))</f>
        <v>102.72</v>
      </c>
      <c r="G8" s="63">
        <f t="shared" si="6"/>
        <v>139.63999999999999</v>
      </c>
      <c r="H8" s="63">
        <f t="shared" si="6"/>
        <v>176.56</v>
      </c>
      <c r="I8" s="63">
        <f t="shared" si="6"/>
        <v>213.48000000000002</v>
      </c>
      <c r="J8" s="63">
        <v>250.4</v>
      </c>
      <c r="K8" s="63">
        <f t="shared" ref="K8:M12" si="7">J8+($N8-$J8)/(COLUMN($N8)-COLUMN($J8))</f>
        <v>348.67500000000001</v>
      </c>
      <c r="L8" s="63">
        <f t="shared" si="7"/>
        <v>446.95000000000005</v>
      </c>
      <c r="M8" s="63">
        <f t="shared" si="7"/>
        <v>545.22500000000002</v>
      </c>
      <c r="N8" s="63">
        <v>643.5</v>
      </c>
      <c r="O8" s="63">
        <f>N8+(($T8-$N8)/(COLUMN($T8)-COLUMN($N8)))</f>
        <v>904.91666666666674</v>
      </c>
      <c r="P8" s="63">
        <f>O8+(($T8-$N8)/(COLUMN($T8)-COLUMN($N8)))</f>
        <v>1166.3333333333335</v>
      </c>
      <c r="Q8" s="63">
        <f>P8+(($T8-$N8)/(COLUMN($T8)-COLUMN($N8)))</f>
        <v>1427.7500000000002</v>
      </c>
      <c r="R8" s="63">
        <f>Q8+(($T8-$N8)/(COLUMN($T8)-COLUMN($N8)))</f>
        <v>1689.166666666667</v>
      </c>
      <c r="S8" s="63">
        <f>R8+(($T8-$N8)/(COLUMN($T8)-COLUMN($N8)))</f>
        <v>1950.5833333333337</v>
      </c>
      <c r="T8" s="63">
        <v>2212</v>
      </c>
      <c r="U8" s="63">
        <f t="shared" ref="U8:X12" si="8">T8+(($Y8-$T8)/(COLUMN($Y8)-COLUMN($T8)))</f>
        <v>2606.48</v>
      </c>
      <c r="V8" s="63">
        <f t="shared" si="8"/>
        <v>3000.96</v>
      </c>
      <c r="W8" s="63">
        <f t="shared" si="8"/>
        <v>3395.44</v>
      </c>
      <c r="X8" s="63">
        <f t="shared" si="8"/>
        <v>3789.92</v>
      </c>
      <c r="Y8" s="63">
        <v>4184.4000000000005</v>
      </c>
      <c r="Z8" s="63">
        <f t="shared" ref="Z8:AC12" si="9">Y8+(($AD8-$Y8)/(COLUMN($AD8)-COLUMN($Y8)))</f>
        <v>4609.4400000000005</v>
      </c>
      <c r="AA8" s="63">
        <f t="shared" si="9"/>
        <v>5034.4800000000005</v>
      </c>
      <c r="AB8" s="63">
        <f t="shared" si="9"/>
        <v>5459.52</v>
      </c>
      <c r="AC8" s="63">
        <f t="shared" si="9"/>
        <v>5884.56</v>
      </c>
      <c r="AD8" s="63">
        <v>6309.5999999999985</v>
      </c>
      <c r="AE8" s="63"/>
      <c r="AF8" s="5"/>
    </row>
    <row r="9" spans="1:32" x14ac:dyDescent="0.35">
      <c r="A9" s="88" t="s">
        <v>39</v>
      </c>
      <c r="B9" s="164"/>
      <c r="C9" s="88" t="s">
        <v>32</v>
      </c>
      <c r="D9" s="63">
        <v>13</v>
      </c>
      <c r="E9" s="63">
        <v>27</v>
      </c>
      <c r="F9" s="63">
        <f t="shared" si="6"/>
        <v>34.519999999999982</v>
      </c>
      <c r="G9" s="63">
        <f t="shared" si="6"/>
        <v>42.039999999999964</v>
      </c>
      <c r="H9" s="63">
        <f t="shared" si="6"/>
        <v>49.559999999999945</v>
      </c>
      <c r="I9" s="63">
        <f t="shared" si="6"/>
        <v>57.079999999999927</v>
      </c>
      <c r="J9" s="63">
        <v>64.599999999999909</v>
      </c>
      <c r="K9" s="63">
        <f t="shared" si="7"/>
        <v>75.024999999999935</v>
      </c>
      <c r="L9" s="63">
        <f t="shared" si="7"/>
        <v>85.44999999999996</v>
      </c>
      <c r="M9" s="63">
        <f t="shared" si="7"/>
        <v>95.874999999999986</v>
      </c>
      <c r="N9" s="63">
        <v>106.3</v>
      </c>
      <c r="O9" s="63">
        <f t="shared" ref="O9:S12" si="10">N9+(($T9-$N9)/(COLUMN($T9)-COLUMN($N9)))</f>
        <v>120.25</v>
      </c>
      <c r="P9" s="63">
        <f t="shared" si="10"/>
        <v>134.19999999999999</v>
      </c>
      <c r="Q9" s="63">
        <f t="shared" si="10"/>
        <v>148.14999999999998</v>
      </c>
      <c r="R9" s="63">
        <f t="shared" si="10"/>
        <v>162.09999999999997</v>
      </c>
      <c r="S9" s="63">
        <f t="shared" si="10"/>
        <v>176.04999999999995</v>
      </c>
      <c r="T9" s="63">
        <v>190</v>
      </c>
      <c r="U9" s="63">
        <f t="shared" si="8"/>
        <v>201.2</v>
      </c>
      <c r="V9" s="63">
        <f t="shared" si="8"/>
        <v>212.39999999999998</v>
      </c>
      <c r="W9" s="63">
        <f t="shared" si="8"/>
        <v>223.59999999999997</v>
      </c>
      <c r="X9" s="63">
        <f t="shared" si="8"/>
        <v>234.79999999999995</v>
      </c>
      <c r="Y9" s="63">
        <v>246</v>
      </c>
      <c r="Z9" s="63">
        <f t="shared" si="9"/>
        <v>254.48000000000002</v>
      </c>
      <c r="AA9" s="63">
        <f t="shared" si="9"/>
        <v>262.96000000000004</v>
      </c>
      <c r="AB9" s="63">
        <f t="shared" si="9"/>
        <v>271.44000000000005</v>
      </c>
      <c r="AC9" s="63">
        <f t="shared" si="9"/>
        <v>279.92000000000007</v>
      </c>
      <c r="AD9" s="63">
        <v>288.40000000000009</v>
      </c>
      <c r="AE9" s="88"/>
      <c r="AF9" s="88"/>
    </row>
    <row r="10" spans="1:32" x14ac:dyDescent="0.35">
      <c r="A10" s="88" t="s">
        <v>39</v>
      </c>
      <c r="B10" s="164"/>
      <c r="C10" s="88" t="s">
        <v>33</v>
      </c>
      <c r="D10" s="63">
        <v>4.7253529883901121E-2</v>
      </c>
      <c r="E10" s="63">
        <v>0.28011551949195379</v>
      </c>
      <c r="F10" s="63">
        <f t="shared" si="6"/>
        <v>0.59718244793816533</v>
      </c>
      <c r="G10" s="63">
        <f t="shared" si="6"/>
        <v>0.91424937638437687</v>
      </c>
      <c r="H10" s="63">
        <f t="shared" si="6"/>
        <v>1.2313163048305884</v>
      </c>
      <c r="I10" s="63">
        <f t="shared" si="6"/>
        <v>1.5483832332767999</v>
      </c>
      <c r="J10" s="63">
        <v>1.8654501617230115</v>
      </c>
      <c r="K10" s="63">
        <f t="shared" si="7"/>
        <v>3.796086780774603</v>
      </c>
      <c r="L10" s="63">
        <f t="shared" si="7"/>
        <v>5.726723399826195</v>
      </c>
      <c r="M10" s="63">
        <f t="shared" si="7"/>
        <v>7.6573600188777871</v>
      </c>
      <c r="N10" s="63">
        <v>9.5879966379293773</v>
      </c>
      <c r="O10" s="63">
        <f t="shared" si="10"/>
        <v>22.507331657050738</v>
      </c>
      <c r="P10" s="63">
        <f t="shared" si="10"/>
        <v>35.426666676172097</v>
      </c>
      <c r="Q10" s="63">
        <f t="shared" si="10"/>
        <v>48.346001695293459</v>
      </c>
      <c r="R10" s="63">
        <f t="shared" si="10"/>
        <v>61.265336714414822</v>
      </c>
      <c r="S10" s="63">
        <f t="shared" si="10"/>
        <v>74.184671733536177</v>
      </c>
      <c r="T10" s="63">
        <v>87.10400675265754</v>
      </c>
      <c r="U10" s="63">
        <f t="shared" si="8"/>
        <v>116.88846005819971</v>
      </c>
      <c r="V10" s="63">
        <f t="shared" si="8"/>
        <v>146.67291336374188</v>
      </c>
      <c r="W10" s="63">
        <f t="shared" si="8"/>
        <v>176.45736666928406</v>
      </c>
      <c r="X10" s="63">
        <f t="shared" si="8"/>
        <v>206.24181997482623</v>
      </c>
      <c r="Y10" s="63">
        <v>236.02627328036843</v>
      </c>
      <c r="Z10" s="63">
        <f t="shared" si="9"/>
        <v>292.23370851605404</v>
      </c>
      <c r="AA10" s="63">
        <f t="shared" si="9"/>
        <v>348.44114375173962</v>
      </c>
      <c r="AB10" s="63">
        <f t="shared" si="9"/>
        <v>404.6485789874252</v>
      </c>
      <c r="AC10" s="63">
        <f t="shared" si="9"/>
        <v>460.85601422311078</v>
      </c>
      <c r="AD10" s="63">
        <v>517.06344945879641</v>
      </c>
      <c r="AE10" s="88"/>
      <c r="AF10" s="88"/>
    </row>
    <row r="11" spans="1:32" x14ac:dyDescent="0.35">
      <c r="A11" s="88" t="s">
        <v>39</v>
      </c>
      <c r="B11" s="164"/>
      <c r="C11" s="88" t="s">
        <v>34</v>
      </c>
      <c r="D11" s="63">
        <v>2.3626764941950561E-2</v>
      </c>
      <c r="E11" s="63">
        <v>7.0028879872988448E-2</v>
      </c>
      <c r="F11" s="63">
        <f t="shared" ref="F11:I12" si="11">E11+($J11-$E11)/(COLUMN($J11)-COLUMN($E11))</f>
        <v>0.10932167994761965</v>
      </c>
      <c r="G11" s="63">
        <f t="shared" si="11"/>
        <v>0.14861448002225086</v>
      </c>
      <c r="H11" s="63">
        <f t="shared" si="11"/>
        <v>0.18790728009688207</v>
      </c>
      <c r="I11" s="63">
        <f t="shared" si="11"/>
        <v>0.22720008017151327</v>
      </c>
      <c r="J11" s="63">
        <v>0.26649288024614448</v>
      </c>
      <c r="K11" s="63">
        <f t="shared" si="7"/>
        <v>0.37108388586191865</v>
      </c>
      <c r="L11" s="63">
        <f t="shared" si="7"/>
        <v>0.47567489147769282</v>
      </c>
      <c r="M11" s="63">
        <f t="shared" si="7"/>
        <v>0.58026589709346699</v>
      </c>
      <c r="N11" s="63">
        <v>0.68485690270924116</v>
      </c>
      <c r="O11" s="63">
        <f t="shared" si="10"/>
        <v>0.96307447636877097</v>
      </c>
      <c r="P11" s="63">
        <f t="shared" si="10"/>
        <v>1.2412920500283007</v>
      </c>
      <c r="Q11" s="63">
        <f t="shared" si="10"/>
        <v>1.5195096236878305</v>
      </c>
      <c r="R11" s="63">
        <f t="shared" si="10"/>
        <v>1.7977271973473603</v>
      </c>
      <c r="S11" s="63">
        <f t="shared" si="10"/>
        <v>2.0759447710068901</v>
      </c>
      <c r="T11" s="63">
        <v>2.3541623446664199</v>
      </c>
      <c r="U11" s="63">
        <f t="shared" si="8"/>
        <v>2.7739950579232056</v>
      </c>
      <c r="V11" s="63">
        <f t="shared" si="8"/>
        <v>3.1938277711799912</v>
      </c>
      <c r="W11" s="63">
        <f t="shared" si="8"/>
        <v>3.6136604844367768</v>
      </c>
      <c r="X11" s="63">
        <f t="shared" si="8"/>
        <v>4.0334931976935628</v>
      </c>
      <c r="Y11" s="63">
        <v>4.4533259109503485</v>
      </c>
      <c r="Z11" s="63">
        <f t="shared" si="9"/>
        <v>4.9056826754065028</v>
      </c>
      <c r="AA11" s="63">
        <f t="shared" si="9"/>
        <v>5.3580394398626572</v>
      </c>
      <c r="AB11" s="63">
        <f t="shared" si="9"/>
        <v>5.8103962043188115</v>
      </c>
      <c r="AC11" s="63">
        <f t="shared" si="9"/>
        <v>6.2627529687749659</v>
      </c>
      <c r="AD11" s="63">
        <v>6.715109733231122</v>
      </c>
      <c r="AE11" s="88"/>
      <c r="AF11" s="88"/>
    </row>
    <row r="12" spans="1:32" x14ac:dyDescent="0.35">
      <c r="A12" s="88" t="s">
        <v>39</v>
      </c>
      <c r="B12" s="164"/>
      <c r="C12" s="88" t="s">
        <v>35</v>
      </c>
      <c r="D12" s="63">
        <v>2</v>
      </c>
      <c r="E12" s="63">
        <v>4</v>
      </c>
      <c r="F12" s="63">
        <f t="shared" si="11"/>
        <v>4.5999999999999996</v>
      </c>
      <c r="G12" s="63">
        <f t="shared" si="11"/>
        <v>5.1999999999999993</v>
      </c>
      <c r="H12" s="63">
        <f t="shared" si="11"/>
        <v>5.7999999999999989</v>
      </c>
      <c r="I12" s="63">
        <f t="shared" si="11"/>
        <v>6.3999999999999986</v>
      </c>
      <c r="J12" s="63">
        <v>7</v>
      </c>
      <c r="K12" s="63">
        <f t="shared" si="7"/>
        <v>8.75</v>
      </c>
      <c r="L12" s="63">
        <f t="shared" si="7"/>
        <v>10.5</v>
      </c>
      <c r="M12" s="63">
        <f t="shared" si="7"/>
        <v>12.25</v>
      </c>
      <c r="N12" s="63">
        <v>14</v>
      </c>
      <c r="O12" s="63">
        <f t="shared" si="10"/>
        <v>17.833333333333332</v>
      </c>
      <c r="P12" s="63">
        <f t="shared" si="10"/>
        <v>21.666666666666664</v>
      </c>
      <c r="Q12" s="63">
        <f t="shared" si="10"/>
        <v>25.499999999999996</v>
      </c>
      <c r="R12" s="63">
        <f t="shared" si="10"/>
        <v>29.333333333333329</v>
      </c>
      <c r="S12" s="63">
        <f t="shared" si="10"/>
        <v>33.166666666666664</v>
      </c>
      <c r="T12" s="63">
        <v>37</v>
      </c>
      <c r="U12" s="63">
        <f t="shared" si="8"/>
        <v>40.200000000000003</v>
      </c>
      <c r="V12" s="63">
        <f t="shared" si="8"/>
        <v>43.400000000000006</v>
      </c>
      <c r="W12" s="63">
        <f t="shared" si="8"/>
        <v>46.600000000000009</v>
      </c>
      <c r="X12" s="63">
        <f t="shared" si="8"/>
        <v>49.800000000000011</v>
      </c>
      <c r="Y12" s="63">
        <v>53</v>
      </c>
      <c r="Z12" s="63">
        <f t="shared" si="9"/>
        <v>57.8</v>
      </c>
      <c r="AA12" s="63">
        <f t="shared" si="9"/>
        <v>62.599999999999994</v>
      </c>
      <c r="AB12" s="63">
        <f t="shared" si="9"/>
        <v>67.399999999999991</v>
      </c>
      <c r="AC12" s="63">
        <f t="shared" si="9"/>
        <v>72.199999999999989</v>
      </c>
      <c r="AD12" s="63">
        <v>77</v>
      </c>
      <c r="AE12" s="88"/>
      <c r="AF12" s="88"/>
    </row>
    <row r="13" spans="1:32" ht="17.5" customHeight="1" x14ac:dyDescent="0.35">
      <c r="A13" s="88" t="s">
        <v>30</v>
      </c>
      <c r="B13" s="164"/>
      <c r="C13" s="88" t="s">
        <v>121</v>
      </c>
      <c r="D13" s="63">
        <v>5445.825674993449</v>
      </c>
      <c r="E13" s="63">
        <v>7241.293555071361</v>
      </c>
      <c r="F13" s="63">
        <v>9036.7614351492721</v>
      </c>
      <c r="G13" s="63">
        <v>10832.229315227183</v>
      </c>
      <c r="H13" s="63">
        <v>12627.697195305094</v>
      </c>
      <c r="I13" s="63">
        <v>14423.165075383005</v>
      </c>
      <c r="J13" s="63">
        <v>16218.632955460916</v>
      </c>
      <c r="K13" s="63">
        <v>18014.100835538829</v>
      </c>
      <c r="L13" s="63">
        <v>19909.568715616701</v>
      </c>
      <c r="M13" s="63">
        <v>21605.036595694652</v>
      </c>
      <c r="N13" s="63">
        <v>23400.504475772563</v>
      </c>
      <c r="O13" s="63">
        <v>25195.972355850474</v>
      </c>
      <c r="P13" s="63">
        <v>26991.440235928385</v>
      </c>
      <c r="Q13" s="63">
        <v>28786.908116006296</v>
      </c>
      <c r="R13" s="63">
        <v>30582.375996084207</v>
      </c>
      <c r="S13" s="63">
        <v>32377.843876162118</v>
      </c>
      <c r="T13" s="63">
        <v>34173.311756240029</v>
      </c>
      <c r="U13" s="63">
        <v>35968.779636317944</v>
      </c>
      <c r="V13" s="63">
        <v>37764.247516395859</v>
      </c>
      <c r="W13" s="63">
        <v>39559.715396473774</v>
      </c>
      <c r="X13" s="63">
        <v>41355.183276551688</v>
      </c>
      <c r="Y13" s="63">
        <v>43150.651156629603</v>
      </c>
      <c r="Z13" s="63">
        <v>44946.119036707518</v>
      </c>
      <c r="AA13" s="63">
        <v>46741.586916785433</v>
      </c>
      <c r="AB13" s="63">
        <v>48537.054796863347</v>
      </c>
      <c r="AC13" s="63">
        <v>50332.522676941262</v>
      </c>
      <c r="AD13" s="63">
        <v>52127.990557019155</v>
      </c>
      <c r="AE13" s="88"/>
      <c r="AF13" s="88"/>
    </row>
    <row r="14" spans="1:32" ht="17.5" customHeight="1" x14ac:dyDescent="0.35">
      <c r="A14" s="88" t="s">
        <v>30</v>
      </c>
      <c r="B14" s="164"/>
      <c r="C14" s="88" t="s">
        <v>122</v>
      </c>
      <c r="D14" s="63">
        <v>192864.66620394157</v>
      </c>
      <c r="E14" s="63">
        <v>195239.2419650236</v>
      </c>
      <c r="F14" s="63">
        <v>196366.76544203321</v>
      </c>
      <c r="G14" s="63">
        <v>197525.37556068008</v>
      </c>
      <c r="H14" s="63">
        <v>198743.92387830256</v>
      </c>
      <c r="I14" s="63">
        <v>200140.93841202525</v>
      </c>
      <c r="J14" s="63">
        <v>201537.7102617296</v>
      </c>
      <c r="K14" s="63">
        <v>203264.35975945235</v>
      </c>
      <c r="L14" s="63">
        <v>205020.85839510098</v>
      </c>
      <c r="M14" s="63">
        <v>206857.30160898238</v>
      </c>
      <c r="N14" s="63">
        <v>208717.85370976047</v>
      </c>
      <c r="O14" s="63">
        <v>210603.18149647751</v>
      </c>
      <c r="P14" s="63">
        <v>212516.40688715709</v>
      </c>
      <c r="Q14" s="63">
        <v>214384.67967973242</v>
      </c>
      <c r="R14" s="63">
        <v>216269.29220061237</v>
      </c>
      <c r="S14" s="63">
        <v>218166.20327483438</v>
      </c>
      <c r="T14" s="63">
        <v>220084.66189887849</v>
      </c>
      <c r="U14" s="63">
        <v>221841.85132365467</v>
      </c>
      <c r="V14" s="63">
        <v>223594.26978343775</v>
      </c>
      <c r="W14" s="63">
        <v>225336.52091265519</v>
      </c>
      <c r="X14" s="63">
        <v>227080.15135791432</v>
      </c>
      <c r="Y14" s="63">
        <v>228568.34604359462</v>
      </c>
      <c r="Z14" s="63">
        <v>230020.42486390745</v>
      </c>
      <c r="AA14" s="63">
        <v>231425.48689332735</v>
      </c>
      <c r="AB14" s="63">
        <v>232792.66409110834</v>
      </c>
      <c r="AC14" s="63">
        <v>233827.47214176381</v>
      </c>
      <c r="AD14" s="63">
        <v>234770.96970999555</v>
      </c>
      <c r="AE14" s="88"/>
      <c r="AF14" s="88"/>
    </row>
    <row r="15" spans="1:32" s="62" customFormat="1" x14ac:dyDescent="0.35">
      <c r="A15" s="88" t="s">
        <v>30</v>
      </c>
      <c r="B15" s="164"/>
      <c r="C15" s="88" t="s">
        <v>123</v>
      </c>
      <c r="D15" s="63">
        <v>57814.1637958055</v>
      </c>
      <c r="E15" s="63">
        <v>62191.746894023359</v>
      </c>
      <c r="F15" s="63">
        <v>64361.105239567863</v>
      </c>
      <c r="G15" s="63">
        <v>66628.501001105484</v>
      </c>
      <c r="H15" s="63">
        <v>69068.22672153436</v>
      </c>
      <c r="I15" s="63">
        <v>71918.961016641551</v>
      </c>
      <c r="J15" s="63">
        <v>74820.679205256296</v>
      </c>
      <c r="K15" s="63">
        <v>78496.839307291273</v>
      </c>
      <c r="L15" s="63">
        <v>82309.216023114539</v>
      </c>
      <c r="M15" s="63">
        <v>86348.347303552597</v>
      </c>
      <c r="N15" s="63">
        <v>90544.748479623348</v>
      </c>
      <c r="O15" s="63">
        <v>94913.207014780099</v>
      </c>
      <c r="P15" s="63">
        <v>99465.734517678065</v>
      </c>
      <c r="Q15" s="63">
        <v>104037.4077761966</v>
      </c>
      <c r="R15" s="63">
        <v>108760.58254466523</v>
      </c>
      <c r="S15" s="63">
        <v>113603.99735013851</v>
      </c>
      <c r="T15" s="63">
        <v>118575.88302083251</v>
      </c>
      <c r="U15" s="63">
        <v>123222.71504670107</v>
      </c>
      <c r="V15" s="63">
        <v>127939.138389695</v>
      </c>
      <c r="W15" s="63">
        <v>132690.69490386776</v>
      </c>
      <c r="X15" s="63">
        <v>137509.22210787912</v>
      </c>
      <c r="Y15" s="63">
        <v>141696.54673158468</v>
      </c>
      <c r="Z15" s="63">
        <v>145839.42464600256</v>
      </c>
      <c r="AA15" s="63">
        <v>149897.77416606247</v>
      </c>
      <c r="AB15" s="63">
        <v>153895.16437342393</v>
      </c>
      <c r="AC15" s="63">
        <v>156987.02044081831</v>
      </c>
      <c r="AD15" s="63">
        <v>159822.5063154228</v>
      </c>
      <c r="AE15" s="88"/>
      <c r="AF15" s="88"/>
    </row>
    <row r="17" spans="1:30" x14ac:dyDescent="0.35">
      <c r="A17" s="88" t="s">
        <v>124</v>
      </c>
      <c r="B17" s="88" t="s">
        <v>125</v>
      </c>
      <c r="C17" s="88" t="s">
        <v>107</v>
      </c>
      <c r="D17" s="5">
        <f>'Cost Assumptions'!B8*('Cost Assumptions'!B5^3)</f>
        <v>4.4933261328125003</v>
      </c>
      <c r="E17" s="5">
        <f>D17*'Cost Assumptions'!$B$5</f>
        <v>4.6056592861328127</v>
      </c>
      <c r="F17" s="5">
        <f>E17*'Cost Assumptions'!$B$5</f>
        <v>4.720800768286133</v>
      </c>
      <c r="G17" s="5">
        <f>F17*'Cost Assumptions'!$B$5</f>
        <v>4.8388207874932858</v>
      </c>
      <c r="H17" s="5">
        <f>G17*'Cost Assumptions'!$B$5</f>
        <v>4.9597913071806179</v>
      </c>
      <c r="I17" s="5">
        <f>H17*'Cost Assumptions'!$B$5</f>
        <v>5.0837860898601326</v>
      </c>
      <c r="J17" s="5">
        <f>I17*'Cost Assumptions'!$B$5</f>
        <v>5.2108807421066352</v>
      </c>
      <c r="K17" s="5">
        <f>J17*'Cost Assumptions'!$B$5</f>
        <v>5.341152760659301</v>
      </c>
      <c r="L17" s="5">
        <f>K17*'Cost Assumptions'!$B$5</f>
        <v>5.4746815796757833</v>
      </c>
      <c r="M17" s="5">
        <f>L17*'Cost Assumptions'!$B$5</f>
        <v>5.6115486191676771</v>
      </c>
      <c r="N17" s="5">
        <f>M17*'Cost Assumptions'!$B$5</f>
        <v>5.7518373346468685</v>
      </c>
      <c r="O17" s="5">
        <f>N17*'Cost Assumptions'!$B$5</f>
        <v>5.8956332680130394</v>
      </c>
      <c r="P17" s="5">
        <f>O17*'Cost Assumptions'!$B$5</f>
        <v>6.0430240997133646</v>
      </c>
      <c r="Q17" s="5">
        <f>P17*'Cost Assumptions'!$B$5</f>
        <v>6.1940997022061985</v>
      </c>
      <c r="R17" s="5">
        <f>Q17*'Cost Assumptions'!$B$5</f>
        <v>6.3489521947613525</v>
      </c>
      <c r="S17" s="5">
        <f>R17*'Cost Assumptions'!$B$5</f>
        <v>6.5076759996303855</v>
      </c>
      <c r="T17" s="5">
        <f>S17*'Cost Assumptions'!$B$5</f>
        <v>6.6703678996211444</v>
      </c>
      <c r="U17" s="5">
        <f>T17*'Cost Assumptions'!$B$5</f>
        <v>6.8371270971116722</v>
      </c>
      <c r="V17" s="5">
        <f>U17*'Cost Assumptions'!$B$5</f>
        <v>7.0080552745394638</v>
      </c>
      <c r="W17" s="5">
        <f>V17*'Cost Assumptions'!$B$5</f>
        <v>7.1832566564029499</v>
      </c>
      <c r="X17" s="5">
        <f>W17*'Cost Assumptions'!$B$5</f>
        <v>7.3628380728130232</v>
      </c>
      <c r="Y17" s="5">
        <f>X17*'Cost Assumptions'!$B$5</f>
        <v>7.5469090246333481</v>
      </c>
      <c r="Z17" s="5">
        <f>Y17*'Cost Assumptions'!$B$5</f>
        <v>7.7355817502491808</v>
      </c>
      <c r="AA17" s="5">
        <f>Z17*'Cost Assumptions'!$B$5</f>
        <v>7.92897129400541</v>
      </c>
      <c r="AB17" s="5">
        <f>AA17*'Cost Assumptions'!$B$5</f>
        <v>8.127195576355545</v>
      </c>
      <c r="AC17" s="5">
        <f>AB17*'Cost Assumptions'!$B$5</f>
        <v>8.3303754657644333</v>
      </c>
      <c r="AD17" s="5">
        <f>AC17*'Cost Assumptions'!$B$5</f>
        <v>8.5386348524085438</v>
      </c>
    </row>
    <row r="18" spans="1:30" x14ac:dyDescent="0.35">
      <c r="A18" s="88" t="s">
        <v>124</v>
      </c>
      <c r="B18" s="88" t="s">
        <v>126</v>
      </c>
      <c r="C18" s="88" t="s">
        <v>107</v>
      </c>
      <c r="D18" s="5">
        <f>'Cost Assumptions'!B9*('Cost Assumptions'!B5^3)</f>
        <v>3.7920011132812492</v>
      </c>
      <c r="E18" s="5">
        <f>D18*'Cost Assumptions'!$B$5</f>
        <v>3.8868011411132799</v>
      </c>
      <c r="F18" s="5">
        <f>E18*'Cost Assumptions'!$B$5</f>
        <v>3.9839711696411118</v>
      </c>
      <c r="G18" s="5">
        <f>F18*'Cost Assumptions'!$B$5</f>
        <v>4.0835704488821394</v>
      </c>
      <c r="H18" s="5">
        <f>G18*'Cost Assumptions'!$B$5</f>
        <v>4.1856597101041926</v>
      </c>
      <c r="I18" s="5">
        <f>H18*'Cost Assumptions'!$B$5</f>
        <v>4.2903012028567966</v>
      </c>
      <c r="J18" s="5">
        <f>I18*'Cost Assumptions'!$B$5</f>
        <v>4.397558732928216</v>
      </c>
      <c r="K18" s="5">
        <f>J18*'Cost Assumptions'!$B$5</f>
        <v>4.5074977012514212</v>
      </c>
      <c r="L18" s="5">
        <f>K18*'Cost Assumptions'!$B$5</f>
        <v>4.6201851437827059</v>
      </c>
      <c r="M18" s="5">
        <f>L18*'Cost Assumptions'!$B$5</f>
        <v>4.7356897723772731</v>
      </c>
      <c r="N18" s="5">
        <f>M18*'Cost Assumptions'!$B$5</f>
        <v>4.8540820166867045</v>
      </c>
      <c r="O18" s="5">
        <f>N18*'Cost Assumptions'!$B$5</f>
        <v>4.9754340671038717</v>
      </c>
      <c r="P18" s="5">
        <f>O18*'Cost Assumptions'!$B$5</f>
        <v>5.0998199187814679</v>
      </c>
      <c r="Q18" s="5">
        <f>P18*'Cost Assumptions'!$B$5</f>
        <v>5.2273154167510043</v>
      </c>
      <c r="R18" s="5">
        <f>Q18*'Cost Assumptions'!$B$5</f>
        <v>5.3579983021697792</v>
      </c>
      <c r="S18" s="5">
        <f>R18*'Cost Assumptions'!$B$5</f>
        <v>5.4919482597240235</v>
      </c>
      <c r="T18" s="5">
        <f>S18*'Cost Assumptions'!$B$5</f>
        <v>5.6292469662171234</v>
      </c>
      <c r="U18" s="5">
        <f>T18*'Cost Assumptions'!$B$5</f>
        <v>5.769978140372551</v>
      </c>
      <c r="V18" s="5">
        <f>U18*'Cost Assumptions'!$B$5</f>
        <v>5.914227593881864</v>
      </c>
      <c r="W18" s="5">
        <f>V18*'Cost Assumptions'!$B$5</f>
        <v>6.06208328372891</v>
      </c>
      <c r="X18" s="5">
        <f>W18*'Cost Assumptions'!$B$5</f>
        <v>6.2136353658221326</v>
      </c>
      <c r="Y18" s="5">
        <f>X18*'Cost Assumptions'!$B$5</f>
        <v>6.3689762499676856</v>
      </c>
      <c r="Z18" s="5">
        <f>Y18*'Cost Assumptions'!$B$5</f>
        <v>6.5282006562168773</v>
      </c>
      <c r="AA18" s="5">
        <f>Z18*'Cost Assumptions'!$B$5</f>
        <v>6.6914056726222988</v>
      </c>
      <c r="AB18" s="5">
        <f>AA18*'Cost Assumptions'!$B$5</f>
        <v>6.858690814437856</v>
      </c>
      <c r="AC18" s="5">
        <f>AB18*'Cost Assumptions'!$B$5</f>
        <v>7.0301580847988019</v>
      </c>
      <c r="AD18" s="5">
        <f>AC18*'Cost Assumptions'!$B$5</f>
        <v>7.2059120369187717</v>
      </c>
    </row>
    <row r="19" spans="1:30" x14ac:dyDescent="0.35">
      <c r="A19" s="88" t="s">
        <v>127</v>
      </c>
      <c r="B19" s="88" t="s">
        <v>125</v>
      </c>
      <c r="C19" s="88" t="s">
        <v>107</v>
      </c>
      <c r="D19" s="5">
        <f>'Cost Assumptions'!B10*('Cost Assumptions'!B5^3)</f>
        <v>166.59767191406246</v>
      </c>
      <c r="E19" s="5">
        <f>D19*'Cost Assumptions'!$B$5</f>
        <v>170.76261371191401</v>
      </c>
      <c r="F19" s="5">
        <f>E19*'Cost Assumptions'!$B$5</f>
        <v>175.03167905471184</v>
      </c>
      <c r="G19" s="5">
        <f>F19*'Cost Assumptions'!$B$5</f>
        <v>179.40747103107964</v>
      </c>
      <c r="H19" s="5">
        <f>G19*'Cost Assumptions'!$B$5</f>
        <v>183.89265780685662</v>
      </c>
      <c r="I19" s="5">
        <f>H19*'Cost Assumptions'!$B$5</f>
        <v>188.48997425202802</v>
      </c>
      <c r="J19" s="5">
        <f>I19*'Cost Assumptions'!$B$5</f>
        <v>193.20222360832869</v>
      </c>
      <c r="K19" s="5">
        <f>J19*'Cost Assumptions'!$B$5</f>
        <v>198.03227919853688</v>
      </c>
      <c r="L19" s="5">
        <f>K19*'Cost Assumptions'!$B$5</f>
        <v>202.98308617850029</v>
      </c>
      <c r="M19" s="5">
        <f>L19*'Cost Assumptions'!$B$5</f>
        <v>208.05766333296279</v>
      </c>
      <c r="N19" s="5">
        <f>M19*'Cost Assumptions'!$B$5</f>
        <v>213.25910491628684</v>
      </c>
      <c r="O19" s="5">
        <f>N19*'Cost Assumptions'!$B$5</f>
        <v>218.590582539194</v>
      </c>
      <c r="P19" s="5">
        <f>O19*'Cost Assumptions'!$B$5</f>
        <v>224.05534710267384</v>
      </c>
      <c r="Q19" s="5">
        <f>P19*'Cost Assumptions'!$B$5</f>
        <v>229.65673078024065</v>
      </c>
      <c r="R19" s="5">
        <f>Q19*'Cost Assumptions'!$B$5</f>
        <v>235.39814904974665</v>
      </c>
      <c r="S19" s="5">
        <f>R19*'Cost Assumptions'!$B$5</f>
        <v>241.2831027759903</v>
      </c>
      <c r="T19" s="5">
        <f>S19*'Cost Assumptions'!$B$5</f>
        <v>247.31518034539005</v>
      </c>
      <c r="U19" s="5">
        <f>T19*'Cost Assumptions'!$B$5</f>
        <v>253.49805985402477</v>
      </c>
      <c r="V19" s="5">
        <f>U19*'Cost Assumptions'!$B$5</f>
        <v>259.83551135037538</v>
      </c>
      <c r="W19" s="5">
        <f>V19*'Cost Assumptions'!$B$5</f>
        <v>266.33139913413476</v>
      </c>
      <c r="X19" s="5">
        <f>W19*'Cost Assumptions'!$B$5</f>
        <v>272.98968411248808</v>
      </c>
      <c r="Y19" s="5">
        <f>X19*'Cost Assumptions'!$B$5</f>
        <v>279.81442621530027</v>
      </c>
      <c r="Z19" s="5">
        <f>Y19*'Cost Assumptions'!$B$5</f>
        <v>286.80978687068273</v>
      </c>
      <c r="AA19" s="5">
        <f>Z19*'Cost Assumptions'!$B$5</f>
        <v>293.98003154244975</v>
      </c>
      <c r="AB19" s="5">
        <f>AA19*'Cost Assumptions'!$B$5</f>
        <v>301.32953233101097</v>
      </c>
      <c r="AC19" s="5">
        <f>AB19*'Cost Assumptions'!$B$5</f>
        <v>308.86277063928623</v>
      </c>
      <c r="AD19" s="5">
        <f>AC19*'Cost Assumptions'!$B$5</f>
        <v>316.58433990526834</v>
      </c>
    </row>
    <row r="20" spans="1:30" x14ac:dyDescent="0.35">
      <c r="A20" s="88" t="s">
        <v>127</v>
      </c>
      <c r="B20" s="88" t="s">
        <v>126</v>
      </c>
      <c r="C20" s="88" t="s">
        <v>107</v>
      </c>
      <c r="D20" s="5">
        <f>'Cost Assumptions'!B11*('Cost Assumptions'!B5^3)</f>
        <v>153.83719106445315</v>
      </c>
      <c r="E20" s="5">
        <f>D20*'Cost Assumptions'!$B$5</f>
        <v>157.68312084106446</v>
      </c>
      <c r="F20" s="5">
        <f>E20*'Cost Assumptions'!$B$5</f>
        <v>161.62519886209105</v>
      </c>
      <c r="G20" s="5">
        <f>F20*'Cost Assumptions'!$B$5</f>
        <v>165.6658288336433</v>
      </c>
      <c r="H20" s="5">
        <f>G20*'Cost Assumptions'!$B$5</f>
        <v>169.80747455448437</v>
      </c>
      <c r="I20" s="5">
        <f>H20*'Cost Assumptions'!$B$5</f>
        <v>174.05266141834647</v>
      </c>
      <c r="J20" s="5">
        <f>I20*'Cost Assumptions'!$B$5</f>
        <v>178.40397795380511</v>
      </c>
      <c r="K20" s="5">
        <f>J20*'Cost Assumptions'!$B$5</f>
        <v>182.86407740265022</v>
      </c>
      <c r="L20" s="5">
        <f>K20*'Cost Assumptions'!$B$5</f>
        <v>187.43567933771646</v>
      </c>
      <c r="M20" s="5">
        <f>L20*'Cost Assumptions'!$B$5</f>
        <v>192.12157132115937</v>
      </c>
      <c r="N20" s="5">
        <f>M20*'Cost Assumptions'!$B$5</f>
        <v>196.92461060418833</v>
      </c>
      <c r="O20" s="5">
        <f>N20*'Cost Assumptions'!$B$5</f>
        <v>201.84772586929301</v>
      </c>
      <c r="P20" s="5">
        <f>O20*'Cost Assumptions'!$B$5</f>
        <v>206.89391901602534</v>
      </c>
      <c r="Q20" s="5">
        <f>P20*'Cost Assumptions'!$B$5</f>
        <v>212.06626699142595</v>
      </c>
      <c r="R20" s="5">
        <f>Q20*'Cost Assumptions'!$B$5</f>
        <v>217.36792366621157</v>
      </c>
      <c r="S20" s="5">
        <f>R20*'Cost Assumptions'!$B$5</f>
        <v>222.80212175786684</v>
      </c>
      <c r="T20" s="5">
        <f>S20*'Cost Assumptions'!$B$5</f>
        <v>228.37217480181349</v>
      </c>
      <c r="U20" s="5">
        <f>T20*'Cost Assumptions'!$B$5</f>
        <v>234.0814791718588</v>
      </c>
      <c r="V20" s="5">
        <f>U20*'Cost Assumptions'!$B$5</f>
        <v>239.93351615115526</v>
      </c>
      <c r="W20" s="5">
        <f>V20*'Cost Assumptions'!$B$5</f>
        <v>245.93185405493412</v>
      </c>
      <c r="X20" s="5">
        <f>W20*'Cost Assumptions'!$B$5</f>
        <v>252.08015040630744</v>
      </c>
      <c r="Y20" s="5">
        <f>X20*'Cost Assumptions'!$B$5</f>
        <v>258.38215416646511</v>
      </c>
      <c r="Z20" s="5">
        <f>Y20*'Cost Assumptions'!$B$5</f>
        <v>264.8417080206267</v>
      </c>
      <c r="AA20" s="5">
        <f>Z20*'Cost Assumptions'!$B$5</f>
        <v>271.46275072114236</v>
      </c>
      <c r="AB20" s="5">
        <f>AA20*'Cost Assumptions'!$B$5</f>
        <v>278.24931948917089</v>
      </c>
      <c r="AC20" s="5">
        <f>AB20*'Cost Assumptions'!$B$5</f>
        <v>285.20555247640016</v>
      </c>
      <c r="AD20" s="5">
        <f>AC20*'Cost Assumptions'!$B$5</f>
        <v>292.33569128831016</v>
      </c>
    </row>
    <row r="21" spans="1:30" hidden="1" x14ac:dyDescent="0.35">
      <c r="A21" s="88" t="s">
        <v>124</v>
      </c>
      <c r="B21" s="88" t="s">
        <v>128</v>
      </c>
      <c r="C21" s="88" t="s">
        <v>129</v>
      </c>
      <c r="D21" s="5" t="e">
        <f>'Cost Assumptions'!#REF!*('Cost Assumptions'!B5^18)</f>
        <v>#REF!</v>
      </c>
      <c r="E21" s="5" t="e">
        <f>D21*'Cost Assumptions'!$B$5</f>
        <v>#REF!</v>
      </c>
      <c r="F21" s="5" t="e">
        <f>E21*'Cost Assumptions'!$B$5</f>
        <v>#REF!</v>
      </c>
      <c r="G21" s="5" t="e">
        <f>F21*'Cost Assumptions'!$B$5</f>
        <v>#REF!</v>
      </c>
      <c r="H21" s="5" t="e">
        <f>G21*'Cost Assumptions'!$B$5</f>
        <v>#REF!</v>
      </c>
      <c r="I21" s="5" t="e">
        <f>H21*'Cost Assumptions'!$B$5</f>
        <v>#REF!</v>
      </c>
      <c r="J21" s="5" t="e">
        <f>I21*'Cost Assumptions'!$B$5</f>
        <v>#REF!</v>
      </c>
      <c r="K21" s="5" t="e">
        <f>J21*'Cost Assumptions'!$B$5</f>
        <v>#REF!</v>
      </c>
      <c r="L21" s="5" t="e">
        <f>K21*'Cost Assumptions'!$B$5</f>
        <v>#REF!</v>
      </c>
      <c r="M21" s="5" t="e">
        <f>L21*'Cost Assumptions'!$B$5</f>
        <v>#REF!</v>
      </c>
      <c r="N21" s="5" t="e">
        <f>M21*'Cost Assumptions'!$B$5</f>
        <v>#REF!</v>
      </c>
      <c r="O21" s="5" t="e">
        <f>N21*'Cost Assumptions'!$B$5</f>
        <v>#REF!</v>
      </c>
      <c r="P21" s="5" t="e">
        <f>O21*'Cost Assumptions'!$B$5</f>
        <v>#REF!</v>
      </c>
      <c r="Q21" s="5" t="e">
        <f>P21*'Cost Assumptions'!$B$5</f>
        <v>#REF!</v>
      </c>
      <c r="R21" s="5" t="e">
        <f>Q21*'Cost Assumptions'!$B$5</f>
        <v>#REF!</v>
      </c>
      <c r="S21" s="5" t="e">
        <f>R21*'Cost Assumptions'!$B$5</f>
        <v>#REF!</v>
      </c>
      <c r="T21" s="5" t="e">
        <f>S21*'Cost Assumptions'!$B$5</f>
        <v>#REF!</v>
      </c>
      <c r="U21" s="5" t="e">
        <f>T21*'Cost Assumptions'!$B$5</f>
        <v>#REF!</v>
      </c>
      <c r="V21" s="5" t="e">
        <f>U21*'Cost Assumptions'!$B$5</f>
        <v>#REF!</v>
      </c>
      <c r="W21" s="5" t="e">
        <f>V21*'Cost Assumptions'!$B$5</f>
        <v>#REF!</v>
      </c>
      <c r="X21" s="5" t="e">
        <f>W21*'Cost Assumptions'!$B$5</f>
        <v>#REF!</v>
      </c>
      <c r="Y21" s="5" t="e">
        <f>X21*'Cost Assumptions'!$B$5</f>
        <v>#REF!</v>
      </c>
      <c r="Z21" s="5" t="e">
        <f>Y21*'Cost Assumptions'!$B$5</f>
        <v>#REF!</v>
      </c>
      <c r="AA21" s="5" t="e">
        <f>Z21*'Cost Assumptions'!$B$5</f>
        <v>#REF!</v>
      </c>
      <c r="AB21" s="5" t="e">
        <f>AA21*'Cost Assumptions'!$B$5</f>
        <v>#REF!</v>
      </c>
      <c r="AC21" s="5" t="e">
        <f>AB21*'Cost Assumptions'!$B$5</f>
        <v>#REF!</v>
      </c>
      <c r="AD21" s="5" t="e">
        <f>AC21*'Cost Assumptions'!$B$5</f>
        <v>#REF!</v>
      </c>
    </row>
    <row r="22" spans="1:30" hidden="1" x14ac:dyDescent="0.35">
      <c r="A22" s="88" t="s">
        <v>127</v>
      </c>
      <c r="B22" s="88" t="s">
        <v>128</v>
      </c>
      <c r="C22" s="88" t="s">
        <v>129</v>
      </c>
      <c r="D22" s="5" t="e">
        <f>'Cost Assumptions'!#REF!*('Cost Assumptions'!B5^18)</f>
        <v>#REF!</v>
      </c>
      <c r="E22" s="5" t="e">
        <f>D22*'Cost Assumptions'!$B$5</f>
        <v>#REF!</v>
      </c>
      <c r="F22" s="5" t="e">
        <f>E22*'Cost Assumptions'!$B$5</f>
        <v>#REF!</v>
      </c>
      <c r="G22" s="5" t="e">
        <f>F22*'Cost Assumptions'!$B$5</f>
        <v>#REF!</v>
      </c>
      <c r="H22" s="5" t="e">
        <f>G22*'Cost Assumptions'!$B$5</f>
        <v>#REF!</v>
      </c>
      <c r="I22" s="5" t="e">
        <f>H22*'Cost Assumptions'!$B$5</f>
        <v>#REF!</v>
      </c>
      <c r="J22" s="5" t="e">
        <f>I22*'Cost Assumptions'!$B$5</f>
        <v>#REF!</v>
      </c>
      <c r="K22" s="5" t="e">
        <f>J22*'Cost Assumptions'!$B$5</f>
        <v>#REF!</v>
      </c>
      <c r="L22" s="5" t="e">
        <f>K22*'Cost Assumptions'!$B$5</f>
        <v>#REF!</v>
      </c>
      <c r="M22" s="5" t="e">
        <f>L22*'Cost Assumptions'!$B$5</f>
        <v>#REF!</v>
      </c>
      <c r="N22" s="5" t="e">
        <f>M22*'Cost Assumptions'!$B$5</f>
        <v>#REF!</v>
      </c>
      <c r="O22" s="5" t="e">
        <f>N22*'Cost Assumptions'!$B$5</f>
        <v>#REF!</v>
      </c>
      <c r="P22" s="5" t="e">
        <f>O22*'Cost Assumptions'!$B$5</f>
        <v>#REF!</v>
      </c>
      <c r="Q22" s="5" t="e">
        <f>P22*'Cost Assumptions'!$B$5</f>
        <v>#REF!</v>
      </c>
      <c r="R22" s="5" t="e">
        <f>Q22*'Cost Assumptions'!$B$5</f>
        <v>#REF!</v>
      </c>
      <c r="S22" s="5" t="e">
        <f>R22*'Cost Assumptions'!$B$5</f>
        <v>#REF!</v>
      </c>
      <c r="T22" s="5" t="e">
        <f>S22*'Cost Assumptions'!$B$5</f>
        <v>#REF!</v>
      </c>
      <c r="U22" s="5" t="e">
        <f>T22*'Cost Assumptions'!$B$5</f>
        <v>#REF!</v>
      </c>
      <c r="V22" s="5" t="e">
        <f>U22*'Cost Assumptions'!$B$5</f>
        <v>#REF!</v>
      </c>
      <c r="W22" s="5" t="e">
        <f>V22*'Cost Assumptions'!$B$5</f>
        <v>#REF!</v>
      </c>
      <c r="X22" s="5" t="e">
        <f>W22*'Cost Assumptions'!$B$5</f>
        <v>#REF!</v>
      </c>
      <c r="Y22" s="5" t="e">
        <f>X22*'Cost Assumptions'!$B$5</f>
        <v>#REF!</v>
      </c>
      <c r="Z22" s="5" t="e">
        <f>Y22*'Cost Assumptions'!$B$5</f>
        <v>#REF!</v>
      </c>
      <c r="AA22" s="5" t="e">
        <f>Z22*'Cost Assumptions'!$B$5</f>
        <v>#REF!</v>
      </c>
      <c r="AB22" s="5" t="e">
        <f>AA22*'Cost Assumptions'!$B$5</f>
        <v>#REF!</v>
      </c>
      <c r="AC22" s="5" t="e">
        <f>AB22*'Cost Assumptions'!$B$5</f>
        <v>#REF!</v>
      </c>
      <c r="AD22" s="5" t="e">
        <f>AC22*'Cost Assumptions'!$B$5</f>
        <v>#REF!</v>
      </c>
    </row>
    <row r="23" spans="1:30" x14ac:dyDescent="0.35">
      <c r="A23" s="88"/>
      <c r="B23" s="88"/>
      <c r="C23" s="88"/>
      <c r="D23" s="88"/>
      <c r="E23" s="88"/>
      <c r="F23" s="8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 x14ac:dyDescent="0.35">
      <c r="A24" s="88" t="s">
        <v>130</v>
      </c>
      <c r="B24" s="88" t="s">
        <v>131</v>
      </c>
      <c r="C24" s="20">
        <f>NPV('Cost Assumptions'!$B$3,D24:AD24)</f>
        <v>1363590.1345869785</v>
      </c>
      <c r="D24" s="19">
        <v>1354.9655166582397</v>
      </c>
      <c r="E24" s="19">
        <f>D24+($J24-$D24)/(COLUMN($J24)-COLUMN($D24))</f>
        <v>3468.8297365152371</v>
      </c>
      <c r="F24" s="19">
        <f t="shared" ref="F24:I25" si="12">E24+($J24-$D24)/(COLUMN($J24)-COLUMN($D24))</f>
        <v>5582.6939563722344</v>
      </c>
      <c r="G24" s="19">
        <f t="shared" si="12"/>
        <v>7696.5581762292313</v>
      </c>
      <c r="H24" s="19">
        <f t="shared" si="12"/>
        <v>9810.4223960862291</v>
      </c>
      <c r="I24" s="19">
        <f t="shared" si="12"/>
        <v>11924.286615943227</v>
      </c>
      <c r="J24" s="19">
        <v>14038.150835800225</v>
      </c>
      <c r="K24" s="19">
        <f>J24+($N24-$J24)/(COLUMN($N24)-COLUMN($J24))</f>
        <v>20302.020367842062</v>
      </c>
      <c r="L24" s="19">
        <f t="shared" ref="L24:M25" si="13">K24+($N24-$J24)/(COLUMN($N24)-COLUMN($J24))</f>
        <v>26565.889899883899</v>
      </c>
      <c r="M24" s="19">
        <f t="shared" si="13"/>
        <v>32829.759431925733</v>
      </c>
      <c r="N24" s="19">
        <v>39093.628963967574</v>
      </c>
      <c r="O24" s="19">
        <f>N24+($T24-$N24)/(COLUMN($T24)-COLUMN($N24))</f>
        <v>78738.538578610984</v>
      </c>
      <c r="P24" s="19">
        <f t="shared" ref="P24:S25" si="14">O24+($T24-$N24)/(COLUMN($T24)-COLUMN($N24))</f>
        <v>118383.44819325439</v>
      </c>
      <c r="Q24" s="19">
        <f t="shared" si="14"/>
        <v>158028.35780789779</v>
      </c>
      <c r="R24" s="19">
        <f t="shared" si="14"/>
        <v>197673.26742254119</v>
      </c>
      <c r="S24" s="19">
        <f t="shared" si="14"/>
        <v>237318.17703718459</v>
      </c>
      <c r="T24" s="19">
        <v>276963.08665182802</v>
      </c>
      <c r="U24" s="19">
        <f>T24+($Y24-$T24)/(COLUMN($Y24)-COLUMN($T24))</f>
        <v>380936.47379795992</v>
      </c>
      <c r="V24" s="19">
        <f t="shared" ref="V24:X25" si="15">U24+($Y24-$T24)/(COLUMN($Y24)-COLUMN($T24))</f>
        <v>484909.86094409181</v>
      </c>
      <c r="W24" s="19">
        <f t="shared" si="15"/>
        <v>588883.24809022376</v>
      </c>
      <c r="X24" s="19">
        <f t="shared" si="15"/>
        <v>692856.63523635571</v>
      </c>
      <c r="Y24" s="19">
        <v>796830.02238248754</v>
      </c>
      <c r="Z24" s="19">
        <f>Y24+($AD24-$Y24)/(COLUMN($AD24)-COLUMN($Y24))</f>
        <v>972770.21305320074</v>
      </c>
      <c r="AA24" s="19">
        <f t="shared" ref="AA24:AC24" si="16">Z24+($AD24-$Y24)/(COLUMN($AD24)-COLUMN($Y24))</f>
        <v>1148710.4037239139</v>
      </c>
      <c r="AB24" s="19">
        <f t="shared" si="16"/>
        <v>1324650.5943946273</v>
      </c>
      <c r="AC24" s="19">
        <f t="shared" si="16"/>
        <v>1500590.7850653406</v>
      </c>
      <c r="AD24" s="19">
        <v>1676530.9757360537</v>
      </c>
    </row>
    <row r="25" spans="1:30" x14ac:dyDescent="0.35">
      <c r="A25" s="88" t="s">
        <v>132</v>
      </c>
      <c r="B25" s="88" t="s">
        <v>131</v>
      </c>
      <c r="C25" s="20">
        <f>NPV('Cost Assumptions'!$B$3,D25:AD25)</f>
        <v>5658197.9399566008</v>
      </c>
      <c r="D25" s="19">
        <v>5622.4102100812415</v>
      </c>
      <c r="E25" s="19">
        <f>D25+($J25-$D25)/(COLUMN($J25)-COLUMN($D25))</f>
        <v>14393.85983468976</v>
      </c>
      <c r="F25" s="19">
        <f t="shared" si="12"/>
        <v>23165.309459298278</v>
      </c>
      <c r="G25" s="19">
        <f t="shared" si="12"/>
        <v>31936.759083906796</v>
      </c>
      <c r="H25" s="19">
        <f t="shared" si="12"/>
        <v>40708.208708515318</v>
      </c>
      <c r="I25" s="19">
        <f t="shared" si="12"/>
        <v>49479.658333123836</v>
      </c>
      <c r="J25" s="19">
        <v>58251.107957732347</v>
      </c>
      <c r="K25" s="19">
        <f>J25+($N25-$J25)/(COLUMN($N25)-COLUMN($J25))</f>
        <v>84242.945815294457</v>
      </c>
      <c r="L25" s="19">
        <f t="shared" si="13"/>
        <v>110234.78367285656</v>
      </c>
      <c r="M25" s="19">
        <f t="shared" si="13"/>
        <v>136226.62153041866</v>
      </c>
      <c r="N25" s="19">
        <v>162218.45938798075</v>
      </c>
      <c r="O25" s="19">
        <f>N25+($T25-$N25)/(COLUMN($T25)-COLUMN($N25))</f>
        <v>326724.45002371201</v>
      </c>
      <c r="P25" s="19">
        <f t="shared" si="14"/>
        <v>491230.44065944327</v>
      </c>
      <c r="Q25" s="19">
        <f t="shared" si="14"/>
        <v>655736.43129517452</v>
      </c>
      <c r="R25" s="19">
        <f t="shared" si="14"/>
        <v>820242.42193090578</v>
      </c>
      <c r="S25" s="19">
        <f t="shared" si="14"/>
        <v>984748.41256663704</v>
      </c>
      <c r="T25" s="19">
        <v>1149254.4032023682</v>
      </c>
      <c r="U25" s="19">
        <f>T25+($Y25-$T25)/(COLUMN($Y25)-COLUMN($T25))</f>
        <v>1580690.4997525578</v>
      </c>
      <c r="V25" s="19">
        <f t="shared" si="15"/>
        <v>2012126.5963027473</v>
      </c>
      <c r="W25" s="19">
        <f t="shared" si="15"/>
        <v>2443562.6928529367</v>
      </c>
      <c r="X25" s="19">
        <f t="shared" si="15"/>
        <v>2874998.7894031261</v>
      </c>
      <c r="Y25" s="19">
        <v>3306434.885953316</v>
      </c>
      <c r="Z25" s="19">
        <f>Y25+($AD25-$Y25)/(COLUMN($AD25)-COLUMN($Y25))</f>
        <v>4036496.2138831578</v>
      </c>
      <c r="AA25" s="19">
        <f>Z25+($AD25-$Y25)/(COLUMN($AD25)-COLUMN($Y25))</f>
        <v>4766557.5418129992</v>
      </c>
      <c r="AB25" s="19">
        <f>AA25+($AD25-$Y25)/(COLUMN($AD25)-COLUMN($Y25))</f>
        <v>5496618.8697428405</v>
      </c>
      <c r="AC25" s="19">
        <f>AB25+($AD25-$Y25)/(COLUMN($AD25)-COLUMN($Y25))</f>
        <v>6226680.1976726819</v>
      </c>
      <c r="AD25" s="19">
        <v>6956741.5256025251</v>
      </c>
    </row>
    <row r="26" spans="1:30" x14ac:dyDescent="0.35">
      <c r="A26" s="88" t="s">
        <v>24</v>
      </c>
      <c r="B26" s="88" t="s">
        <v>131</v>
      </c>
      <c r="C26" s="20">
        <f>NPV('Cost Assumptions'!$B$3,D26:AD26)</f>
        <v>7021788.0745435804</v>
      </c>
      <c r="D26" s="19">
        <f>SUM(D24:D25)</f>
        <v>6977.3757267394813</v>
      </c>
      <c r="E26" s="19">
        <f t="shared" ref="E26:AC26" si="17">SUM(E24:E25)</f>
        <v>17862.689571204995</v>
      </c>
      <c r="F26" s="19">
        <f t="shared" si="17"/>
        <v>28748.003415670511</v>
      </c>
      <c r="G26" s="19">
        <f t="shared" si="17"/>
        <v>39633.317260136027</v>
      </c>
      <c r="H26" s="19">
        <f t="shared" si="17"/>
        <v>50518.631104601547</v>
      </c>
      <c r="I26" s="19">
        <f t="shared" si="17"/>
        <v>61403.944949067067</v>
      </c>
      <c r="J26" s="19">
        <f t="shared" si="17"/>
        <v>72289.258793532572</v>
      </c>
      <c r="K26" s="19">
        <f t="shared" si="17"/>
        <v>104544.96618313652</v>
      </c>
      <c r="L26" s="19">
        <f t="shared" si="17"/>
        <v>136800.67357274046</v>
      </c>
      <c r="M26" s="19">
        <f t="shared" si="17"/>
        <v>169056.38096234441</v>
      </c>
      <c r="N26" s="19">
        <f t="shared" si="17"/>
        <v>201312.08835194833</v>
      </c>
      <c r="O26" s="19">
        <f t="shared" si="17"/>
        <v>405462.98860232299</v>
      </c>
      <c r="P26" s="19">
        <f t="shared" si="17"/>
        <v>609613.88885269768</v>
      </c>
      <c r="Q26" s="19">
        <f t="shared" si="17"/>
        <v>813764.78910307237</v>
      </c>
      <c r="R26" s="19">
        <f t="shared" si="17"/>
        <v>1017915.6893534469</v>
      </c>
      <c r="S26" s="19">
        <f t="shared" si="17"/>
        <v>1222066.5896038217</v>
      </c>
      <c r="T26" s="19">
        <f t="shared" si="17"/>
        <v>1426217.4898541961</v>
      </c>
      <c r="U26" s="19">
        <f t="shared" si="17"/>
        <v>1961626.9735505178</v>
      </c>
      <c r="V26" s="19">
        <f t="shared" si="17"/>
        <v>2497036.4572468391</v>
      </c>
      <c r="W26" s="19">
        <f t="shared" si="17"/>
        <v>3032445.9409431606</v>
      </c>
      <c r="X26" s="19">
        <f t="shared" si="17"/>
        <v>3567855.4246394821</v>
      </c>
      <c r="Y26" s="19">
        <f t="shared" si="17"/>
        <v>4103264.9083358035</v>
      </c>
      <c r="Z26" s="19">
        <f t="shared" si="17"/>
        <v>5009266.4269363582</v>
      </c>
      <c r="AA26" s="19">
        <f t="shared" si="17"/>
        <v>5915267.9455369134</v>
      </c>
      <c r="AB26" s="19">
        <f>SUM(AB24:AB25)</f>
        <v>6821269.4641374676</v>
      </c>
      <c r="AC26" s="19">
        <f t="shared" si="17"/>
        <v>7727270.9827380227</v>
      </c>
      <c r="AD26" s="19">
        <f>SUM(AD24:AD25)</f>
        <v>8633272.5013385788</v>
      </c>
    </row>
    <row r="27" spans="1:30" x14ac:dyDescent="0.35">
      <c r="A27" s="88"/>
      <c r="B27" s="88"/>
      <c r="C27" s="88"/>
      <c r="D27" s="88"/>
      <c r="E27" s="88"/>
      <c r="F27" s="8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 x14ac:dyDescent="0.35">
      <c r="A28" s="88" t="s">
        <v>133</v>
      </c>
      <c r="B28" s="88" t="s">
        <v>131</v>
      </c>
      <c r="C28" s="20">
        <f>NPV('Cost Assumptions'!$B$3,D28:AD28)</f>
        <v>55025530.55289489</v>
      </c>
      <c r="D28" s="19">
        <v>160316.96625268596</v>
      </c>
      <c r="E28" s="19">
        <v>426669.25690772623</v>
      </c>
      <c r="F28" s="19">
        <v>622795.96524369309</v>
      </c>
      <c r="G28" s="19">
        <v>833703.43870740035</v>
      </c>
      <c r="H28" s="19">
        <v>1064554.7712044911</v>
      </c>
      <c r="I28" s="19">
        <v>1155250.6032801536</v>
      </c>
      <c r="J28" s="19">
        <v>1567814.7930424134</v>
      </c>
      <c r="K28" s="19">
        <v>2064587.6916558424</v>
      </c>
      <c r="L28" s="19">
        <v>2485972.1963254735</v>
      </c>
      <c r="M28" s="19">
        <v>2907214.7827229644</v>
      </c>
      <c r="N28" s="19">
        <v>3653487.05439856</v>
      </c>
      <c r="O28" s="19">
        <v>4512360.7012723647</v>
      </c>
      <c r="P28" s="19">
        <v>5845712.9395959051</v>
      </c>
      <c r="Q28" s="19">
        <v>7145234.3901076168</v>
      </c>
      <c r="R28" s="19">
        <v>9104342.6872677077</v>
      </c>
      <c r="S28" s="19">
        <v>11402628.544698209</v>
      </c>
      <c r="T28" s="19">
        <v>14095767.66157037</v>
      </c>
      <c r="U28" s="19">
        <v>17191903.011561129</v>
      </c>
      <c r="V28" s="19">
        <v>19393249.568390317</v>
      </c>
      <c r="W28" s="19">
        <v>22204176.923500877</v>
      </c>
      <c r="X28" s="19">
        <v>25300486.71745725</v>
      </c>
      <c r="Y28" s="19">
        <v>28417067.414872523</v>
      </c>
      <c r="Z28" s="19">
        <v>31752052.54955313</v>
      </c>
      <c r="AA28" s="19">
        <v>35546944.482215486</v>
      </c>
      <c r="AB28" s="19">
        <v>39903552.597625397</v>
      </c>
      <c r="AC28" s="19">
        <v>43253166.677575208</v>
      </c>
      <c r="AD28" s="19">
        <v>46546673.239923745</v>
      </c>
    </row>
    <row r="29" spans="1:30" x14ac:dyDescent="0.35">
      <c r="A29" s="88" t="s">
        <v>134</v>
      </c>
      <c r="B29" s="88" t="s">
        <v>131</v>
      </c>
      <c r="C29" s="20">
        <f>NPV('Cost Assumptions'!$B$3,D29:AD29)</f>
        <v>242736972.29884523</v>
      </c>
      <c r="D29" s="19">
        <v>903378.82566768141</v>
      </c>
      <c r="E29" s="19">
        <v>2253314.5961599764</v>
      </c>
      <c r="F29" s="19">
        <v>3310509.516156707</v>
      </c>
      <c r="G29" s="19">
        <v>4447440.2170750583</v>
      </c>
      <c r="H29" s="19">
        <v>5587242.1815372296</v>
      </c>
      <c r="I29" s="19">
        <v>5454561.6522228802</v>
      </c>
      <c r="J29" s="19">
        <v>7543245.1947770724</v>
      </c>
      <c r="K29" s="19">
        <v>10054559.779896669</v>
      </c>
      <c r="L29" s="19">
        <v>11610814.214658689</v>
      </c>
      <c r="M29" s="19">
        <v>12826351.057208685</v>
      </c>
      <c r="N29" s="19">
        <v>16062284.122916382</v>
      </c>
      <c r="O29" s="19">
        <v>19403643.120637149</v>
      </c>
      <c r="P29" s="19">
        <v>25219740.504592769</v>
      </c>
      <c r="Q29" s="19">
        <v>31071411.196852271</v>
      </c>
      <c r="R29" s="19">
        <v>39644741.256940469</v>
      </c>
      <c r="S29" s="19">
        <v>50251518.164887004</v>
      </c>
      <c r="T29" s="19">
        <v>62975375.307628401</v>
      </c>
      <c r="U29" s="19">
        <v>77967536.623126328</v>
      </c>
      <c r="V29" s="19">
        <v>85493629.625678569</v>
      </c>
      <c r="W29" s="19">
        <v>96889943.264270231</v>
      </c>
      <c r="X29" s="19">
        <v>109044932.47197554</v>
      </c>
      <c r="Y29" s="19">
        <v>122534152.53852251</v>
      </c>
      <c r="Z29" s="19">
        <v>136516549.22112581</v>
      </c>
      <c r="AA29" s="19">
        <v>152312518.58134991</v>
      </c>
      <c r="AB29" s="19">
        <v>170666427.51783419</v>
      </c>
      <c r="AC29" s="19">
        <v>185761195.95831525</v>
      </c>
      <c r="AD29" s="19">
        <v>198274570.28534347</v>
      </c>
    </row>
    <row r="30" spans="1:30" x14ac:dyDescent="0.35">
      <c r="A30" s="88" t="s">
        <v>24</v>
      </c>
      <c r="B30" s="88" t="s">
        <v>131</v>
      </c>
      <c r="C30" s="20">
        <f>NPV('Cost Assumptions'!$B$3,D30:AD30)</f>
        <v>297762502.85174012</v>
      </c>
      <c r="D30" s="19">
        <f>SUM(D28:D29)</f>
        <v>1063695.7919203674</v>
      </c>
      <c r="E30" s="19">
        <f t="shared" ref="E30:AD30" si="18">SUM(E28:E29)</f>
        <v>2679983.8530677026</v>
      </c>
      <c r="F30" s="19">
        <f t="shared" si="18"/>
        <v>3933305.4814003999</v>
      </c>
      <c r="G30" s="19">
        <f t="shared" si="18"/>
        <v>5281143.6557824584</v>
      </c>
      <c r="H30" s="19">
        <f t="shared" si="18"/>
        <v>6651796.9527417207</v>
      </c>
      <c r="I30" s="19">
        <f t="shared" si="18"/>
        <v>6609812.2555030342</v>
      </c>
      <c r="J30" s="19">
        <f t="shared" si="18"/>
        <v>9111059.9878194854</v>
      </c>
      <c r="K30" s="19">
        <f t="shared" si="18"/>
        <v>12119147.471552512</v>
      </c>
      <c r="L30" s="19">
        <f t="shared" si="18"/>
        <v>14096786.410984162</v>
      </c>
      <c r="M30" s="19">
        <f t="shared" si="18"/>
        <v>15733565.83993165</v>
      </c>
      <c r="N30" s="19">
        <f t="shared" si="18"/>
        <v>19715771.177314941</v>
      </c>
      <c r="O30" s="19">
        <f t="shared" si="18"/>
        <v>23916003.821909513</v>
      </c>
      <c r="P30" s="19">
        <f t="shared" si="18"/>
        <v>31065453.444188673</v>
      </c>
      <c r="Q30" s="19">
        <f t="shared" si="18"/>
        <v>38216645.586959884</v>
      </c>
      <c r="R30" s="19">
        <f t="shared" si="18"/>
        <v>48749083.944208175</v>
      </c>
      <c r="S30" s="19">
        <f t="shared" si="18"/>
        <v>61654146.709585212</v>
      </c>
      <c r="T30" s="19">
        <f t="shared" si="18"/>
        <v>77071142.969198763</v>
      </c>
      <c r="U30" s="19">
        <f t="shared" si="18"/>
        <v>95159439.634687454</v>
      </c>
      <c r="V30" s="19">
        <f t="shared" si="18"/>
        <v>104886879.19406888</v>
      </c>
      <c r="W30" s="19">
        <f t="shared" si="18"/>
        <v>119094120.18777111</v>
      </c>
      <c r="X30" s="19">
        <f t="shared" si="18"/>
        <v>134345419.1894328</v>
      </c>
      <c r="Y30" s="19">
        <f t="shared" si="18"/>
        <v>150951219.95339504</v>
      </c>
      <c r="Z30" s="19">
        <f t="shared" si="18"/>
        <v>168268601.77067894</v>
      </c>
      <c r="AA30" s="19">
        <f t="shared" si="18"/>
        <v>187859463.0635654</v>
      </c>
      <c r="AB30" s="19">
        <f t="shared" si="18"/>
        <v>210569980.11545959</v>
      </c>
      <c r="AC30" s="19">
        <f t="shared" si="18"/>
        <v>229014362.63589045</v>
      </c>
      <c r="AD30" s="19">
        <f t="shared" si="18"/>
        <v>244821243.52526721</v>
      </c>
    </row>
    <row r="31" spans="1:30" x14ac:dyDescent="0.35">
      <c r="A31" s="88"/>
      <c r="B31" s="88"/>
      <c r="C31" s="88"/>
      <c r="D31" s="88"/>
      <c r="E31" s="88"/>
      <c r="F31" s="8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x14ac:dyDescent="0.35">
      <c r="A32" s="88" t="s">
        <v>130</v>
      </c>
      <c r="B32" s="88" t="s">
        <v>135</v>
      </c>
      <c r="C32" s="20">
        <f>NPV('Cost Assumptions'!$B$3,D32:AD32)</f>
        <v>988376054.2530117</v>
      </c>
      <c r="D32" s="63">
        <f>(D13*D17*1000*'Cost Assumptions'!$B$6)/'Cost Assumptions'!$B$14</f>
        <v>22022883.738170404</v>
      </c>
      <c r="E32" s="63">
        <f>(E13*E17*1000*'Cost Assumptions'!$B$6)/'Cost Assumptions'!$B$14</f>
        <v>30015837.814975295</v>
      </c>
      <c r="F32" s="63">
        <f>(F13*F17*1000*'Cost Assumptions'!$B$6)/'Cost Assumptions'!$B$14</f>
        <v>38394675.293284059</v>
      </c>
      <c r="G32" s="63">
        <f>(G13*G17*1000*'Cost Assumptions'!$B$6)/'Cost Assumptions'!$B$14</f>
        <v>47173694.746873915</v>
      </c>
      <c r="H32" s="63">
        <f>(H13*H17*1000*'Cost Assumptions'!$B$6)/'Cost Assumptions'!$B$14</f>
        <v>56367668.501084946</v>
      </c>
      <c r="I32" s="63">
        <f>(I13*I17*1000*'Cost Assumptions'!$B$6)/'Cost Assumptions'!$B$14</f>
        <v>65991857.383789733</v>
      </c>
      <c r="J32" s="63">
        <f>(J13*J17*1000*'Cost Assumptions'!$B$6)/'Cost Assumptions'!$B$14</f>
        <v>76062025.917816579</v>
      </c>
      <c r="K32" s="63">
        <f>(K13*K17*1000*'Cost Assumptions'!$B$6)/'Cost Assumptions'!$B$14</f>
        <v>86594457.967679918</v>
      </c>
      <c r="L32" s="63">
        <f>(L13*L17*1000*'Cost Assumptions'!$B$6)/'Cost Assumptions'!$B$14</f>
        <v>98098694.196008399</v>
      </c>
      <c r="M32" s="63">
        <f>(M13*M17*1000*'Cost Assumptions'!$B$6)/'Cost Assumptions'!$B$14</f>
        <v>109113941.9480737</v>
      </c>
      <c r="N32" s="63">
        <f>(N13*N17*1000*'Cost Assumptions'!$B$6)/'Cost Assumptions'!$B$14</f>
        <v>121136305.76398779</v>
      </c>
      <c r="O32" s="63">
        <f>(O13*O17*1000*'Cost Assumptions'!$B$6)/'Cost Assumptions'!$B$14</f>
        <v>133691591.55698006</v>
      </c>
      <c r="P32" s="63">
        <f>(P13*P17*1000*'Cost Assumptions'!$B$6)/'Cost Assumptions'!$B$14</f>
        <v>146798931.44851941</v>
      </c>
      <c r="Q32" s="63">
        <f>(Q13*Q17*1000*'Cost Assumptions'!$B$6)/'Cost Assumptions'!$B$14</f>
        <v>160478081.08991262</v>
      </c>
      <c r="R32" s="63">
        <f>(R13*R17*1000*'Cost Assumptions'!$B$6)/'Cost Assumptions'!$B$14</f>
        <v>174749438.88122016</v>
      </c>
      <c r="S32" s="63">
        <f>(S13*S17*1000*'Cost Assumptions'!$B$6)/'Cost Assumptions'!$B$14</f>
        <v>189634065.76141188</v>
      </c>
      <c r="T32" s="63">
        <f>(T13*T17*1000*'Cost Assumptions'!$B$6)/'Cost Assumptions'!$B$14</f>
        <v>205153705.58631244</v>
      </c>
      <c r="U32" s="63">
        <f>(U13*U17*1000*'Cost Assumptions'!$B$6)/'Cost Assumptions'!$B$14</f>
        <v>221330806.11135715</v>
      </c>
      <c r="V32" s="63">
        <f>(V13*V17*1000*'Cost Assumptions'!$B$6)/'Cost Assumptions'!$B$14</f>
        <v>238188540.59666264</v>
      </c>
      <c r="W32" s="63">
        <f>(W13*W17*1000*'Cost Assumptions'!$B$6)/'Cost Assumptions'!$B$14</f>
        <v>255750830.05241382</v>
      </c>
      <c r="X32" s="63">
        <f>(X13*X17*1000*'Cost Assumptions'!$B$6)/'Cost Assumptions'!$B$14</f>
        <v>274042366.1430797</v>
      </c>
      <c r="Y32" s="63">
        <f>(Y13*Y17*1000*'Cost Assumptions'!$B$6)/'Cost Assumptions'!$B$14</f>
        <v>293088634.76949608</v>
      </c>
      <c r="Z32" s="63">
        <f>(Z13*Z17*1000*'Cost Assumptions'!$B$6)/'Cost Assumptions'!$B$14</f>
        <v>312915940.34839374</v>
      </c>
      <c r="AA32" s="63">
        <f>(AA13*AA17*1000*'Cost Assumptions'!$B$6)/'Cost Assumptions'!$B$14</f>
        <v>333551430.80950552</v>
      </c>
      <c r="AB32" s="63">
        <f>(AB13*AB17*1000*'Cost Assumptions'!$B$6)/'Cost Assumptions'!$B$14</f>
        <v>355023123.33095509</v>
      </c>
      <c r="AC32" s="63">
        <f>(AC13*AC17*1000*'Cost Assumptions'!$B$6)/'Cost Assumptions'!$B$14</f>
        <v>377359930.83422112</v>
      </c>
      <c r="AD32" s="63">
        <f>(AD13*AD17*1000*'Cost Assumptions'!$B$6)/'Cost Assumptions'!$B$14</f>
        <v>400591689.2605685</v>
      </c>
    </row>
    <row r="33" spans="1:30" x14ac:dyDescent="0.35">
      <c r="A33" s="88" t="s">
        <v>132</v>
      </c>
      <c r="B33" s="88" t="s">
        <v>135</v>
      </c>
      <c r="C33" s="20">
        <f>NPV('Cost Assumptions'!$B$3,D33:AD33)</f>
        <v>4071746129.6338849</v>
      </c>
      <c r="D33" s="63">
        <f>(D13*D19*1000*'Cost Assumptions'!$B$7)/'Cost Assumptions'!$B$14</f>
        <v>90726187.910373613</v>
      </c>
      <c r="E33" s="63">
        <f>(E13*E19*1000*'Cost Assumptions'!$B$7)/'Cost Assumptions'!$B$14</f>
        <v>123654221.41192231</v>
      </c>
      <c r="F33" s="63">
        <f>(F13*F19*1000*'Cost Assumptions'!$B$7)/'Cost Assumptions'!$B$14</f>
        <v>158171952.72110444</v>
      </c>
      <c r="G33" s="63">
        <f>(G13*G19*1000*'Cost Assumptions'!$B$7)/'Cost Assumptions'!$B$14</f>
        <v>194338286.70736322</v>
      </c>
      <c r="H33" s="63">
        <f>(H13*H19*1000*'Cost Assumptions'!$B$7)/'Cost Assumptions'!$B$14</f>
        <v>232214079.92248425</v>
      </c>
      <c r="I33" s="63">
        <f>(I13*I19*1000*'Cost Assumptions'!$B$7)/'Cost Assumptions'!$B$14</f>
        <v>271862201.36916924</v>
      </c>
      <c r="J33" s="63">
        <f>(J13*J19*1000*'Cost Assumptions'!$B$7)/'Cost Assumptions'!$B$14</f>
        <v>313347595.08823681</v>
      </c>
      <c r="K33" s="63">
        <f>(K13*K19*1000*'Cost Assumptions'!$B$7)/'Cost Assumptions'!$B$14</f>
        <v>356737344.61740208</v>
      </c>
      <c r="L33" s="63">
        <f>(L13*L19*1000*'Cost Assumptions'!$B$7)/'Cost Assumptions'!$B$14</f>
        <v>404130570.23787969</v>
      </c>
      <c r="M33" s="63">
        <f>(M13*M19*1000*'Cost Assumptions'!$B$7)/'Cost Assumptions'!$B$14</f>
        <v>449509343.03233778</v>
      </c>
      <c r="N33" s="63">
        <f>(N13*N19*1000*'Cost Assumptions'!$B$7)/'Cost Assumptions'!$B$14</f>
        <v>499037063.90928203</v>
      </c>
      <c r="O33" s="63">
        <f>(O13*O19*1000*'Cost Assumptions'!$B$7)/'Cost Assumptions'!$B$14</f>
        <v>550760227.49067819</v>
      </c>
      <c r="P33" s="63">
        <f>(P13*P19*1000*'Cost Assumptions'!$B$7)/'Cost Assumptions'!$B$14</f>
        <v>604757651.08620095</v>
      </c>
      <c r="Q33" s="63">
        <f>(Q13*Q19*1000*'Cost Assumptions'!$B$7)/'Cost Assumptions'!$B$14</f>
        <v>661110720.71931815</v>
      </c>
      <c r="R33" s="63">
        <f>(R13*R19*1000*'Cost Assumptions'!$B$7)/'Cost Assumptions'!$B$14</f>
        <v>719903470.30216229</v>
      </c>
      <c r="S33" s="63">
        <f>(S13*S19*1000*'Cost Assumptions'!$B$7)/'Cost Assumptions'!$B$14</f>
        <v>781222663.16369903</v>
      </c>
      <c r="T33" s="63">
        <f>(T13*T19*1000*'Cost Assumptions'!$B$7)/'Cost Assumptions'!$B$14</f>
        <v>845157875.99937391</v>
      </c>
      <c r="U33" s="63">
        <f>(U13*U19*1000*'Cost Assumptions'!$B$7)/'Cost Assumptions'!$B$14</f>
        <v>911801585.31235504</v>
      </c>
      <c r="V33" s="63">
        <f>(V13*V19*1000*'Cost Assumptions'!$B$7)/'Cost Assumptions'!$B$14</f>
        <v>981249256.418486</v>
      </c>
      <c r="W33" s="63">
        <f>(W13*W19*1000*'Cost Assumptions'!$B$7)/'Cost Assumptions'!$B$14</f>
        <v>1053599435.0891031</v>
      </c>
      <c r="X33" s="63">
        <f>(X13*X19*1000*'Cost Assumptions'!$B$7)/'Cost Assumptions'!$B$14</f>
        <v>1128953841.9079893</v>
      </c>
      <c r="Y33" s="63">
        <f>(Y13*Y19*1000*'Cost Assumptions'!$B$7)/'Cost Assumptions'!$B$14</f>
        <v>1207417469.4208894</v>
      </c>
      <c r="Z33" s="63">
        <f>(Z13*Z19*1000*'Cost Assumptions'!$B$7)/'Cost Assumptions'!$B$14</f>
        <v>1289098682.1582417</v>
      </c>
      <c r="AA33" s="63">
        <f>(AA13*AA19*1000*'Cost Assumptions'!$B$7)/'Cost Assumptions'!$B$14</f>
        <v>1374109319.6140735</v>
      </c>
      <c r="AB33" s="63">
        <f>(AB13*AB19*1000*'Cost Assumptions'!$B$7)/'Cost Assumptions'!$B$14</f>
        <v>1462564802.2663481</v>
      </c>
      <c r="AC33" s="63">
        <f>(AC13*AC19*1000*'Cost Assumptions'!$B$7)/'Cost Assumptions'!$B$14</f>
        <v>1554584240.7264779</v>
      </c>
      <c r="AD33" s="63">
        <f>(AD13*AD19*1000*'Cost Assumptions'!$B$7)/'Cost Assumptions'!$B$14</f>
        <v>1650290548.1081967</v>
      </c>
    </row>
    <row r="34" spans="1:30" x14ac:dyDescent="0.35">
      <c r="A34" s="88" t="s">
        <v>24</v>
      </c>
      <c r="B34" s="88" t="s">
        <v>135</v>
      </c>
      <c r="C34" s="20">
        <f>NPV('Cost Assumptions'!$B$3,D34:AD34)</f>
        <v>5060122183.8868971</v>
      </c>
      <c r="D34" s="5">
        <f>SUM(D32:D33)</f>
        <v>112749071.64854401</v>
      </c>
      <c r="E34" s="5">
        <f t="shared" ref="E34:AD34" si="19">SUM(E32:E33)</f>
        <v>153670059.2268976</v>
      </c>
      <c r="F34" s="5">
        <f t="shared" si="19"/>
        <v>196566628.0143885</v>
      </c>
      <c r="G34" s="5">
        <f t="shared" si="19"/>
        <v>241511981.45423713</v>
      </c>
      <c r="H34" s="5">
        <f t="shared" si="19"/>
        <v>288581748.4235692</v>
      </c>
      <c r="I34" s="5">
        <f t="shared" si="19"/>
        <v>337854058.75295895</v>
      </c>
      <c r="J34" s="5">
        <f t="shared" si="19"/>
        <v>389409621.00605339</v>
      </c>
      <c r="K34" s="5">
        <f t="shared" si="19"/>
        <v>443331802.58508199</v>
      </c>
      <c r="L34" s="5">
        <f t="shared" si="19"/>
        <v>502229264.43388808</v>
      </c>
      <c r="M34" s="5">
        <f t="shared" si="19"/>
        <v>558623284.98041153</v>
      </c>
      <c r="N34" s="5">
        <f t="shared" si="19"/>
        <v>620173369.67326987</v>
      </c>
      <c r="O34" s="5">
        <f t="shared" si="19"/>
        <v>684451819.04765821</v>
      </c>
      <c r="P34" s="5">
        <f t="shared" si="19"/>
        <v>751556582.53472042</v>
      </c>
      <c r="Q34" s="5">
        <f t="shared" si="19"/>
        <v>821588801.8092308</v>
      </c>
      <c r="R34" s="5">
        <f t="shared" si="19"/>
        <v>894652909.18338251</v>
      </c>
      <c r="S34" s="5">
        <f t="shared" si="19"/>
        <v>970856728.92511094</v>
      </c>
      <c r="T34" s="5">
        <f t="shared" si="19"/>
        <v>1050311581.5856863</v>
      </c>
      <c r="U34" s="5">
        <f t="shared" si="19"/>
        <v>1133132391.4237123</v>
      </c>
      <c r="V34" s="5">
        <f t="shared" si="19"/>
        <v>1219437797.0151486</v>
      </c>
      <c r="W34" s="5">
        <f t="shared" si="19"/>
        <v>1309350265.1415169</v>
      </c>
      <c r="X34" s="5">
        <f t="shared" si="19"/>
        <v>1402996208.051069</v>
      </c>
      <c r="Y34" s="5">
        <f t="shared" si="19"/>
        <v>1500506104.1903853</v>
      </c>
      <c r="Z34" s="5">
        <f t="shared" si="19"/>
        <v>1602014622.5066354</v>
      </c>
      <c r="AA34" s="5">
        <f t="shared" si="19"/>
        <v>1707660750.423579</v>
      </c>
      <c r="AB34" s="5">
        <f t="shared" si="19"/>
        <v>1817587925.5973032</v>
      </c>
      <c r="AC34" s="5">
        <f t="shared" si="19"/>
        <v>1931944171.560699</v>
      </c>
      <c r="AD34" s="5">
        <f t="shared" si="19"/>
        <v>2050882237.3687654</v>
      </c>
    </row>
    <row r="35" spans="1:30" x14ac:dyDescent="0.35">
      <c r="A35" s="88"/>
      <c r="B35" s="88"/>
      <c r="C35" s="88"/>
      <c r="D35" s="88"/>
      <c r="E35" s="88"/>
      <c r="F35" s="8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x14ac:dyDescent="0.35">
      <c r="A36" s="88" t="s">
        <v>136</v>
      </c>
      <c r="B36" s="88" t="s">
        <v>137</v>
      </c>
      <c r="C36" s="20">
        <f>NPV('Cost Assumptions'!$B$3,D36:AD36)</f>
        <v>80397646.481932864</v>
      </c>
      <c r="D36" s="19">
        <f>D14*'Cost Assumptions'!$B$13*'Cost Assumptions'!$B$6*1000*D18</f>
        <v>6582087.2606216669</v>
      </c>
      <c r="E36" s="19">
        <f>E14*'Cost Assumptions'!$B$13*'Cost Assumptions'!$B$6*1000*E18</f>
        <v>6829704.9761377089</v>
      </c>
      <c r="F36" s="19">
        <f>F14*'Cost Assumptions'!$B$13*'Cost Assumptions'!$B$6*1000*F18</f>
        <v>7040875.7897706507</v>
      </c>
      <c r="G36" s="19">
        <f>G14*'Cost Assumptions'!$B$13*'Cost Assumptions'!$B$6*1000*G18</f>
        <v>7259479.0788954562</v>
      </c>
      <c r="H36" s="19">
        <f>H14*'Cost Assumptions'!$B$13*'Cost Assumptions'!$B$6*1000*H18</f>
        <v>7486869.9132488314</v>
      </c>
      <c r="I36" s="19">
        <f>I14*'Cost Assumptions'!$B$13*'Cost Assumptions'!$B$6*1000*I18</f>
        <v>7727984.1792900003</v>
      </c>
      <c r="J36" s="19">
        <f>J14*'Cost Assumptions'!$B$13*'Cost Assumptions'!$B$6*1000*J18</f>
        <v>7976465.2599824294</v>
      </c>
      <c r="K36" s="19">
        <f>K14*'Cost Assumptions'!$B$13*'Cost Assumptions'!$B$6*1000*K18</f>
        <v>8245922.7092586597</v>
      </c>
      <c r="L36" s="19">
        <f>L14*'Cost Assumptions'!$B$13*'Cost Assumptions'!$B$6*1000*L18</f>
        <v>8525108.9171036128</v>
      </c>
      <c r="M36" s="19">
        <f>M14*'Cost Assumptions'!$B$13*'Cost Assumptions'!$B$6*1000*M18</f>
        <v>8816508.0681409668</v>
      </c>
      <c r="N36" s="19">
        <f>N14*'Cost Assumptions'!$B$13*'Cost Assumptions'!$B$6*1000*N18</f>
        <v>9118202.2222859543</v>
      </c>
      <c r="O36" s="19">
        <f>O14*'Cost Assumptions'!$B$13*'Cost Assumptions'!$B$6*1000*O18</f>
        <v>9430580.194722306</v>
      </c>
      <c r="P36" s="19">
        <f>P14*'Cost Assumptions'!$B$13*'Cost Assumptions'!$B$6*1000*P18</f>
        <v>9754158.6441989187</v>
      </c>
      <c r="Q36" s="19">
        <f>Q14*'Cost Assumptions'!$B$13*'Cost Assumptions'!$B$6*1000*Q18</f>
        <v>10085907.07084582</v>
      </c>
      <c r="R36" s="19">
        <f>R14*'Cost Assumptions'!$B$13*'Cost Assumptions'!$B$6*1000*R18</f>
        <v>10428934.503801068</v>
      </c>
      <c r="S36" s="19">
        <f>S14*'Cost Assumptions'!$B$13*'Cost Assumptions'!$B$6*1000*S18</f>
        <v>10783417.503652418</v>
      </c>
      <c r="T36" s="19">
        <f>T14*'Cost Assumptions'!$B$13*'Cost Assumptions'!$B$6*1000*T18</f>
        <v>11150198.237746648</v>
      </c>
      <c r="U36" s="19">
        <f>U14*'Cost Assumptions'!$B$13*'Cost Assumptions'!$B$6*1000*U18</f>
        <v>11520203.694815386</v>
      </c>
      <c r="V36" s="19">
        <f>V14*'Cost Assumptions'!$B$13*'Cost Assumptions'!$B$6*1000*V18</f>
        <v>11901486.601683661</v>
      </c>
      <c r="W36" s="19">
        <f>W14*'Cost Assumptions'!$B$13*'Cost Assumptions'!$B$6*1000*W18</f>
        <v>12294078.809744135</v>
      </c>
      <c r="X36" s="19">
        <f>X14*'Cost Assumptions'!$B$13*'Cost Assumptions'!$B$6*1000*X18</f>
        <v>12698939.334184013</v>
      </c>
      <c r="Y36" s="19">
        <f>Y14*'Cost Assumptions'!$B$13*'Cost Assumptions'!$B$6*1000*Y18</f>
        <v>13101717.307014447</v>
      </c>
      <c r="Z36" s="19">
        <f>Z14*'Cost Assumptions'!$B$13*'Cost Assumptions'!$B$6*1000*Z18</f>
        <v>13514575.39685861</v>
      </c>
      <c r="AA36" s="19">
        <f>AA14*'Cost Assumptions'!$B$13*'Cost Assumptions'!$B$6*1000*AA18</f>
        <v>13937056.342086494</v>
      </c>
      <c r="AB36" s="19">
        <f>AB14*'Cost Assumptions'!$B$13*'Cost Assumptions'!$B$6*1000*AB18</f>
        <v>14369876.161831819</v>
      </c>
      <c r="AC36" s="19">
        <f>AC14*'Cost Assumptions'!$B$13*'Cost Assumptions'!$B$6*1000*AC18</f>
        <v>14794596.843529388</v>
      </c>
      <c r="AD36" s="19">
        <f>AD14*'Cost Assumptions'!$B$13*'Cost Assumptions'!$B$6*1000*AD18</f>
        <v>15225650.608971145</v>
      </c>
    </row>
    <row r="37" spans="1:30" x14ac:dyDescent="0.35">
      <c r="A37" s="88" t="s">
        <v>127</v>
      </c>
      <c r="B37" s="88" t="s">
        <v>137</v>
      </c>
      <c r="C37" s="20">
        <f>NPV('Cost Assumptions'!$B$3,D37:AD37)</f>
        <v>362404608.29375201</v>
      </c>
      <c r="D37" s="19">
        <f>D14*'Cost Assumptions'!$B$7*'Cost Assumptions'!$B$13*'Baseline System Analysis'!D20*1000</f>
        <v>29669758.504397735</v>
      </c>
      <c r="E37" s="19">
        <f>E14*'Cost Assumptions'!$B$7*'Cost Assumptions'!$B$13*'Baseline System Analysis'!E20*1000</f>
        <v>30785932.98368863</v>
      </c>
      <c r="F37" s="19">
        <f>F14*'Cost Assumptions'!$B$7*'Cost Assumptions'!$B$13*'Baseline System Analysis'!F20*1000</f>
        <v>31737817.514474202</v>
      </c>
      <c r="G37" s="19">
        <f>G14*'Cost Assumptions'!$B$7*'Cost Assumptions'!$B$13*'Baseline System Analysis'!G20*1000</f>
        <v>32723205.057936728</v>
      </c>
      <c r="H37" s="19">
        <f>H14*'Cost Assumptions'!$B$7*'Cost Assumptions'!$B$13*'Baseline System Analysis'!H20*1000</f>
        <v>33748203.796823233</v>
      </c>
      <c r="I37" s="19">
        <f>I14*'Cost Assumptions'!$B$7*'Cost Assumptions'!$B$13*'Baseline System Analysis'!I20*1000</f>
        <v>34835062.989378355</v>
      </c>
      <c r="J37" s="19">
        <f>J14*'Cost Assumptions'!$B$7*'Cost Assumptions'!$B$13*'Baseline System Analysis'!J20*1000</f>
        <v>35955129.218393959</v>
      </c>
      <c r="K37" s="19">
        <f>K14*'Cost Assumptions'!$B$7*'Cost Assumptions'!$B$13*'Baseline System Analysis'!K20*1000</f>
        <v>37169749.616252631</v>
      </c>
      <c r="L37" s="19">
        <f>L14*'Cost Assumptions'!$B$7*'Cost Assumptions'!$B$13*'Baseline System Analysis'!L20*1000</f>
        <v>38428223.871687517</v>
      </c>
      <c r="M37" s="19">
        <f>M14*'Cost Assumptions'!$B$7*'Cost Assumptions'!$B$13*'Baseline System Analysis'!M20*1000</f>
        <v>39741749.824372672</v>
      </c>
      <c r="N37" s="19">
        <f>N14*'Cost Assumptions'!$B$7*'Cost Assumptions'!$B$13*'Baseline System Analysis'!N20*1000</f>
        <v>41101682.06793651</v>
      </c>
      <c r="O37" s="19">
        <f>O14*'Cost Assumptions'!$B$7*'Cost Assumptions'!$B$13*'Baseline System Analysis'!O20*1000</f>
        <v>42509773.24590195</v>
      </c>
      <c r="P37" s="19">
        <f>P14*'Cost Assumptions'!$B$7*'Cost Assumptions'!$B$13*'Baseline System Analysis'!P20*1000</f>
        <v>43968352.276088171</v>
      </c>
      <c r="Q37" s="19">
        <f>Q14*'Cost Assumptions'!$B$7*'Cost Assumptions'!$B$13*'Baseline System Analysis'!Q20*1000</f>
        <v>45463758.719833449</v>
      </c>
      <c r="R37" s="19">
        <f>R14*'Cost Assumptions'!$B$7*'Cost Assumptions'!$B$13*'Baseline System Analysis'!R20*1000</f>
        <v>47010006.99840831</v>
      </c>
      <c r="S37" s="19">
        <f>S14*'Cost Assumptions'!$B$7*'Cost Assumptions'!$B$13*'Baseline System Analysis'!S20*1000</f>
        <v>48607892.985491171</v>
      </c>
      <c r="T37" s="19">
        <f>T14*'Cost Assumptions'!$B$7*'Cost Assumptions'!$B$13*'Baseline System Analysis'!T20*1000</f>
        <v>50261212.878368683</v>
      </c>
      <c r="U37" s="19">
        <f>U14*'Cost Assumptions'!$B$7*'Cost Assumptions'!$B$13*'Baseline System Analysis'!U20*1000</f>
        <v>51929068.700064659</v>
      </c>
      <c r="V37" s="19">
        <f>V14*'Cost Assumptions'!$B$7*'Cost Assumptions'!$B$13*'Baseline System Analysis'!V20*1000</f>
        <v>53647759.34039022</v>
      </c>
      <c r="W37" s="19">
        <f>W14*'Cost Assumptions'!$B$7*'Cost Assumptions'!$B$13*'Baseline System Analysis'!W20*1000</f>
        <v>55417428.374337718</v>
      </c>
      <c r="X37" s="19">
        <f>X14*'Cost Assumptions'!$B$7*'Cost Assumptions'!$B$13*'Baseline System Analysis'!X20*1000</f>
        <v>57242398.708590083</v>
      </c>
      <c r="Y37" s="19">
        <f>Y14*'Cost Assumptions'!$B$7*'Cost Assumptions'!$B$13*'Baseline System Analysis'!Y20*1000</f>
        <v>59057981.625009999</v>
      </c>
      <c r="Z37" s="19">
        <f>Z14*'Cost Assumptions'!$B$7*'Cost Assumptions'!$B$13*'Baseline System Analysis'!Z20*1000</f>
        <v>60919002.200587474</v>
      </c>
      <c r="AA37" s="19">
        <f>AA14*'Cost Assumptions'!$B$7*'Cost Assumptions'!$B$13*'Baseline System Analysis'!AA20*1000</f>
        <v>62823399.259042308</v>
      </c>
      <c r="AB37" s="19">
        <f>AB14*'Cost Assumptions'!$B$7*'Cost Assumptions'!$B$13*'Baseline System Analysis'!AB20*1000</f>
        <v>64774400.365422018</v>
      </c>
      <c r="AC37" s="19">
        <f>AC14*'Cost Assumptions'!$B$7*'Cost Assumptions'!$B$13*'Baseline System Analysis'!AC20*1000</f>
        <v>66688893.376351804</v>
      </c>
      <c r="AD37" s="19">
        <f>AD14*'Cost Assumptions'!$B$7*'Cost Assumptions'!$B$13*'Baseline System Analysis'!AD20*1000</f>
        <v>68631933.724598467</v>
      </c>
    </row>
    <row r="38" spans="1:30" x14ac:dyDescent="0.35">
      <c r="A38" s="88" t="s">
        <v>24</v>
      </c>
      <c r="B38" s="88" t="s">
        <v>137</v>
      </c>
      <c r="C38" s="20">
        <f>NPV('Cost Assumptions'!$B$3,D38:AD38)</f>
        <v>442802254.77568489</v>
      </c>
      <c r="D38" s="19">
        <f>SUM(D36:D37)</f>
        <v>36251845.765019402</v>
      </c>
      <c r="E38" s="19">
        <f t="shared" ref="E38:AD38" si="20">SUM(E36:E37)</f>
        <v>37615637.959826335</v>
      </c>
      <c r="F38" s="19">
        <f t="shared" si="20"/>
        <v>38778693.304244854</v>
      </c>
      <c r="G38" s="19">
        <f t="shared" si="20"/>
        <v>39982684.136832185</v>
      </c>
      <c r="H38" s="19">
        <f t="shared" si="20"/>
        <v>41235073.710072063</v>
      </c>
      <c r="I38" s="19">
        <f t="shared" si="20"/>
        <v>42563047.16866836</v>
      </c>
      <c r="J38" s="19">
        <f t="shared" si="20"/>
        <v>43931594.478376389</v>
      </c>
      <c r="K38" s="19">
        <f t="shared" si="20"/>
        <v>45415672.325511292</v>
      </c>
      <c r="L38" s="19">
        <f t="shared" si="20"/>
        <v>46953332.788791128</v>
      </c>
      <c r="M38" s="19">
        <f t="shared" si="20"/>
        <v>48558257.89251364</v>
      </c>
      <c r="N38" s="19">
        <f t="shared" si="20"/>
        <v>50219884.290222466</v>
      </c>
      <c r="O38" s="19">
        <f t="shared" si="20"/>
        <v>51940353.440624252</v>
      </c>
      <c r="P38" s="19">
        <f t="shared" si="20"/>
        <v>53722510.920287088</v>
      </c>
      <c r="Q38" s="19">
        <f t="shared" si="20"/>
        <v>55549665.790679269</v>
      </c>
      <c r="R38" s="19">
        <f t="shared" si="20"/>
        <v>57438941.50220938</v>
      </c>
      <c r="S38" s="19">
        <f t="shared" si="20"/>
        <v>59391310.489143588</v>
      </c>
      <c r="T38" s="19">
        <f t="shared" si="20"/>
        <v>61411411.116115332</v>
      </c>
      <c r="U38" s="19">
        <f t="shared" si="20"/>
        <v>63449272.394880041</v>
      </c>
      <c r="V38" s="19">
        <f t="shared" si="20"/>
        <v>65549245.942073882</v>
      </c>
      <c r="W38" s="19">
        <f t="shared" si="20"/>
        <v>67711507.184081852</v>
      </c>
      <c r="X38" s="19">
        <f t="shared" si="20"/>
        <v>69941338.042774096</v>
      </c>
      <c r="Y38" s="19">
        <f t="shared" si="20"/>
        <v>72159698.932024449</v>
      </c>
      <c r="Z38" s="19">
        <f t="shared" si="20"/>
        <v>74433577.597446084</v>
      </c>
      <c r="AA38" s="19">
        <f t="shared" si="20"/>
        <v>76760455.601128802</v>
      </c>
      <c r="AB38" s="19">
        <f t="shared" si="20"/>
        <v>79144276.527253836</v>
      </c>
      <c r="AC38" s="19">
        <f t="shared" si="20"/>
        <v>81483490.219881192</v>
      </c>
      <c r="AD38" s="19">
        <f t="shared" si="20"/>
        <v>83857584.333569616</v>
      </c>
    </row>
    <row r="39" spans="1:30" x14ac:dyDescent="0.35">
      <c r="A39" s="88"/>
      <c r="B39" s="88"/>
      <c r="C39" s="8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0" x14ac:dyDescent="0.35">
      <c r="A40" s="88" t="s">
        <v>136</v>
      </c>
      <c r="B40" s="88" t="s">
        <v>138</v>
      </c>
      <c r="C40" s="20">
        <f>NPV('Cost Assumptions'!$B$3,D40:AD40)</f>
        <v>54583074.680321492</v>
      </c>
      <c r="D40" s="19">
        <v>3183505.9507518299</v>
      </c>
      <c r="E40" s="19">
        <v>3501298.6693403148</v>
      </c>
      <c r="F40" s="19">
        <v>3708828.1598447571</v>
      </c>
      <c r="G40" s="19">
        <v>3936504.1710052555</v>
      </c>
      <c r="H40" s="19">
        <v>4165534.2091574501</v>
      </c>
      <c r="I40" s="19">
        <v>4437751.4344738442</v>
      </c>
      <c r="J40" s="19">
        <v>4723565.550076928</v>
      </c>
      <c r="K40" s="19">
        <v>5060818.8389857626</v>
      </c>
      <c r="L40" s="19">
        <v>5437092.1084015528</v>
      </c>
      <c r="M40" s="19">
        <v>5839953.1823647581</v>
      </c>
      <c r="N40" s="19">
        <v>6220644.8936091522</v>
      </c>
      <c r="O40" s="19">
        <v>6658026.6287716078</v>
      </c>
      <c r="P40" s="19">
        <v>7126613.404165891</v>
      </c>
      <c r="Q40" s="19">
        <v>7619430.7212692257</v>
      </c>
      <c r="R40" s="19">
        <v>8116668.0124035291</v>
      </c>
      <c r="S40" s="19">
        <v>8703595.6691344734</v>
      </c>
      <c r="T40" s="19">
        <v>9258176.1098789629</v>
      </c>
      <c r="U40" s="19">
        <v>9818811.9345938768</v>
      </c>
      <c r="V40" s="19">
        <v>10432384.233707495</v>
      </c>
      <c r="W40" s="19">
        <v>11077401.356017223</v>
      </c>
      <c r="X40" s="19">
        <v>11714551.992621953</v>
      </c>
      <c r="Y40" s="19">
        <v>12361971.951705964</v>
      </c>
      <c r="Z40" s="19">
        <v>13008482.722703334</v>
      </c>
      <c r="AA40" s="19">
        <v>13689634.48001978</v>
      </c>
      <c r="AB40" s="19">
        <v>14392513.337574316</v>
      </c>
      <c r="AC40" s="19">
        <v>15018449.386873137</v>
      </c>
      <c r="AD40" s="19">
        <v>15652500.706812296</v>
      </c>
    </row>
    <row r="41" spans="1:30" x14ac:dyDescent="0.35">
      <c r="A41" s="88" t="s">
        <v>127</v>
      </c>
      <c r="B41" s="88" t="s">
        <v>138</v>
      </c>
      <c r="C41" s="20">
        <f>NPV('Cost Assumptions'!$B$3,D41:AD41)</f>
        <v>220929522.39233714</v>
      </c>
      <c r="D41" s="19">
        <v>12889047.890664268</v>
      </c>
      <c r="E41" s="19">
        <v>14192439.903641898</v>
      </c>
      <c r="F41" s="19">
        <v>15032695.448219635</v>
      </c>
      <c r="G41" s="19">
        <v>15976263.918119399</v>
      </c>
      <c r="H41" s="19">
        <v>16895761.042822767</v>
      </c>
      <c r="I41" s="19">
        <v>17993947.241097547</v>
      </c>
      <c r="J41" s="19">
        <v>19143565.078801151</v>
      </c>
      <c r="K41" s="19">
        <v>20515045.726803705</v>
      </c>
      <c r="L41" s="19">
        <v>22026293.532764871</v>
      </c>
      <c r="M41" s="19">
        <v>23652588.34308251</v>
      </c>
      <c r="N41" s="19">
        <v>25142724.773378022</v>
      </c>
      <c r="O41" s="19">
        <v>26923057.057724766</v>
      </c>
      <c r="P41" s="19">
        <v>28826689.397389017</v>
      </c>
      <c r="Q41" s="19">
        <v>30833993.591829609</v>
      </c>
      <c r="R41" s="19">
        <v>32816123.423033532</v>
      </c>
      <c r="S41" s="19">
        <v>35206298.582261227</v>
      </c>
      <c r="T41" s="19">
        <v>37453390.322739959</v>
      </c>
      <c r="U41" s="19">
        <v>39690769.4543337</v>
      </c>
      <c r="V41" s="19">
        <v>42196911.435039803</v>
      </c>
      <c r="W41" s="19">
        <v>44777815.17746383</v>
      </c>
      <c r="X41" s="19">
        <v>47317530.486662835</v>
      </c>
      <c r="Y41" s="19">
        <v>49960110.635448985</v>
      </c>
      <c r="Z41" s="19">
        <v>52548762.1363151</v>
      </c>
      <c r="AA41" s="19">
        <v>55315396.753865048</v>
      </c>
      <c r="AB41" s="19">
        <v>58139885.178222172</v>
      </c>
      <c r="AC41" s="19">
        <v>60645541.317121096</v>
      </c>
      <c r="AD41" s="19">
        <v>63204506.986086197</v>
      </c>
    </row>
    <row r="42" spans="1:30" x14ac:dyDescent="0.35">
      <c r="A42" s="88" t="s">
        <v>24</v>
      </c>
      <c r="B42" s="88" t="s">
        <v>138</v>
      </c>
      <c r="C42" s="20">
        <f>NPV('Cost Assumptions'!$B$3,D42:AD42)</f>
        <v>275512597.0726586</v>
      </c>
      <c r="D42" s="5">
        <f>SUM(D40:D41)</f>
        <v>16072553.841416098</v>
      </c>
      <c r="E42" s="5">
        <f t="shared" ref="E42:AC42" si="21">SUM(E40:E41)</f>
        <v>17693738.572982214</v>
      </c>
      <c r="F42" s="5">
        <f t="shared" si="21"/>
        <v>18741523.608064391</v>
      </c>
      <c r="G42" s="5">
        <f t="shared" si="21"/>
        <v>19912768.089124653</v>
      </c>
      <c r="H42" s="5">
        <f t="shared" si="21"/>
        <v>21061295.251980215</v>
      </c>
      <c r="I42" s="5">
        <f t="shared" si="21"/>
        <v>22431698.675571389</v>
      </c>
      <c r="J42" s="5">
        <f t="shared" si="21"/>
        <v>23867130.628878079</v>
      </c>
      <c r="K42" s="5">
        <f t="shared" si="21"/>
        <v>25575864.565789469</v>
      </c>
      <c r="L42" s="5">
        <f t="shared" si="21"/>
        <v>27463385.641166423</v>
      </c>
      <c r="M42" s="5">
        <f t="shared" si="21"/>
        <v>29492541.525447268</v>
      </c>
      <c r="N42" s="5">
        <f t="shared" si="21"/>
        <v>31363369.666987173</v>
      </c>
      <c r="O42" s="5">
        <f t="shared" si="21"/>
        <v>33581083.686496377</v>
      </c>
      <c r="P42" s="5">
        <f t="shared" si="21"/>
        <v>35953302.801554911</v>
      </c>
      <c r="Q42" s="5">
        <f t="shared" si="21"/>
        <v>38453424.313098833</v>
      </c>
      <c r="R42" s="5">
        <f t="shared" si="21"/>
        <v>40932791.435437061</v>
      </c>
      <c r="S42" s="5">
        <f t="shared" si="21"/>
        <v>43909894.251395702</v>
      </c>
      <c r="T42" s="5">
        <f t="shared" si="21"/>
        <v>46711566.432618923</v>
      </c>
      <c r="U42" s="5">
        <f t="shared" si="21"/>
        <v>49509581.388927579</v>
      </c>
      <c r="V42" s="5">
        <f t="shared" si="21"/>
        <v>52629295.668747298</v>
      </c>
      <c r="W42" s="5">
        <f t="shared" si="21"/>
        <v>55855216.533481054</v>
      </c>
      <c r="X42" s="5">
        <f t="shared" si="21"/>
        <v>59032082.479284786</v>
      </c>
      <c r="Y42" s="5">
        <f t="shared" si="21"/>
        <v>62322082.587154947</v>
      </c>
      <c r="Z42" s="5">
        <f t="shared" si="21"/>
        <v>65557244.85901843</v>
      </c>
      <c r="AA42" s="5">
        <f t="shared" si="21"/>
        <v>69005031.233884826</v>
      </c>
      <c r="AB42" s="5">
        <f t="shared" si="21"/>
        <v>72532398.515796483</v>
      </c>
      <c r="AC42" s="5">
        <f t="shared" si="21"/>
        <v>75663990.703994229</v>
      </c>
      <c r="AD42" s="5">
        <f>SUM(AD40:AD41)</f>
        <v>78857007.692898497</v>
      </c>
    </row>
    <row r="43" spans="1:30" x14ac:dyDescent="0.35">
      <c r="A43" s="88"/>
      <c r="B43" s="88"/>
      <c r="C43" s="88"/>
      <c r="D43" s="88"/>
      <c r="E43" s="88"/>
      <c r="F43" s="8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1:30" ht="20" thickBot="1" x14ac:dyDescent="0.5">
      <c r="A44" s="142" t="s">
        <v>139</v>
      </c>
      <c r="B44" s="142"/>
      <c r="C44" s="20">
        <f>NPV('Cost Assumptions'!$B$3,D44:AD44)</f>
        <v>6083221326.6615229</v>
      </c>
      <c r="D44" s="19">
        <f>SUM(D26,D30,D34,D38,D42)</f>
        <v>166144144.42262661</v>
      </c>
      <c r="E44" s="19">
        <f t="shared" ref="E44:AD44" si="22">SUM(E26,E30,E34,E38,E42)</f>
        <v>211677282.30234507</v>
      </c>
      <c r="F44" s="19">
        <f t="shared" si="22"/>
        <v>258048898.41151381</v>
      </c>
      <c r="G44" s="19">
        <f t="shared" si="22"/>
        <v>306728210.65323663</v>
      </c>
      <c r="H44" s="19">
        <f t="shared" si="22"/>
        <v>357580432.96946776</v>
      </c>
      <c r="I44" s="19">
        <f t="shared" si="22"/>
        <v>409520020.79765075</v>
      </c>
      <c r="J44" s="19">
        <f t="shared" si="22"/>
        <v>466391695.35992086</v>
      </c>
      <c r="K44" s="19">
        <f t="shared" si="22"/>
        <v>526547031.91411841</v>
      </c>
      <c r="L44" s="19">
        <f t="shared" si="22"/>
        <v>590879569.94840252</v>
      </c>
      <c r="M44" s="19">
        <f t="shared" si="22"/>
        <v>652576706.61926639</v>
      </c>
      <c r="N44" s="19">
        <f t="shared" si="22"/>
        <v>721673706.8961463</v>
      </c>
      <c r="O44" s="19">
        <f t="shared" si="22"/>
        <v>794294722.98529065</v>
      </c>
      <c r="P44" s="19">
        <f t="shared" si="22"/>
        <v>872907463.5896039</v>
      </c>
      <c r="Q44" s="19">
        <f t="shared" si="22"/>
        <v>954622302.2890718</v>
      </c>
      <c r="R44" s="19">
        <f t="shared" si="22"/>
        <v>1042791641.7545906</v>
      </c>
      <c r="S44" s="19">
        <f t="shared" si="22"/>
        <v>1137034146.9648392</v>
      </c>
      <c r="T44" s="19">
        <f t="shared" si="22"/>
        <v>1236931919.5934734</v>
      </c>
      <c r="U44" s="19">
        <f t="shared" si="22"/>
        <v>1343212311.8157578</v>
      </c>
      <c r="V44" s="19">
        <f t="shared" si="22"/>
        <v>1445000254.2772853</v>
      </c>
      <c r="W44" s="19">
        <f t="shared" si="22"/>
        <v>1555043554.9877942</v>
      </c>
      <c r="X44" s="19">
        <f t="shared" si="22"/>
        <v>1669882903.1872003</v>
      </c>
      <c r="Y44" s="19">
        <f t="shared" si="22"/>
        <v>1790042370.5712955</v>
      </c>
      <c r="Z44" s="19">
        <f t="shared" si="22"/>
        <v>1915283313.1607151</v>
      </c>
      <c r="AA44" s="19">
        <f t="shared" si="22"/>
        <v>2047200968.267695</v>
      </c>
      <c r="AB44" s="19">
        <f t="shared" si="22"/>
        <v>2186655850.2199507</v>
      </c>
      <c r="AC44" s="19">
        <f t="shared" si="22"/>
        <v>2325833286.1032028</v>
      </c>
      <c r="AD44" s="19">
        <f t="shared" si="22"/>
        <v>2467051345.4218388</v>
      </c>
    </row>
    <row r="45" spans="1:30" ht="15" thickTop="1" x14ac:dyDescent="0.3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x14ac:dyDescent="0.35">
      <c r="A46" s="88"/>
      <c r="B46" s="88"/>
      <c r="C46" s="52"/>
      <c r="D46" s="59"/>
      <c r="E46" s="5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x14ac:dyDescent="0.35">
      <c r="A47" s="88"/>
      <c r="B47" s="88"/>
      <c r="C47" s="88"/>
      <c r="D47" s="88"/>
      <c r="E47" s="88"/>
      <c r="F47" s="88"/>
      <c r="G47" s="40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x14ac:dyDescent="0.35">
      <c r="A48" s="88"/>
      <c r="B48" s="88"/>
      <c r="C48" s="88"/>
      <c r="D48" s="88"/>
      <c r="E48" s="88"/>
      <c r="F48" s="88"/>
      <c r="G48" s="40"/>
      <c r="H48" s="21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x14ac:dyDescent="0.35">
      <c r="A49" s="88"/>
      <c r="B49" s="88"/>
      <c r="C49" s="88"/>
      <c r="D49" s="88"/>
      <c r="E49" s="88"/>
      <c r="F49" s="88"/>
      <c r="G49" s="40"/>
      <c r="H49" s="5"/>
      <c r="I49" s="5"/>
      <c r="J49" s="5"/>
      <c r="K49" s="5"/>
      <c r="L49" s="5"/>
      <c r="M49" s="5"/>
      <c r="N49" s="5"/>
      <c r="O49" s="88"/>
      <c r="P49" s="88"/>
      <c r="Q49" s="88"/>
      <c r="R49" s="88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x14ac:dyDescent="0.35">
      <c r="A50" s="88" t="s">
        <v>130</v>
      </c>
      <c r="B50" s="88" t="s">
        <v>131</v>
      </c>
      <c r="C50" s="20">
        <f>C24</f>
        <v>1363590.1345869785</v>
      </c>
      <c r="D50" s="88"/>
      <c r="E50" s="88"/>
      <c r="F50" s="88"/>
      <c r="G50" s="63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x14ac:dyDescent="0.35">
      <c r="A51" s="88" t="s">
        <v>132</v>
      </c>
      <c r="B51" s="88" t="s">
        <v>131</v>
      </c>
      <c r="C51" s="20">
        <f t="shared" ref="C51:C60" si="23">C25</f>
        <v>5658197.9399566008</v>
      </c>
      <c r="D51" s="88"/>
      <c r="E51" s="88"/>
      <c r="F51" s="88"/>
      <c r="G51" s="63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x14ac:dyDescent="0.35">
      <c r="A52" s="88" t="s">
        <v>24</v>
      </c>
      <c r="B52" s="88" t="s">
        <v>131</v>
      </c>
      <c r="C52" s="20">
        <f t="shared" si="23"/>
        <v>7021788.0745435804</v>
      </c>
      <c r="D52" s="88"/>
      <c r="E52" s="88"/>
      <c r="F52" s="88"/>
      <c r="G52" s="63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x14ac:dyDescent="0.35">
      <c r="A53" s="88"/>
      <c r="B53" s="88"/>
      <c r="C53" s="20"/>
      <c r="D53" s="88"/>
      <c r="E53" s="88"/>
      <c r="F53" s="88"/>
      <c r="G53" s="63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x14ac:dyDescent="0.35">
      <c r="A54" s="88" t="s">
        <v>133</v>
      </c>
      <c r="B54" s="88" t="s">
        <v>131</v>
      </c>
      <c r="C54" s="20">
        <f t="shared" si="23"/>
        <v>55025530.55289489</v>
      </c>
      <c r="D54" s="88"/>
      <c r="E54" s="88"/>
      <c r="F54" s="88"/>
      <c r="G54" s="63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x14ac:dyDescent="0.35">
      <c r="A55" s="88" t="s">
        <v>134</v>
      </c>
      <c r="B55" s="88" t="s">
        <v>131</v>
      </c>
      <c r="C55" s="20">
        <f t="shared" si="23"/>
        <v>242736972.29884523</v>
      </c>
      <c r="D55" s="88"/>
      <c r="E55" s="88"/>
      <c r="F55" s="88"/>
      <c r="G55" s="63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</row>
    <row r="56" spans="1:30" x14ac:dyDescent="0.35">
      <c r="A56" s="88" t="s">
        <v>24</v>
      </c>
      <c r="B56" s="88" t="s">
        <v>131</v>
      </c>
      <c r="C56" s="20">
        <f t="shared" si="23"/>
        <v>297762502.85174012</v>
      </c>
      <c r="D56" s="88"/>
      <c r="E56" s="88"/>
      <c r="F56" s="88"/>
      <c r="G56" s="63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x14ac:dyDescent="0.35">
      <c r="A57" s="88"/>
      <c r="B57" s="88"/>
      <c r="C57" s="20"/>
      <c r="D57" s="88"/>
      <c r="E57" s="88"/>
      <c r="F57" s="88"/>
      <c r="G57" s="63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x14ac:dyDescent="0.35">
      <c r="A58" s="88" t="s">
        <v>133</v>
      </c>
      <c r="B58" s="88" t="s">
        <v>135</v>
      </c>
      <c r="C58" s="20">
        <f t="shared" si="23"/>
        <v>988376054.2530117</v>
      </c>
      <c r="D58" s="88"/>
      <c r="E58" s="88"/>
      <c r="F58" s="88"/>
      <c r="G58" s="63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x14ac:dyDescent="0.35">
      <c r="A59" s="88" t="s">
        <v>134</v>
      </c>
      <c r="B59" s="88" t="s">
        <v>135</v>
      </c>
      <c r="C59" s="20">
        <f t="shared" si="23"/>
        <v>4071746129.6338849</v>
      </c>
      <c r="D59" s="88"/>
      <c r="E59" s="88"/>
      <c r="F59" s="88"/>
      <c r="G59" s="63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x14ac:dyDescent="0.35">
      <c r="A60" s="88" t="s">
        <v>24</v>
      </c>
      <c r="B60" s="88" t="s">
        <v>135</v>
      </c>
      <c r="C60" s="20">
        <f t="shared" si="23"/>
        <v>5060122183.8868971</v>
      </c>
      <c r="D60" s="88"/>
      <c r="E60" s="88"/>
      <c r="F60" s="88"/>
      <c r="G60" s="63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</row>
    <row r="61" spans="1:30" x14ac:dyDescent="0.35">
      <c r="A61" s="88"/>
      <c r="B61" s="88"/>
      <c r="C61" s="20"/>
      <c r="D61" s="88"/>
      <c r="E61" s="88"/>
      <c r="F61" s="88"/>
      <c r="G61" s="63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</row>
    <row r="62" spans="1:30" x14ac:dyDescent="0.35">
      <c r="A62" s="88" t="s">
        <v>136</v>
      </c>
      <c r="B62" s="88" t="s">
        <v>140</v>
      </c>
      <c r="C62" s="20">
        <f>C36+C40</f>
        <v>134980721.16225436</v>
      </c>
      <c r="D62" s="88"/>
      <c r="E62" s="88"/>
      <c r="F62" s="88"/>
      <c r="G62" s="63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x14ac:dyDescent="0.35">
      <c r="A63" s="88" t="s">
        <v>127</v>
      </c>
      <c r="B63" s="88" t="s">
        <v>141</v>
      </c>
      <c r="C63" s="20">
        <f t="shared" ref="C63:C64" si="24">C37+C41</f>
        <v>583334130.68608916</v>
      </c>
      <c r="D63" s="88"/>
      <c r="E63" s="88"/>
      <c r="F63" s="88"/>
      <c r="G63" s="63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x14ac:dyDescent="0.35">
      <c r="A64" s="88" t="s">
        <v>24</v>
      </c>
      <c r="B64" s="88" t="s">
        <v>142</v>
      </c>
      <c r="C64" s="20">
        <f t="shared" si="24"/>
        <v>718314851.84834349</v>
      </c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" x14ac:dyDescent="0.35">
      <c r="A65" s="88"/>
      <c r="B65" s="88"/>
      <c r="C65" s="41"/>
    </row>
    <row r="66" spans="1:3" ht="20" thickBot="1" x14ac:dyDescent="0.5">
      <c r="A66" s="142" t="s">
        <v>74</v>
      </c>
      <c r="B66" s="142"/>
      <c r="C66" s="68">
        <f>C44/1000000</f>
        <v>6083.2213266615227</v>
      </c>
    </row>
    <row r="67" spans="1:3" ht="15" thickTop="1" x14ac:dyDescent="0.35">
      <c r="A67" s="88"/>
      <c r="B67" s="88"/>
      <c r="C67" s="88"/>
    </row>
  </sheetData>
  <mergeCells count="3">
    <mergeCell ref="A44:B44"/>
    <mergeCell ref="A66:B66"/>
    <mergeCell ref="B2:B15"/>
  </mergeCells>
  <phoneticPr fontId="17" type="noConversion"/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89"/>
  <sheetViews>
    <sheetView zoomScale="87" zoomScaleNormal="87" workbookViewId="0"/>
  </sheetViews>
  <sheetFormatPr defaultRowHeight="14.5" x14ac:dyDescent="0.35"/>
  <cols>
    <col min="1" max="1" width="17.1796875" customWidth="1"/>
    <col min="2" max="2" width="28.81640625" bestFit="1" customWidth="1"/>
    <col min="3" max="3" width="26" customWidth="1"/>
    <col min="4" max="4" width="16.7265625" bestFit="1" customWidth="1"/>
    <col min="5" max="7" width="17.7265625" bestFit="1" customWidth="1"/>
    <col min="8" max="8" width="17.26953125" bestFit="1" customWidth="1"/>
    <col min="9" max="9" width="17.7265625" bestFit="1" customWidth="1"/>
    <col min="10" max="10" width="17.26953125" bestFit="1" customWidth="1"/>
    <col min="11" max="11" width="17.7265625" bestFit="1" customWidth="1"/>
    <col min="12" max="12" width="17.26953125" bestFit="1" customWidth="1"/>
    <col min="13" max="13" width="17.7265625" bestFit="1" customWidth="1"/>
    <col min="14" max="14" width="17.26953125" bestFit="1" customWidth="1"/>
    <col min="15" max="16" width="17.7265625" bestFit="1" customWidth="1"/>
    <col min="17" max="17" width="17.26953125" bestFit="1" customWidth="1"/>
    <col min="18" max="18" width="18.54296875" bestFit="1" customWidth="1"/>
    <col min="19" max="19" width="18.26953125" bestFit="1" customWidth="1"/>
    <col min="20" max="22" width="18.54296875" bestFit="1" customWidth="1"/>
    <col min="23" max="29" width="19" bestFit="1" customWidth="1"/>
    <col min="30" max="30" width="19.453125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3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5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5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5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5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5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5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5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5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5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5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5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x14ac:dyDescent="0.35">
      <c r="A14" s="88" t="s">
        <v>30</v>
      </c>
      <c r="B14" s="165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x14ac:dyDescent="0.35">
      <c r="A15" s="88" t="s">
        <v>30</v>
      </c>
      <c r="B15" s="165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15" thickTop="1" x14ac:dyDescent="0.35">
      <c r="A18" s="88"/>
      <c r="B18" s="165" t="s">
        <v>9</v>
      </c>
      <c r="C18" s="88" t="s">
        <v>120</v>
      </c>
      <c r="D18" s="63">
        <v>40620.811764705883</v>
      </c>
      <c r="E18" s="63">
        <f>D18+(($AD18-$D18)/(COLUMN($AD18)-COLUMN($D18)))</f>
        <v>40962.556561085978</v>
      </c>
      <c r="F18" s="63">
        <f t="shared" ref="F18:AC18" si="0">E18+(($AD18-$D18)/(COLUMN($AD18)-COLUMN($D18)))</f>
        <v>41304.301357466073</v>
      </c>
      <c r="G18" s="63">
        <f t="shared" si="0"/>
        <v>41646.046153846168</v>
      </c>
      <c r="H18" s="63">
        <f>G18+(($AD18-$D18)/(COLUMN($AD18)-COLUMN($D18)))</f>
        <v>41987.790950226263</v>
      </c>
      <c r="I18" s="63">
        <f t="shared" si="0"/>
        <v>42329.535746606358</v>
      </c>
      <c r="J18" s="63">
        <f t="shared" si="0"/>
        <v>42671.280542986453</v>
      </c>
      <c r="K18" s="63">
        <f t="shared" si="0"/>
        <v>43013.025339366548</v>
      </c>
      <c r="L18" s="63">
        <f t="shared" si="0"/>
        <v>43354.770135746643</v>
      </c>
      <c r="M18" s="63">
        <f t="shared" si="0"/>
        <v>43696.514932126738</v>
      </c>
      <c r="N18" s="63">
        <f t="shared" si="0"/>
        <v>44038.259728506833</v>
      </c>
      <c r="O18" s="63">
        <f t="shared" si="0"/>
        <v>44380.004524886928</v>
      </c>
      <c r="P18" s="63">
        <f t="shared" si="0"/>
        <v>44721.749321267023</v>
      </c>
      <c r="Q18" s="63">
        <f t="shared" si="0"/>
        <v>45063.494117647118</v>
      </c>
      <c r="R18" s="63">
        <f t="shared" si="0"/>
        <v>45405.238914027213</v>
      </c>
      <c r="S18" s="63">
        <f>R18+(($AD18-$D18)/(COLUMN($AD18)-COLUMN($D18)))</f>
        <v>45746.983710407309</v>
      </c>
      <c r="T18" s="63">
        <f t="shared" si="0"/>
        <v>46088.728506787404</v>
      </c>
      <c r="U18" s="63">
        <f>T18+(($AD18-$D18)/(COLUMN($AD18)-COLUMN($D18)))</f>
        <v>46430.473303167499</v>
      </c>
      <c r="V18" s="63">
        <f t="shared" si="0"/>
        <v>46772.218099547594</v>
      </c>
      <c r="W18" s="63">
        <f t="shared" si="0"/>
        <v>47113.962895927689</v>
      </c>
      <c r="X18" s="63">
        <f t="shared" si="0"/>
        <v>47455.707692307784</v>
      </c>
      <c r="Y18" s="63">
        <f t="shared" si="0"/>
        <v>47797.452488687879</v>
      </c>
      <c r="Z18" s="63">
        <f t="shared" si="0"/>
        <v>48139.197285067974</v>
      </c>
      <c r="AA18" s="63">
        <f t="shared" si="0"/>
        <v>48480.942081448069</v>
      </c>
      <c r="AB18" s="63">
        <f t="shared" si="0"/>
        <v>48822.686877828164</v>
      </c>
      <c r="AC18" s="63">
        <f t="shared" si="0"/>
        <v>49164.431674208259</v>
      </c>
      <c r="AD18" s="63">
        <v>49506.176470588354</v>
      </c>
    </row>
    <row r="19" spans="1:30" x14ac:dyDescent="0.35">
      <c r="A19" s="88" t="s">
        <v>30</v>
      </c>
      <c r="B19" s="165"/>
      <c r="C19" s="88" t="s">
        <v>31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20.699999999999989</v>
      </c>
      <c r="U19" s="63">
        <f>T19+(($Y19-$T19)/(COLUMN($Y19)-COLUMN($T19)))</f>
        <v>33.379999999999988</v>
      </c>
      <c r="V19" s="63">
        <f t="shared" ref="V19:X19" si="1">U19+(($Y19-$T19)/(COLUMN($Y19)-COLUMN($T19)))</f>
        <v>46.059999999999988</v>
      </c>
      <c r="W19" s="63">
        <f t="shared" si="1"/>
        <v>58.739999999999988</v>
      </c>
      <c r="X19" s="63">
        <f t="shared" si="1"/>
        <v>71.419999999999987</v>
      </c>
      <c r="Y19" s="63">
        <v>84.1</v>
      </c>
      <c r="Z19" s="63">
        <f t="shared" ref="Z19:AC19" si="2">Y19+(($AD19-$T19)/(COLUMN($AD19)-COLUMN($T19)))</f>
        <v>102.25</v>
      </c>
      <c r="AA19" s="63">
        <f t="shared" si="2"/>
        <v>120.4</v>
      </c>
      <c r="AB19" s="63">
        <f t="shared" si="2"/>
        <v>138.55000000000001</v>
      </c>
      <c r="AC19" s="63">
        <f t="shared" si="2"/>
        <v>156.70000000000002</v>
      </c>
      <c r="AD19" s="63">
        <v>202.2</v>
      </c>
    </row>
    <row r="20" spans="1:30" x14ac:dyDescent="0.35">
      <c r="A20" s="88" t="s">
        <v>30</v>
      </c>
      <c r="B20" s="165"/>
      <c r="C20" s="88" t="s">
        <v>32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7.6999999999999886</v>
      </c>
      <c r="U20" s="63">
        <f t="shared" ref="U20:X20" si="3">T20+(($Y20-$T20)/(COLUMN($Y20)-COLUMN($T20)))</f>
        <v>9.4599999999999902</v>
      </c>
      <c r="V20" s="63">
        <f t="shared" si="3"/>
        <v>11.219999999999992</v>
      </c>
      <c r="W20" s="63">
        <f t="shared" si="3"/>
        <v>12.979999999999993</v>
      </c>
      <c r="X20" s="63">
        <f t="shared" si="3"/>
        <v>14.739999999999995</v>
      </c>
      <c r="Y20" s="63">
        <v>16.5</v>
      </c>
      <c r="Z20" s="63">
        <f t="shared" ref="Z20:AC20" si="4">Y20+(($AD20-$T20)/(COLUMN($AD20)-COLUMN($T20)))</f>
        <v>18.130000000000003</v>
      </c>
      <c r="AA20" s="63">
        <f t="shared" si="4"/>
        <v>19.760000000000005</v>
      </c>
      <c r="AB20" s="63">
        <f t="shared" si="4"/>
        <v>21.390000000000008</v>
      </c>
      <c r="AC20" s="63">
        <f t="shared" si="4"/>
        <v>23.02000000000001</v>
      </c>
      <c r="AD20" s="63">
        <v>24</v>
      </c>
    </row>
    <row r="21" spans="1:30" x14ac:dyDescent="0.35">
      <c r="A21" s="88" t="s">
        <v>30</v>
      </c>
      <c r="B21" s="165"/>
      <c r="C21" s="88" t="s">
        <v>33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0.20943875668338174</v>
      </c>
      <c r="U21" s="63">
        <f t="shared" ref="U21:X21" si="5">T21+(($Y21-$T21)/(COLUMN($Y21)-COLUMN($T21)))</f>
        <v>0.63555050729790485</v>
      </c>
      <c r="V21" s="63">
        <f t="shared" si="5"/>
        <v>1.061662257912428</v>
      </c>
      <c r="W21" s="63">
        <f t="shared" si="5"/>
        <v>1.4877740085269511</v>
      </c>
      <c r="X21" s="63">
        <f t="shared" si="5"/>
        <v>1.9138857591414742</v>
      </c>
      <c r="Y21" s="63">
        <v>2.3399975097559973</v>
      </c>
      <c r="Z21" s="63">
        <f t="shared" ref="Z21:AC21" si="6">Y21+(($AD21-$T21)/(COLUMN($AD21)-COLUMN($T21)))</f>
        <v>3.2253230664976664</v>
      </c>
      <c r="AA21" s="63">
        <f t="shared" si="6"/>
        <v>4.1106486232393351</v>
      </c>
      <c r="AB21" s="63">
        <f t="shared" si="6"/>
        <v>4.9959741799810038</v>
      </c>
      <c r="AC21" s="63">
        <f t="shared" si="6"/>
        <v>5.8812997367226725</v>
      </c>
      <c r="AD21" s="63">
        <v>9.0626943241000717</v>
      </c>
    </row>
    <row r="22" spans="1:30" x14ac:dyDescent="0.35">
      <c r="A22" s="88" t="s">
        <v>30</v>
      </c>
      <c r="B22" s="165"/>
      <c r="C22" s="88" t="s">
        <v>34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5.2359689170845436E-2</v>
      </c>
      <c r="U22" s="63">
        <f t="shared" ref="U22:X22" si="7">T22+(($Y22-$T22)/(COLUMN($Y22)-COLUMN($T22)))</f>
        <v>8.4433160604967208E-2</v>
      </c>
      <c r="V22" s="63">
        <f t="shared" si="7"/>
        <v>0.11650663203908898</v>
      </c>
      <c r="W22" s="63">
        <f t="shared" si="7"/>
        <v>0.14858010347321077</v>
      </c>
      <c r="X22" s="63">
        <f t="shared" si="7"/>
        <v>0.18065357490733253</v>
      </c>
      <c r="Y22" s="63">
        <v>0.21272704634145428</v>
      </c>
      <c r="Z22" s="63">
        <f t="shared" ref="Z22:AC22" si="8">Y22+(($AD22-$T22)/(COLUMN($AD22)-COLUMN($T22)))</f>
        <v>0.25886215672514767</v>
      </c>
      <c r="AA22" s="63">
        <f t="shared" si="8"/>
        <v>0.30499726710884106</v>
      </c>
      <c r="AB22" s="63">
        <f t="shared" si="8"/>
        <v>0.35113237749253445</v>
      </c>
      <c r="AC22" s="63">
        <f t="shared" si="8"/>
        <v>0.39726748787622784</v>
      </c>
      <c r="AD22" s="63">
        <v>0.51371079300777944</v>
      </c>
    </row>
    <row r="23" spans="1:30" x14ac:dyDescent="0.35">
      <c r="A23" s="88" t="s">
        <v>30</v>
      </c>
      <c r="B23" s="165"/>
      <c r="C23" s="88" t="s">
        <v>35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</v>
      </c>
      <c r="U23" s="63">
        <f t="shared" ref="U23:X23" si="9">T23+(($Y23-$T23)/(COLUMN($Y23)-COLUMN($T23)))</f>
        <v>4.8</v>
      </c>
      <c r="V23" s="63">
        <f t="shared" si="9"/>
        <v>5.6</v>
      </c>
      <c r="W23" s="63">
        <f t="shared" si="9"/>
        <v>6.3999999999999995</v>
      </c>
      <c r="X23" s="63">
        <f t="shared" si="9"/>
        <v>7.1999999999999993</v>
      </c>
      <c r="Y23" s="63">
        <v>8</v>
      </c>
      <c r="Z23" s="63">
        <f t="shared" ref="Z23:AC23" si="10">Y23+(($AD23-$T23)/(COLUMN($AD23)-COLUMN($T23)))</f>
        <v>9</v>
      </c>
      <c r="AA23" s="63">
        <f t="shared" si="10"/>
        <v>10</v>
      </c>
      <c r="AB23" s="63">
        <f t="shared" si="10"/>
        <v>11</v>
      </c>
      <c r="AC23" s="63">
        <f t="shared" si="10"/>
        <v>12</v>
      </c>
      <c r="AD23" s="63">
        <v>14</v>
      </c>
    </row>
    <row r="24" spans="1:30" x14ac:dyDescent="0.35">
      <c r="A24" s="88" t="s">
        <v>30</v>
      </c>
      <c r="B24" s="165"/>
      <c r="C24" s="88" t="s">
        <v>121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</row>
    <row r="25" spans="1:30" x14ac:dyDescent="0.35">
      <c r="A25" s="88" t="s">
        <v>30</v>
      </c>
      <c r="B25" s="165"/>
      <c r="C25" s="88" t="s">
        <v>122</v>
      </c>
      <c r="D25" s="63">
        <v>7809.9045445132679</v>
      </c>
      <c r="E25" s="63">
        <v>8335.6531141305277</v>
      </c>
      <c r="F25" s="63">
        <v>8589.7895597955448</v>
      </c>
      <c r="G25" s="63">
        <v>8855.557130631274</v>
      </c>
      <c r="H25" s="63">
        <v>9142.7442157469377</v>
      </c>
      <c r="I25" s="63">
        <v>9476.0148160497356</v>
      </c>
      <c r="J25" s="63">
        <v>9813.7175851959364</v>
      </c>
      <c r="K25" s="63">
        <v>10235.503035354348</v>
      </c>
      <c r="L25" s="63">
        <v>10684.430810195196</v>
      </c>
      <c r="M25" s="63">
        <v>11160.434212399638</v>
      </c>
      <c r="N25" s="63">
        <v>11648.199577865806</v>
      </c>
      <c r="O25" s="63">
        <v>12149.000902558064</v>
      </c>
      <c r="P25" s="63">
        <v>12672.098989186718</v>
      </c>
      <c r="Q25" s="63">
        <v>13188.251599508339</v>
      </c>
      <c r="R25" s="63">
        <v>13713.00555320584</v>
      </c>
      <c r="S25" s="63">
        <v>14248.257022874135</v>
      </c>
      <c r="T25" s="63">
        <v>14803.427517397342</v>
      </c>
      <c r="U25" s="63">
        <v>15320.968136316813</v>
      </c>
      <c r="V25" s="63">
        <v>15843.600368185633</v>
      </c>
      <c r="W25" s="63">
        <v>16367.604111972978</v>
      </c>
      <c r="X25" s="63">
        <v>16894.584806931482</v>
      </c>
      <c r="Y25" s="63">
        <v>17351.062299412832</v>
      </c>
      <c r="Z25" s="63">
        <v>17803.331556619243</v>
      </c>
      <c r="AA25" s="63">
        <v>18242.669681741791</v>
      </c>
      <c r="AB25" s="63">
        <v>18671.633171576876</v>
      </c>
      <c r="AC25" s="63">
        <v>18999.366659702046</v>
      </c>
      <c r="AD25" s="63">
        <v>19302.118209275788</v>
      </c>
    </row>
    <row r="26" spans="1:30" s="62" customFormat="1" x14ac:dyDescent="0.35">
      <c r="A26" s="88" t="s">
        <v>30</v>
      </c>
      <c r="B26" s="165"/>
      <c r="C26" s="88" t="s">
        <v>123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2.3358047291796993</v>
      </c>
      <c r="W26" s="63">
        <v>12.626672873361031</v>
      </c>
      <c r="X26" s="63">
        <v>26.517755047094283</v>
      </c>
      <c r="Y26" s="63">
        <v>44.307644974017194</v>
      </c>
      <c r="Z26" s="63">
        <v>61.665805587773548</v>
      </c>
      <c r="AA26" s="63">
        <v>79.93643670845313</v>
      </c>
      <c r="AB26" s="63">
        <v>100.25832398723765</v>
      </c>
      <c r="AC26" s="63">
        <v>118.50992917491521</v>
      </c>
      <c r="AD26" s="63">
        <v>137.89413301680406</v>
      </c>
    </row>
    <row r="27" spans="1:30" x14ac:dyDescent="0.35">
      <c r="A27" s="88" t="s">
        <v>39</v>
      </c>
      <c r="B27" s="165"/>
      <c r="C27" s="88" t="s">
        <v>31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AA27+(($AD27-$AA27)/(COLUMN($AD27)-COLUMN($AA27)))</f>
        <v>1</v>
      </c>
      <c r="AC27" s="63">
        <f>AB27+(($AD27-$AA27)/(COLUMN($AD27)-COLUMN($AA27)))</f>
        <v>2</v>
      </c>
      <c r="AD27" s="63">
        <v>3</v>
      </c>
    </row>
    <row r="28" spans="1:30" x14ac:dyDescent="0.35">
      <c r="A28" s="88" t="s">
        <v>39</v>
      </c>
      <c r="B28" s="165"/>
      <c r="C28" s="88" t="s">
        <v>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 t="shared" ref="AB28:AC28" si="11">AA28+(($AD28-$AA28)/(COLUMN($AD28)-COLUMN($AA28)))</f>
        <v>0.6333333333333333</v>
      </c>
      <c r="AC28" s="63">
        <f t="shared" si="11"/>
        <v>1.2666666666666666</v>
      </c>
      <c r="AD28" s="63">
        <v>1.9</v>
      </c>
    </row>
    <row r="29" spans="1:30" x14ac:dyDescent="0.35">
      <c r="A29" s="88" t="s">
        <v>39</v>
      </c>
      <c r="B29" s="165"/>
      <c r="C29" s="88" t="s">
        <v>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 t="shared" ref="AB29:AC29" si="12">AA29+(($AD29-$AA29)/(COLUMN($AD29)-COLUMN($AA29)))</f>
        <v>6.9324593739912661E-3</v>
      </c>
      <c r="AC29" s="63">
        <f t="shared" si="12"/>
        <v>1.3864918747982532E-2</v>
      </c>
      <c r="AD29" s="63">
        <v>2.0797378121973797E-2</v>
      </c>
    </row>
    <row r="30" spans="1:30" x14ac:dyDescent="0.35">
      <c r="A30" s="88" t="s">
        <v>39</v>
      </c>
      <c r="B30" s="165"/>
      <c r="C30" s="88" t="s">
        <v>34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 t="shared" ref="AB30:AC30" si="13">AA30+(($AD30-$AA30)/(COLUMN($AD30)-COLUMN($AA30)))</f>
        <v>3.466229686995633E-3</v>
      </c>
      <c r="AC30" s="63">
        <f t="shared" si="13"/>
        <v>6.9324593739912661E-3</v>
      </c>
      <c r="AD30" s="63">
        <v>1.0398689060986899E-2</v>
      </c>
    </row>
    <row r="31" spans="1:30" x14ac:dyDescent="0.35">
      <c r="A31" s="88" t="s">
        <v>39</v>
      </c>
      <c r="B31" s="165"/>
      <c r="C31" s="88" t="s">
        <v>35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 t="shared" ref="AB31:AC31" si="14">AA31+(($AD31-$AA31)/(COLUMN($AD31)-COLUMN($AA31)))</f>
        <v>0.66666666666666663</v>
      </c>
      <c r="AC31" s="63">
        <f t="shared" si="14"/>
        <v>1.3333333333333333</v>
      </c>
      <c r="AD31" s="63">
        <v>2</v>
      </c>
    </row>
    <row r="32" spans="1:30" x14ac:dyDescent="0.35">
      <c r="A32" s="88" t="s">
        <v>143</v>
      </c>
      <c r="B32" s="88" t="s">
        <v>124</v>
      </c>
      <c r="C32" s="88" t="s">
        <v>144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6857.4044698413118</v>
      </c>
      <c r="AC32" s="63">
        <v>24839.363104895536</v>
      </c>
      <c r="AD32" s="63">
        <v>46980.577879154007</v>
      </c>
    </row>
    <row r="33" spans="1:30" x14ac:dyDescent="0.35">
      <c r="A33" s="88" t="s">
        <v>143</v>
      </c>
      <c r="B33" s="88" t="s">
        <v>145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41023.740362345277</v>
      </c>
      <c r="AC33" s="63">
        <v>139968.68326877849</v>
      </c>
      <c r="AD33" s="63">
        <v>264733.42320341041</v>
      </c>
    </row>
    <row r="34" spans="1:30" x14ac:dyDescent="0.35">
      <c r="A34" s="88" t="s">
        <v>146</v>
      </c>
      <c r="B34" s="88" t="s">
        <v>124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13565.026833655687</v>
      </c>
      <c r="U34" s="63">
        <f>T34+(($Y34-$T34)/(COLUMN($Y34)-COLUMN($T34)))</f>
        <v>23322.859252063368</v>
      </c>
      <c r="V34" s="63">
        <f t="shared" ref="V34:X34" si="15">U34+(($Y34-$T34)/(COLUMN($Y34)-COLUMN($T34)))</f>
        <v>33080.691670471053</v>
      </c>
      <c r="W34" s="63">
        <f t="shared" si="15"/>
        <v>42838.524088878738</v>
      </c>
      <c r="X34" s="63">
        <f t="shared" si="15"/>
        <v>52596.356507286422</v>
      </c>
      <c r="Y34" s="63">
        <v>62354.188925694107</v>
      </c>
      <c r="Z34" s="63">
        <f>Y34+(($AD34-$Y34)/(COLUMN($AD34)-COLUMN($Y34)))</f>
        <v>83806.80888833612</v>
      </c>
      <c r="AA34" s="63">
        <f t="shared" ref="AA34:AC35" si="16">Z34+(($AD34-$Y34)/(COLUMN($AD34)-COLUMN($Y34)))</f>
        <v>105259.42885097815</v>
      </c>
      <c r="AB34" s="63">
        <f t="shared" si="16"/>
        <v>126712.04881362017</v>
      </c>
      <c r="AC34" s="63">
        <f t="shared" si="16"/>
        <v>148164.6687762622</v>
      </c>
      <c r="AD34" s="63">
        <v>169617.2887389042</v>
      </c>
    </row>
    <row r="35" spans="1:30" x14ac:dyDescent="0.35">
      <c r="A35" s="88" t="s">
        <v>146</v>
      </c>
      <c r="B35" s="88" t="s">
        <v>145</v>
      </c>
      <c r="C35" s="88" t="s">
        <v>144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56287.886615500283</v>
      </c>
      <c r="U35" s="63">
        <f t="shared" ref="U35:X35" si="17">T35+(($Y35-$T35)/(COLUMN($Y35)-COLUMN($T35)))</f>
        <v>96777.873956893978</v>
      </c>
      <c r="V35" s="63">
        <f t="shared" si="17"/>
        <v>137267.86129828767</v>
      </c>
      <c r="W35" s="63">
        <f t="shared" si="17"/>
        <v>177757.84863968135</v>
      </c>
      <c r="X35" s="63">
        <f t="shared" si="17"/>
        <v>218247.83598107504</v>
      </c>
      <c r="Y35" s="63">
        <v>258737.82332246873</v>
      </c>
      <c r="Z35" s="63">
        <f>Y35+(($AD35-$Y35)/(COLUMN($AD35)-COLUMN($Y35)))</f>
        <v>347755.16585117445</v>
      </c>
      <c r="AA35" s="63">
        <f t="shared" si="16"/>
        <v>436772.50837988016</v>
      </c>
      <c r="AB35" s="63">
        <f t="shared" si="16"/>
        <v>525789.85090858582</v>
      </c>
      <c r="AC35" s="63">
        <f t="shared" si="16"/>
        <v>614807.19343729154</v>
      </c>
      <c r="AD35" s="63">
        <v>703824.53596599726</v>
      </c>
    </row>
    <row r="36" spans="1:30" ht="29" x14ac:dyDescent="0.35">
      <c r="A36" s="3" t="s">
        <v>147</v>
      </c>
      <c r="B36" s="3" t="s">
        <v>148</v>
      </c>
      <c r="C36" s="88" t="s">
        <v>144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3945.6781721147013</v>
      </c>
      <c r="W36" s="63">
        <v>17089.076528620539</v>
      </c>
      <c r="X36" s="63">
        <v>28491.198574093778</v>
      </c>
      <c r="Y36" s="63">
        <v>50945.361677556321</v>
      </c>
      <c r="Z36" s="63">
        <v>73963.597774515423</v>
      </c>
      <c r="AA36" s="63">
        <v>93129.723634606053</v>
      </c>
      <c r="AB36" s="63">
        <v>121322.91634394604</v>
      </c>
      <c r="AC36" s="63">
        <v>109331.53345543942</v>
      </c>
      <c r="AD36" s="63">
        <v>134369.78812736951</v>
      </c>
    </row>
    <row r="38" spans="1:30" x14ac:dyDescent="0.35">
      <c r="A38" s="88"/>
      <c r="B38" s="63"/>
      <c r="C38" s="63" t="s">
        <v>149</v>
      </c>
      <c r="D38" s="43">
        <f>'Cost Assumptions'!$B$4</f>
        <v>40</v>
      </c>
      <c r="E38" s="43">
        <f>D38*'Cost Assumptions'!$B$5</f>
        <v>41</v>
      </c>
      <c r="F38" s="43">
        <f>E38*'Cost Assumptions'!$B$5</f>
        <v>42.024999999999999</v>
      </c>
      <c r="G38" s="43">
        <f>F38*'Cost Assumptions'!$B$5</f>
        <v>43.075624999999995</v>
      </c>
      <c r="H38" s="43">
        <f>G38*'Cost Assumptions'!$B$5</f>
        <v>44.152515624999992</v>
      </c>
      <c r="I38" s="43">
        <f>H38*'Cost Assumptions'!$B$5</f>
        <v>45.256328515624986</v>
      </c>
      <c r="J38" s="43">
        <f>I38*'Cost Assumptions'!$B$5</f>
        <v>46.387736728515605</v>
      </c>
      <c r="K38" s="43">
        <f>J38*'Cost Assumptions'!$B$5</f>
        <v>47.547430146728495</v>
      </c>
      <c r="L38" s="43">
        <f>K38*'Cost Assumptions'!$B$5</f>
        <v>48.736115900396705</v>
      </c>
      <c r="M38" s="43">
        <f>L38*'Cost Assumptions'!$B$5</f>
        <v>49.954518797906616</v>
      </c>
      <c r="N38" s="43">
        <f>M38*'Cost Assumptions'!$B$5</f>
        <v>51.203381767854275</v>
      </c>
      <c r="O38" s="43">
        <f>N38*'Cost Assumptions'!$B$5</f>
        <v>52.483466312050624</v>
      </c>
      <c r="P38" s="43">
        <f>O38*'Cost Assumptions'!$B$5</f>
        <v>53.795552969851883</v>
      </c>
      <c r="Q38" s="43">
        <f>P38*'Cost Assumptions'!$B$5</f>
        <v>55.140441794098173</v>
      </c>
      <c r="R38" s="43">
        <f>Q38*'Cost Assumptions'!$B$5</f>
        <v>56.518952838950625</v>
      </c>
      <c r="S38" s="43">
        <f>R38*'Cost Assumptions'!$B$5</f>
        <v>57.931926659924386</v>
      </c>
      <c r="T38" s="43">
        <f>S38*'Cost Assumptions'!$B$5</f>
        <v>59.380224826422491</v>
      </c>
      <c r="U38" s="43">
        <f>T38*'Cost Assumptions'!$B$5</f>
        <v>60.864730447083048</v>
      </c>
      <c r="V38" s="43">
        <f>U38*'Cost Assumptions'!$B$5</f>
        <v>62.386348708260115</v>
      </c>
      <c r="W38" s="43">
        <f>V38*'Cost Assumptions'!$B$5</f>
        <v>63.946007425966613</v>
      </c>
      <c r="X38" s="43">
        <f>W38*'Cost Assumptions'!$B$5</f>
        <v>65.544657611615776</v>
      </c>
      <c r="Y38" s="43">
        <f>X38*'Cost Assumptions'!$B$5</f>
        <v>67.183274051906167</v>
      </c>
      <c r="Z38" s="43">
        <f>Y38*'Cost Assumptions'!$B$5</f>
        <v>68.862855903203823</v>
      </c>
      <c r="AA38" s="43">
        <f>Z38*'Cost Assumptions'!$B$5</f>
        <v>70.584427300783915</v>
      </c>
      <c r="AB38" s="43">
        <f>AA38*'Cost Assumptions'!$B$5</f>
        <v>72.349037983303504</v>
      </c>
      <c r="AC38" s="43">
        <f>AB38*'Cost Assumptions'!$B$5</f>
        <v>74.157763932886084</v>
      </c>
      <c r="AD38" s="43">
        <f>AC38*'Cost Assumptions'!$B$5</f>
        <v>76.011708031208229</v>
      </c>
    </row>
    <row r="39" spans="1:30" x14ac:dyDescent="0.35">
      <c r="A39" s="88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ht="18.5" x14ac:dyDescent="0.45">
      <c r="A40" s="88"/>
      <c r="B40" s="84" t="s">
        <v>150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ht="20" thickBot="1" x14ac:dyDescent="0.5">
      <c r="A41" s="117"/>
      <c r="B41" s="128" t="s">
        <v>151</v>
      </c>
      <c r="C41" s="117" t="s">
        <v>118</v>
      </c>
      <c r="D41" s="117">
        <v>2022</v>
      </c>
      <c r="E41" s="117">
        <v>2023</v>
      </c>
      <c r="F41" s="117">
        <v>2024</v>
      </c>
      <c r="G41" s="117">
        <v>2025</v>
      </c>
      <c r="H41" s="117">
        <v>2026</v>
      </c>
      <c r="I41" s="117">
        <v>2027</v>
      </c>
      <c r="J41" s="117">
        <v>2028</v>
      </c>
      <c r="K41" s="117">
        <v>2029</v>
      </c>
      <c r="L41" s="117">
        <v>2030</v>
      </c>
      <c r="M41" s="117">
        <v>2031</v>
      </c>
      <c r="N41" s="117">
        <v>2032</v>
      </c>
      <c r="O41" s="117">
        <v>2033</v>
      </c>
      <c r="P41" s="117">
        <v>2034</v>
      </c>
      <c r="Q41" s="117">
        <v>2035</v>
      </c>
      <c r="R41" s="117">
        <v>2036</v>
      </c>
      <c r="S41" s="117">
        <v>2037</v>
      </c>
      <c r="T41" s="117">
        <v>2038</v>
      </c>
      <c r="U41" s="117">
        <v>2039</v>
      </c>
      <c r="V41" s="117">
        <v>2040</v>
      </c>
      <c r="W41" s="117">
        <v>2041</v>
      </c>
      <c r="X41" s="117">
        <v>2042</v>
      </c>
      <c r="Y41" s="117">
        <v>2043</v>
      </c>
      <c r="Z41" s="117">
        <v>2044</v>
      </c>
      <c r="AA41" s="117">
        <v>2045</v>
      </c>
      <c r="AB41" s="117">
        <v>2046</v>
      </c>
      <c r="AC41" s="117">
        <v>2047</v>
      </c>
      <c r="AD41" s="117">
        <v>2048</v>
      </c>
    </row>
    <row r="42" spans="1:30" ht="15" thickTop="1" x14ac:dyDescent="0.35">
      <c r="A42" s="5">
        <f>SUM(D42:AD42)</f>
        <v>277608.08382352092</v>
      </c>
      <c r="B42" s="17">
        <f>NPV('Cost Assumptions'!$B$3,'Alberhill System Project'!D42:'Alberhill System Project'!AD42)</f>
        <v>90383.771026891103</v>
      </c>
      <c r="C42" s="12" t="s">
        <v>120</v>
      </c>
      <c r="D42" s="63">
        <f t="shared" ref="D42:AD42" si="18">D2-D18</f>
        <v>9046.1882352936518</v>
      </c>
      <c r="E42" s="63">
        <f t="shared" si="18"/>
        <v>9141.2338235289571</v>
      </c>
      <c r="F42" s="63">
        <f t="shared" si="18"/>
        <v>9236.2794117642625</v>
      </c>
      <c r="G42" s="63">
        <f t="shared" si="18"/>
        <v>9331.3249999995678</v>
      </c>
      <c r="H42" s="63">
        <f t="shared" si="18"/>
        <v>9426.3705882348731</v>
      </c>
      <c r="I42" s="63">
        <f t="shared" si="18"/>
        <v>9521.4161764701785</v>
      </c>
      <c r="J42" s="63">
        <f t="shared" si="18"/>
        <v>9616.4617647054838</v>
      </c>
      <c r="K42" s="63">
        <f t="shared" si="18"/>
        <v>9711.5073529407891</v>
      </c>
      <c r="L42" s="63">
        <f t="shared" si="18"/>
        <v>9806.5529411760945</v>
      </c>
      <c r="M42" s="63">
        <f t="shared" si="18"/>
        <v>9901.5985294113998</v>
      </c>
      <c r="N42" s="63">
        <f t="shared" si="18"/>
        <v>9996.6441176467051</v>
      </c>
      <c r="O42" s="63">
        <f t="shared" si="18"/>
        <v>10091.68970588201</v>
      </c>
      <c r="P42" s="63">
        <f t="shared" si="18"/>
        <v>10186.735294117316</v>
      </c>
      <c r="Q42" s="63">
        <f t="shared" si="18"/>
        <v>10281.780882352621</v>
      </c>
      <c r="R42" s="63">
        <f t="shared" si="18"/>
        <v>10376.826470587926</v>
      </c>
      <c r="S42" s="63">
        <f t="shared" si="18"/>
        <v>10471.872058823232</v>
      </c>
      <c r="T42" s="63">
        <f t="shared" si="18"/>
        <v>10566.917647058537</v>
      </c>
      <c r="U42" s="63">
        <f t="shared" si="18"/>
        <v>10661.963235293842</v>
      </c>
      <c r="V42" s="63">
        <f t="shared" si="18"/>
        <v>10757.008823529148</v>
      </c>
      <c r="W42" s="63">
        <f t="shared" si="18"/>
        <v>10852.054411764453</v>
      </c>
      <c r="X42" s="63">
        <f t="shared" si="18"/>
        <v>10947.099999999758</v>
      </c>
      <c r="Y42" s="63">
        <f t="shared" si="18"/>
        <v>11042.145588235064</v>
      </c>
      <c r="Z42" s="63">
        <f t="shared" si="18"/>
        <v>11137.191176470369</v>
      </c>
      <c r="AA42" s="63">
        <f t="shared" si="18"/>
        <v>11232.236764705674</v>
      </c>
      <c r="AB42" s="63">
        <f t="shared" si="18"/>
        <v>11327.28235294098</v>
      </c>
      <c r="AC42" s="63">
        <f t="shared" si="18"/>
        <v>11422.327941176285</v>
      </c>
      <c r="AD42" s="63">
        <f t="shared" si="18"/>
        <v>11517.373529411663</v>
      </c>
    </row>
    <row r="43" spans="1:30" x14ac:dyDescent="0.35">
      <c r="A43" s="5">
        <f>SUM(D43:AD43)</f>
        <v>15806446.901672015</v>
      </c>
      <c r="B43" s="17">
        <f>NPV('Cost Assumptions'!$B$3,'Alberhill System Project'!D43:'Alberhill System Project'!AD43)</f>
        <v>4494322.1866402365</v>
      </c>
      <c r="C43" s="12" t="s">
        <v>152</v>
      </c>
      <c r="D43" s="63">
        <f>D42*D38</f>
        <v>361847.52941174607</v>
      </c>
      <c r="E43" s="63">
        <f>E42*E38</f>
        <v>374790.58676468726</v>
      </c>
      <c r="F43" s="63">
        <f t="shared" ref="F43:AD43" si="19">F42*F38</f>
        <v>388154.6422793931</v>
      </c>
      <c r="G43" s="63">
        <f t="shared" si="19"/>
        <v>401952.65645310632</v>
      </c>
      <c r="H43" s="63">
        <f t="shared" si="19"/>
        <v>416197.97468408063</v>
      </c>
      <c r="I43" s="63">
        <f t="shared" si="19"/>
        <v>430904.33841632039</v>
      </c>
      <c r="J43" s="63">
        <f t="shared" si="19"/>
        <v>446085.89660099457</v>
      </c>
      <c r="K43" s="63">
        <f t="shared" si="19"/>
        <v>461757.21748339233</v>
      </c>
      <c r="L43" s="63">
        <f t="shared" si="19"/>
        <v>477933.30072453432</v>
      </c>
      <c r="M43" s="63">
        <f t="shared" si="19"/>
        <v>494629.58986680629</v>
      </c>
      <c r="N43" s="63">
        <f t="shared" si="19"/>
        <v>511861.98515323899</v>
      </c>
      <c r="O43" s="63">
        <f t="shared" si="19"/>
        <v>529646.85671032651</v>
      </c>
      <c r="P43" s="63">
        <f t="shared" si="19"/>
        <v>548001.05810454779</v>
      </c>
      <c r="Q43" s="63">
        <f t="shared" si="19"/>
        <v>566941.94028303609</v>
      </c>
      <c r="R43" s="63">
        <f t="shared" si="19"/>
        <v>586487.36590913346</v>
      </c>
      <c r="S43" s="63">
        <f t="shared" si="19"/>
        <v>606655.72410385881</v>
      </c>
      <c r="T43" s="63">
        <f t="shared" si="19"/>
        <v>627465.94560462725</v>
      </c>
      <c r="U43" s="63">
        <f t="shared" si="19"/>
        <v>648937.5183528692</v>
      </c>
      <c r="V43" s="63">
        <f t="shared" si="19"/>
        <v>671090.5035225203</v>
      </c>
      <c r="W43" s="63">
        <f t="shared" si="19"/>
        <v>693945.55200168351</v>
      </c>
      <c r="X43" s="63">
        <f t="shared" si="19"/>
        <v>717523.92134010326</v>
      </c>
      <c r="Y43" s="63">
        <f t="shared" si="19"/>
        <v>741847.49317544291</v>
      </c>
      <c r="Z43" s="63">
        <f t="shared" si="19"/>
        <v>766938.79115171207</v>
      </c>
      <c r="AA43" s="63">
        <f t="shared" si="19"/>
        <v>792820.99934355996</v>
      </c>
      <c r="AB43" s="63">
        <f t="shared" si="19"/>
        <v>819517.98120053043</v>
      </c>
      <c r="AC43" s="63">
        <f t="shared" si="19"/>
        <v>847054.29902575968</v>
      </c>
      <c r="AD43" s="63">
        <f t="shared" si="19"/>
        <v>875455.23400400556</v>
      </c>
    </row>
    <row r="44" spans="1:30" x14ac:dyDescent="0.35">
      <c r="A44" s="5">
        <f>SUM(D44:AD44)/1000</f>
        <v>20.6493</v>
      </c>
      <c r="B44" s="17">
        <f>NPV('Cost Assumptions'!$B$3,'Alberhill System Project'!D44:'Alberhill System Project'!AD44)</f>
        <v>2942.7422813102012</v>
      </c>
      <c r="C44" s="12" t="s">
        <v>31</v>
      </c>
      <c r="D44" s="63">
        <f t="shared" ref="D44:AD44" si="20">D3-D19</f>
        <v>10</v>
      </c>
      <c r="E44" s="63">
        <f t="shared" si="20"/>
        <v>20.5</v>
      </c>
      <c r="F44" s="63">
        <f t="shared" si="20"/>
        <v>29.879999999999995</v>
      </c>
      <c r="G44" s="63">
        <f t="shared" si="20"/>
        <v>39.259999999999991</v>
      </c>
      <c r="H44" s="63">
        <f t="shared" si="20"/>
        <v>48.639999999999986</v>
      </c>
      <c r="I44" s="63">
        <f t="shared" si="20"/>
        <v>58.019999999999982</v>
      </c>
      <c r="J44" s="63">
        <f t="shared" si="20"/>
        <v>67.399999999999977</v>
      </c>
      <c r="K44" s="63">
        <f t="shared" si="20"/>
        <v>91.449999999999989</v>
      </c>
      <c r="L44" s="63">
        <f t="shared" si="20"/>
        <v>115.5</v>
      </c>
      <c r="M44" s="63">
        <f t="shared" si="20"/>
        <v>139.55000000000001</v>
      </c>
      <c r="N44" s="63">
        <f t="shared" si="20"/>
        <v>163.6</v>
      </c>
      <c r="O44" s="63">
        <f t="shared" si="20"/>
        <v>249.4666666666667</v>
      </c>
      <c r="P44" s="63">
        <f t="shared" si="20"/>
        <v>335.33333333333337</v>
      </c>
      <c r="Q44" s="63">
        <f t="shared" si="20"/>
        <v>421.20000000000005</v>
      </c>
      <c r="R44" s="63">
        <f t="shared" si="20"/>
        <v>507.06666666666672</v>
      </c>
      <c r="S44" s="63">
        <f t="shared" si="20"/>
        <v>592.93333333333339</v>
      </c>
      <c r="T44" s="63">
        <f t="shared" si="20"/>
        <v>658.10000000000014</v>
      </c>
      <c r="U44" s="63">
        <f t="shared" si="20"/>
        <v>859.84000000000015</v>
      </c>
      <c r="V44" s="63">
        <f t="shared" si="20"/>
        <v>1061.5800000000002</v>
      </c>
      <c r="W44" s="63">
        <f t="shared" si="20"/>
        <v>1263.3200000000002</v>
      </c>
      <c r="X44" s="63">
        <f t="shared" si="20"/>
        <v>1465.0600000000002</v>
      </c>
      <c r="Y44" s="63">
        <f t="shared" si="20"/>
        <v>1511.5</v>
      </c>
      <c r="Z44" s="63">
        <f t="shared" si="20"/>
        <v>1738.83</v>
      </c>
      <c r="AA44" s="63">
        <f t="shared" si="20"/>
        <v>1966.1599999999999</v>
      </c>
      <c r="AB44" s="63">
        <f t="shared" si="20"/>
        <v>2193.4899999999998</v>
      </c>
      <c r="AC44" s="63">
        <f t="shared" si="20"/>
        <v>2420.8200000000002</v>
      </c>
      <c r="AD44" s="63">
        <f t="shared" si="20"/>
        <v>2620.8000000000002</v>
      </c>
    </row>
    <row r="45" spans="1:30" x14ac:dyDescent="0.35">
      <c r="A45" s="5">
        <f t="shared" ref="A45:A56" si="21">SUM(D45:AD45)/1000</f>
        <v>0.60115000000000007</v>
      </c>
      <c r="B45" s="17">
        <f>NPV('Cost Assumptions'!$B$3,'Alberhill System Project'!D45:'Alberhill System Project'!AD45)</f>
        <v>132.91738933805431</v>
      </c>
      <c r="C45" s="12" t="s">
        <v>32</v>
      </c>
      <c r="D45" s="63">
        <f t="shared" ref="D45:AD45" si="22">D4-D20</f>
        <v>2</v>
      </c>
      <c r="E45" s="63">
        <f t="shared" si="22"/>
        <v>3</v>
      </c>
      <c r="F45" s="63">
        <f t="shared" si="22"/>
        <v>4.6799999999999953</v>
      </c>
      <c r="G45" s="63">
        <f t="shared" si="22"/>
        <v>6.3599999999999905</v>
      </c>
      <c r="H45" s="63">
        <f t="shared" si="22"/>
        <v>8.0399999999999867</v>
      </c>
      <c r="I45" s="63">
        <f t="shared" si="22"/>
        <v>9.7199999999999829</v>
      </c>
      <c r="J45" s="63">
        <f t="shared" si="22"/>
        <v>11.399999999999977</v>
      </c>
      <c r="K45" s="63">
        <f t="shared" si="22"/>
        <v>13.199999999999989</v>
      </c>
      <c r="L45" s="63">
        <f t="shared" si="22"/>
        <v>15</v>
      </c>
      <c r="M45" s="63">
        <f t="shared" si="22"/>
        <v>16.800000000000011</v>
      </c>
      <c r="N45" s="63">
        <f t="shared" si="22"/>
        <v>18.600000000000023</v>
      </c>
      <c r="O45" s="63">
        <f t="shared" si="22"/>
        <v>21.350000000000023</v>
      </c>
      <c r="P45" s="63">
        <f t="shared" si="22"/>
        <v>24.100000000000023</v>
      </c>
      <c r="Q45" s="63">
        <f t="shared" si="22"/>
        <v>26.850000000000023</v>
      </c>
      <c r="R45" s="63">
        <f t="shared" si="22"/>
        <v>29.600000000000023</v>
      </c>
      <c r="S45" s="63">
        <f t="shared" si="22"/>
        <v>32.350000000000023</v>
      </c>
      <c r="T45" s="63">
        <f t="shared" si="22"/>
        <v>27.400000000000034</v>
      </c>
      <c r="U45" s="63">
        <f t="shared" si="22"/>
        <v>27.680000000000025</v>
      </c>
      <c r="V45" s="63">
        <f t="shared" si="22"/>
        <v>27.960000000000015</v>
      </c>
      <c r="W45" s="63">
        <f t="shared" si="22"/>
        <v>28.240000000000006</v>
      </c>
      <c r="X45" s="63">
        <f t="shared" si="22"/>
        <v>28.519999999999996</v>
      </c>
      <c r="Y45" s="63">
        <f t="shared" si="22"/>
        <v>28.799999999999997</v>
      </c>
      <c r="Z45" s="63">
        <f t="shared" si="22"/>
        <v>31.79</v>
      </c>
      <c r="AA45" s="63">
        <f t="shared" si="22"/>
        <v>34.78</v>
      </c>
      <c r="AB45" s="63">
        <f t="shared" si="22"/>
        <v>37.770000000000003</v>
      </c>
      <c r="AC45" s="63">
        <f t="shared" si="22"/>
        <v>40.760000000000005</v>
      </c>
      <c r="AD45" s="63">
        <f t="shared" si="22"/>
        <v>44.400000000000006</v>
      </c>
    </row>
    <row r="46" spans="1:30" x14ac:dyDescent="0.35">
      <c r="A46" s="5">
        <f t="shared" si="21"/>
        <v>1.3442659949825619</v>
      </c>
      <c r="B46" s="17">
        <f>NPV('Cost Assumptions'!$B$3,'Alberhill System Project'!D46:'Alberhill System Project'!AD46)</f>
        <v>155.85848000885468</v>
      </c>
      <c r="C46" s="12" t="s">
        <v>33</v>
      </c>
      <c r="D46" s="63">
        <f t="shared" ref="D46:AD46" si="23">D5-D21</f>
        <v>8.4812112193331513E-2</v>
      </c>
      <c r="E46" s="63">
        <f t="shared" si="23"/>
        <v>0.24283371212350299</v>
      </c>
      <c r="F46" s="63">
        <f t="shared" si="23"/>
        <v>0.34046276046663143</v>
      </c>
      <c r="G46" s="63">
        <f t="shared" si="23"/>
        <v>0.43809180880975984</v>
      </c>
      <c r="H46" s="63">
        <f t="shared" si="23"/>
        <v>0.53572085715288831</v>
      </c>
      <c r="I46" s="63">
        <f t="shared" si="23"/>
        <v>0.63334990549601677</v>
      </c>
      <c r="J46" s="63">
        <f t="shared" si="23"/>
        <v>0.73097895383914513</v>
      </c>
      <c r="K46" s="63">
        <f t="shared" si="23"/>
        <v>1.1654530565649843</v>
      </c>
      <c r="L46" s="63">
        <f t="shared" si="23"/>
        <v>1.5999271592908235</v>
      </c>
      <c r="M46" s="63">
        <f t="shared" si="23"/>
        <v>2.0344012620166625</v>
      </c>
      <c r="N46" s="63">
        <f t="shared" si="23"/>
        <v>2.4688753647425017</v>
      </c>
      <c r="O46" s="63">
        <f t="shared" si="23"/>
        <v>6.1188246067013257</v>
      </c>
      <c r="P46" s="63">
        <f t="shared" si="23"/>
        <v>9.7687738486601496</v>
      </c>
      <c r="Q46" s="63">
        <f t="shared" si="23"/>
        <v>13.418723090618974</v>
      </c>
      <c r="R46" s="63">
        <f t="shared" si="23"/>
        <v>17.068672332577798</v>
      </c>
      <c r="S46" s="63">
        <f t="shared" si="23"/>
        <v>20.718621574536623</v>
      </c>
      <c r="T46" s="63">
        <f t="shared" si="23"/>
        <v>24.159132059812066</v>
      </c>
      <c r="U46" s="63">
        <f t="shared" si="23"/>
        <v>37.542003785026296</v>
      </c>
      <c r="V46" s="63">
        <f t="shared" si="23"/>
        <v>50.924875510240526</v>
      </c>
      <c r="W46" s="63">
        <f t="shared" si="23"/>
        <v>64.307747235454755</v>
      </c>
      <c r="X46" s="63">
        <f t="shared" si="23"/>
        <v>77.690618960668985</v>
      </c>
      <c r="Y46" s="63">
        <f t="shared" si="23"/>
        <v>91.073490685883215</v>
      </c>
      <c r="Z46" s="63">
        <f t="shared" si="23"/>
        <v>122.28203868194353</v>
      </c>
      <c r="AA46" s="63">
        <f t="shared" si="23"/>
        <v>153.49058667800384</v>
      </c>
      <c r="AB46" s="63">
        <f t="shared" si="23"/>
        <v>184.69913467406414</v>
      </c>
      <c r="AC46" s="63">
        <f t="shared" si="23"/>
        <v>215.90768267012447</v>
      </c>
      <c r="AD46" s="63">
        <f t="shared" si="23"/>
        <v>244.82016163554906</v>
      </c>
    </row>
    <row r="47" spans="1:30" x14ac:dyDescent="0.35">
      <c r="A47" s="5">
        <f t="shared" si="21"/>
        <v>1.6270810584262184E-2</v>
      </c>
      <c r="B47" s="17">
        <f>NPV('Cost Assumptions'!$B$3,'Alberhill System Project'!D47:'Alberhill System Project'!AD47)</f>
        <v>2.3432448744234167</v>
      </c>
      <c r="C47" s="12" t="s">
        <v>34</v>
      </c>
      <c r="D47" s="63">
        <f t="shared" ref="D47:AD47" si="24">D6-D22</f>
        <v>6.0580080138093939E-3</v>
      </c>
      <c r="E47" s="63">
        <f t="shared" si="24"/>
        <v>1.7771756236396739E-2</v>
      </c>
      <c r="F47" s="63">
        <f t="shared" si="24"/>
        <v>2.504677784712513E-2</v>
      </c>
      <c r="G47" s="63">
        <f t="shared" si="24"/>
        <v>3.2321799457853517E-2</v>
      </c>
      <c r="H47" s="63">
        <f t="shared" si="24"/>
        <v>3.9596821068581908E-2</v>
      </c>
      <c r="I47" s="63">
        <f t="shared" si="24"/>
        <v>4.6871842679310299E-2</v>
      </c>
      <c r="J47" s="63">
        <f t="shared" si="24"/>
        <v>5.414686429003869E-2</v>
      </c>
      <c r="K47" s="63">
        <f t="shared" si="24"/>
        <v>7.3798800432577555E-2</v>
      </c>
      <c r="L47" s="63">
        <f t="shared" si="24"/>
        <v>9.3450736575116419E-2</v>
      </c>
      <c r="M47" s="63">
        <f t="shared" si="24"/>
        <v>0.11310267271765528</v>
      </c>
      <c r="N47" s="63">
        <f t="shared" si="24"/>
        <v>0.13275460886019416</v>
      </c>
      <c r="O47" s="63">
        <f t="shared" si="24"/>
        <v>0.20937705636327303</v>
      </c>
      <c r="P47" s="63">
        <f t="shared" si="24"/>
        <v>0.28599950386635192</v>
      </c>
      <c r="Q47" s="63">
        <f t="shared" si="24"/>
        <v>0.36262195136943082</v>
      </c>
      <c r="R47" s="63">
        <f t="shared" si="24"/>
        <v>0.43924439887250971</v>
      </c>
      <c r="S47" s="63">
        <f t="shared" si="24"/>
        <v>0.51586684637558855</v>
      </c>
      <c r="T47" s="63">
        <f t="shared" si="24"/>
        <v>0.54012960470782201</v>
      </c>
      <c r="U47" s="63">
        <f t="shared" si="24"/>
        <v>0.67204085835760885</v>
      </c>
      <c r="V47" s="63">
        <f t="shared" si="24"/>
        <v>0.80395211200739569</v>
      </c>
      <c r="W47" s="63">
        <f t="shared" si="24"/>
        <v>0.93586336565718242</v>
      </c>
      <c r="X47" s="63">
        <f t="shared" si="24"/>
        <v>1.0677746193069693</v>
      </c>
      <c r="Y47" s="63">
        <f t="shared" si="24"/>
        <v>1.1996858729567561</v>
      </c>
      <c r="Z47" s="63">
        <f t="shared" si="24"/>
        <v>1.3780333753705369</v>
      </c>
      <c r="AA47" s="63">
        <f t="shared" si="24"/>
        <v>1.5563808777843178</v>
      </c>
      <c r="AB47" s="63">
        <f t="shared" si="24"/>
        <v>1.7347283801980984</v>
      </c>
      <c r="AC47" s="63">
        <f t="shared" si="24"/>
        <v>1.913075882611879</v>
      </c>
      <c r="AD47" s="63">
        <f t="shared" si="24"/>
        <v>2.0211151902778015</v>
      </c>
    </row>
    <row r="48" spans="1:30" x14ac:dyDescent="0.35">
      <c r="A48" s="5">
        <f t="shared" si="21"/>
        <v>1.907</v>
      </c>
      <c r="B48" s="17">
        <f>NPV('Cost Assumptions'!$B$3,'Alberhill System Project'!D48:'Alberhill System Project'!AD48)</f>
        <v>420.60748866649169</v>
      </c>
      <c r="C48" s="12" t="s">
        <v>35</v>
      </c>
      <c r="D48" s="63">
        <f t="shared" ref="D48:AD48" si="25">D7-D23</f>
        <v>14</v>
      </c>
      <c r="E48" s="63">
        <f t="shared" si="25"/>
        <v>21</v>
      </c>
      <c r="F48" s="63">
        <f t="shared" si="25"/>
        <v>23.2</v>
      </c>
      <c r="G48" s="63">
        <f t="shared" si="25"/>
        <v>25.4</v>
      </c>
      <c r="H48" s="63">
        <f t="shared" si="25"/>
        <v>27.599999999999998</v>
      </c>
      <c r="I48" s="63">
        <f t="shared" si="25"/>
        <v>29.799999999999997</v>
      </c>
      <c r="J48" s="63">
        <f t="shared" si="25"/>
        <v>32</v>
      </c>
      <c r="K48" s="63">
        <f t="shared" si="25"/>
        <v>35.75</v>
      </c>
      <c r="L48" s="63">
        <f t="shared" si="25"/>
        <v>39.5</v>
      </c>
      <c r="M48" s="63">
        <f t="shared" si="25"/>
        <v>43.25</v>
      </c>
      <c r="N48" s="63">
        <f t="shared" si="25"/>
        <v>47</v>
      </c>
      <c r="O48" s="63">
        <f t="shared" si="25"/>
        <v>53.833333333333336</v>
      </c>
      <c r="P48" s="63">
        <f t="shared" si="25"/>
        <v>60.666666666666671</v>
      </c>
      <c r="Q48" s="63">
        <f t="shared" si="25"/>
        <v>67.5</v>
      </c>
      <c r="R48" s="63">
        <f t="shared" si="25"/>
        <v>74.333333333333329</v>
      </c>
      <c r="S48" s="63">
        <f t="shared" si="25"/>
        <v>81.166666666666657</v>
      </c>
      <c r="T48" s="63">
        <f t="shared" si="25"/>
        <v>84</v>
      </c>
      <c r="U48" s="63">
        <f t="shared" si="25"/>
        <v>89.600000000000009</v>
      </c>
      <c r="V48" s="63">
        <f t="shared" si="25"/>
        <v>95.200000000000017</v>
      </c>
      <c r="W48" s="63">
        <f t="shared" si="25"/>
        <v>100.80000000000001</v>
      </c>
      <c r="X48" s="63">
        <f t="shared" si="25"/>
        <v>106.40000000000002</v>
      </c>
      <c r="Y48" s="63">
        <f t="shared" si="25"/>
        <v>112</v>
      </c>
      <c r="Z48" s="63">
        <f t="shared" si="25"/>
        <v>117.6</v>
      </c>
      <c r="AA48" s="63">
        <f t="shared" si="25"/>
        <v>123.19999999999999</v>
      </c>
      <c r="AB48" s="63">
        <f t="shared" si="25"/>
        <v>128.79999999999998</v>
      </c>
      <c r="AC48" s="63">
        <f t="shared" si="25"/>
        <v>134.39999999999998</v>
      </c>
      <c r="AD48" s="63">
        <f t="shared" si="25"/>
        <v>139</v>
      </c>
    </row>
    <row r="49" spans="1:30" x14ac:dyDescent="0.35">
      <c r="A49" s="5">
        <f t="shared" si="21"/>
        <v>777.34651913216999</v>
      </c>
      <c r="B49" s="17">
        <f>NPV('Cost Assumptions'!$B$3,'Alberhill System Project'!D49:'Alberhill System Project'!AD49)</f>
        <v>179220.47581313469</v>
      </c>
      <c r="C49" s="12" t="s">
        <v>153</v>
      </c>
      <c r="D49" s="63">
        <f>D13-D24</f>
        <v>5445.825674993449</v>
      </c>
      <c r="E49" s="63">
        <f t="shared" ref="E49:AD49" si="26">E13-E24</f>
        <v>7241.293555071361</v>
      </c>
      <c r="F49" s="63">
        <f t="shared" si="26"/>
        <v>9036.7614351492721</v>
      </c>
      <c r="G49" s="63">
        <f t="shared" si="26"/>
        <v>10832.229315227183</v>
      </c>
      <c r="H49" s="63">
        <f t="shared" si="26"/>
        <v>12627.697195305094</v>
      </c>
      <c r="I49" s="63">
        <f t="shared" si="26"/>
        <v>14423.165075383005</v>
      </c>
      <c r="J49" s="63">
        <f t="shared" si="26"/>
        <v>16218.632955460916</v>
      </c>
      <c r="K49" s="63">
        <f t="shared" si="26"/>
        <v>18014.100835538829</v>
      </c>
      <c r="L49" s="63">
        <f t="shared" si="26"/>
        <v>19909.568715616701</v>
      </c>
      <c r="M49" s="63">
        <f t="shared" si="26"/>
        <v>21605.036595694652</v>
      </c>
      <c r="N49" s="63">
        <f t="shared" si="26"/>
        <v>23400.504475772563</v>
      </c>
      <c r="O49" s="63">
        <f t="shared" si="26"/>
        <v>25195.972355850474</v>
      </c>
      <c r="P49" s="63">
        <f t="shared" si="26"/>
        <v>26991.440235928385</v>
      </c>
      <c r="Q49" s="63">
        <f t="shared" si="26"/>
        <v>28786.908116006296</v>
      </c>
      <c r="R49" s="63">
        <f t="shared" si="26"/>
        <v>30582.375996084207</v>
      </c>
      <c r="S49" s="63">
        <f t="shared" si="26"/>
        <v>32377.843876162118</v>
      </c>
      <c r="T49" s="63">
        <f t="shared" si="26"/>
        <v>34173.311756240029</v>
      </c>
      <c r="U49" s="63">
        <f t="shared" si="26"/>
        <v>35968.779636317944</v>
      </c>
      <c r="V49" s="63">
        <f t="shared" si="26"/>
        <v>37764.247516395859</v>
      </c>
      <c r="W49" s="63">
        <f t="shared" si="26"/>
        <v>39559.715396473774</v>
      </c>
      <c r="X49" s="63">
        <f t="shared" si="26"/>
        <v>41355.183276551688</v>
      </c>
      <c r="Y49" s="63">
        <f t="shared" si="26"/>
        <v>43150.651156629603</v>
      </c>
      <c r="Z49" s="63">
        <f t="shared" si="26"/>
        <v>44946.119036707518</v>
      </c>
      <c r="AA49" s="63">
        <f t="shared" si="26"/>
        <v>46741.586916785433</v>
      </c>
      <c r="AB49" s="63">
        <f t="shared" si="26"/>
        <v>48537.054796863347</v>
      </c>
      <c r="AC49" s="63">
        <f t="shared" si="26"/>
        <v>50332.522676941262</v>
      </c>
      <c r="AD49" s="63">
        <f t="shared" si="26"/>
        <v>52127.990557019155</v>
      </c>
    </row>
    <row r="50" spans="1:30" x14ac:dyDescent="0.35">
      <c r="A50" s="5">
        <f t="shared" si="21"/>
        <v>5426.2386485677389</v>
      </c>
      <c r="B50" s="17">
        <f>NPV('Cost Assumptions'!$B$3,'Alberhill System Project'!D50:'Alberhill System Project'!AD50)</f>
        <v>1797044.0534312564</v>
      </c>
      <c r="C50" s="12" t="s">
        <v>154</v>
      </c>
      <c r="D50" s="63">
        <f t="shared" ref="D50:AD50" si="27">D14-D25</f>
        <v>185054.7616594283</v>
      </c>
      <c r="E50" s="63">
        <f t="shared" si="27"/>
        <v>186903.58885089308</v>
      </c>
      <c r="F50" s="63">
        <f t="shared" si="27"/>
        <v>187776.97588223766</v>
      </c>
      <c r="G50" s="63">
        <f t="shared" si="27"/>
        <v>188669.81843004882</v>
      </c>
      <c r="H50" s="63">
        <f t="shared" si="27"/>
        <v>189601.17966255563</v>
      </c>
      <c r="I50" s="63">
        <f t="shared" si="27"/>
        <v>190664.9235959755</v>
      </c>
      <c r="J50" s="63">
        <f t="shared" si="27"/>
        <v>191723.99267653367</v>
      </c>
      <c r="K50" s="63">
        <f t="shared" si="27"/>
        <v>193028.856724098</v>
      </c>
      <c r="L50" s="63">
        <f t="shared" si="27"/>
        <v>194336.42758490579</v>
      </c>
      <c r="M50" s="63">
        <f t="shared" si="27"/>
        <v>195696.86739658273</v>
      </c>
      <c r="N50" s="63">
        <f t="shared" si="27"/>
        <v>197069.65413189467</v>
      </c>
      <c r="O50" s="63">
        <f t="shared" si="27"/>
        <v>198454.18059391945</v>
      </c>
      <c r="P50" s="63">
        <f t="shared" si="27"/>
        <v>199844.30789797037</v>
      </c>
      <c r="Q50" s="63">
        <f t="shared" si="27"/>
        <v>201196.42808022408</v>
      </c>
      <c r="R50" s="63">
        <f t="shared" si="27"/>
        <v>202556.28664740652</v>
      </c>
      <c r="S50" s="63">
        <f t="shared" si="27"/>
        <v>203917.94625196024</v>
      </c>
      <c r="T50" s="63">
        <f t="shared" si="27"/>
        <v>205281.23438148116</v>
      </c>
      <c r="U50" s="63">
        <f t="shared" si="27"/>
        <v>206520.88318733787</v>
      </c>
      <c r="V50" s="63">
        <f t="shared" si="27"/>
        <v>207750.66941525211</v>
      </c>
      <c r="W50" s="63">
        <f t="shared" si="27"/>
        <v>208968.9168006822</v>
      </c>
      <c r="X50" s="63">
        <f t="shared" si="27"/>
        <v>210185.56655098282</v>
      </c>
      <c r="Y50" s="63">
        <f t="shared" si="27"/>
        <v>211217.2837441818</v>
      </c>
      <c r="Z50" s="63">
        <f t="shared" si="27"/>
        <v>212217.09330728822</v>
      </c>
      <c r="AA50" s="63">
        <f t="shared" si="27"/>
        <v>213182.81721158556</v>
      </c>
      <c r="AB50" s="63">
        <f t="shared" si="27"/>
        <v>214121.03091953148</v>
      </c>
      <c r="AC50" s="63">
        <f t="shared" si="27"/>
        <v>214828.10548206177</v>
      </c>
      <c r="AD50" s="63">
        <f t="shared" si="27"/>
        <v>215468.85150071976</v>
      </c>
    </row>
    <row r="51" spans="1:30" s="62" customFormat="1" x14ac:dyDescent="0.35">
      <c r="A51" s="5">
        <f t="shared" si="21"/>
        <v>2872.7755018271655</v>
      </c>
      <c r="B51" s="17">
        <f>NPV('Cost Assumptions'!$B$3,'Alberhill System Project'!D51:'Alberhill System Project'!AD51)</f>
        <v>786730.2969915201</v>
      </c>
      <c r="C51" s="12" t="s">
        <v>155</v>
      </c>
      <c r="D51" s="63">
        <f>D15-D26</f>
        <v>57814.1637958055</v>
      </c>
      <c r="E51" s="63">
        <f t="shared" ref="E51:AD51" si="28">E15-E26</f>
        <v>62191.746894023359</v>
      </c>
      <c r="F51" s="63">
        <f t="shared" si="28"/>
        <v>64361.105239567863</v>
      </c>
      <c r="G51" s="63">
        <f t="shared" si="28"/>
        <v>66628.501001105484</v>
      </c>
      <c r="H51" s="63">
        <f t="shared" si="28"/>
        <v>69068.22672153436</v>
      </c>
      <c r="I51" s="63">
        <f t="shared" si="28"/>
        <v>71918.961016641551</v>
      </c>
      <c r="J51" s="63">
        <f t="shared" si="28"/>
        <v>74820.679205256296</v>
      </c>
      <c r="K51" s="63">
        <f t="shared" si="28"/>
        <v>78496.839307291273</v>
      </c>
      <c r="L51" s="63">
        <f t="shared" si="28"/>
        <v>82309.216023114539</v>
      </c>
      <c r="M51" s="63">
        <f t="shared" si="28"/>
        <v>86348.347303552597</v>
      </c>
      <c r="N51" s="63">
        <f t="shared" si="28"/>
        <v>90544.748479623348</v>
      </c>
      <c r="O51" s="63">
        <f t="shared" si="28"/>
        <v>94913.207014780099</v>
      </c>
      <c r="P51" s="63">
        <f t="shared" si="28"/>
        <v>99465.734517678065</v>
      </c>
      <c r="Q51" s="63">
        <f t="shared" si="28"/>
        <v>104037.4077761966</v>
      </c>
      <c r="R51" s="63">
        <f t="shared" si="28"/>
        <v>108760.58254466523</v>
      </c>
      <c r="S51" s="63">
        <f t="shared" si="28"/>
        <v>113603.99735013851</v>
      </c>
      <c r="T51" s="63">
        <f t="shared" si="28"/>
        <v>118575.88302083251</v>
      </c>
      <c r="U51" s="63">
        <f t="shared" si="28"/>
        <v>123222.71504670107</v>
      </c>
      <c r="V51" s="63">
        <f t="shared" si="28"/>
        <v>127936.80258496582</v>
      </c>
      <c r="W51" s="63">
        <f t="shared" si="28"/>
        <v>132678.06823099439</v>
      </c>
      <c r="X51" s="63">
        <f t="shared" si="28"/>
        <v>137482.70435283202</v>
      </c>
      <c r="Y51" s="63">
        <f t="shared" si="28"/>
        <v>141652.23908661067</v>
      </c>
      <c r="Z51" s="63">
        <f t="shared" si="28"/>
        <v>145777.75884041478</v>
      </c>
      <c r="AA51" s="63">
        <f t="shared" si="28"/>
        <v>149817.83772935401</v>
      </c>
      <c r="AB51" s="63">
        <f t="shared" si="28"/>
        <v>153794.90604943669</v>
      </c>
      <c r="AC51" s="63">
        <f t="shared" si="28"/>
        <v>156868.5105116434</v>
      </c>
      <c r="AD51" s="63">
        <f t="shared" si="28"/>
        <v>159684.61218240598</v>
      </c>
    </row>
    <row r="52" spans="1:30" x14ac:dyDescent="0.35">
      <c r="A52" s="5">
        <f t="shared" si="21"/>
        <v>56.574700000000007</v>
      </c>
      <c r="B52" s="17">
        <f>NPV('Cost Assumptions'!$B$3,'Alberhill System Project'!D52:'Alberhill System Project'!AD52)</f>
        <v>8657.0563129862348</v>
      </c>
      <c r="C52" s="12" t="s">
        <v>31</v>
      </c>
      <c r="D52" s="63">
        <f t="shared" ref="D52:AD52" si="29">D8-D27</f>
        <v>22.2</v>
      </c>
      <c r="E52" s="63">
        <f t="shared" si="29"/>
        <v>65.8</v>
      </c>
      <c r="F52" s="63">
        <f t="shared" si="29"/>
        <v>102.72</v>
      </c>
      <c r="G52" s="63">
        <f t="shared" si="29"/>
        <v>139.63999999999999</v>
      </c>
      <c r="H52" s="63">
        <f t="shared" si="29"/>
        <v>176.56</v>
      </c>
      <c r="I52" s="63">
        <f t="shared" si="29"/>
        <v>213.48000000000002</v>
      </c>
      <c r="J52" s="63">
        <f t="shared" si="29"/>
        <v>250.4</v>
      </c>
      <c r="K52" s="63">
        <f t="shared" si="29"/>
        <v>348.67500000000001</v>
      </c>
      <c r="L52" s="63">
        <f t="shared" si="29"/>
        <v>446.95000000000005</v>
      </c>
      <c r="M52" s="63">
        <f t="shared" si="29"/>
        <v>545.22500000000002</v>
      </c>
      <c r="N52" s="63">
        <f t="shared" si="29"/>
        <v>643.5</v>
      </c>
      <c r="O52" s="63">
        <f t="shared" si="29"/>
        <v>904.91666666666674</v>
      </c>
      <c r="P52" s="63">
        <f t="shared" si="29"/>
        <v>1166.3333333333335</v>
      </c>
      <c r="Q52" s="63">
        <f t="shared" si="29"/>
        <v>1427.7500000000002</v>
      </c>
      <c r="R52" s="63">
        <f t="shared" si="29"/>
        <v>1689.166666666667</v>
      </c>
      <c r="S52" s="63">
        <f t="shared" si="29"/>
        <v>1950.5833333333337</v>
      </c>
      <c r="T52" s="63">
        <f t="shared" si="29"/>
        <v>2212</v>
      </c>
      <c r="U52" s="63">
        <f t="shared" si="29"/>
        <v>2606.48</v>
      </c>
      <c r="V52" s="63">
        <f t="shared" si="29"/>
        <v>3000.96</v>
      </c>
      <c r="W52" s="63">
        <f t="shared" si="29"/>
        <v>3395.44</v>
      </c>
      <c r="X52" s="63">
        <f t="shared" si="29"/>
        <v>3789.92</v>
      </c>
      <c r="Y52" s="63">
        <f t="shared" si="29"/>
        <v>4184.4000000000005</v>
      </c>
      <c r="Z52" s="63">
        <f t="shared" si="29"/>
        <v>4609.4400000000005</v>
      </c>
      <c r="AA52" s="63">
        <f t="shared" si="29"/>
        <v>5034.4800000000005</v>
      </c>
      <c r="AB52" s="63">
        <f t="shared" si="29"/>
        <v>5458.52</v>
      </c>
      <c r="AC52" s="63">
        <f t="shared" si="29"/>
        <v>5882.56</v>
      </c>
      <c r="AD52" s="63">
        <f t="shared" si="29"/>
        <v>6306.5999999999985</v>
      </c>
    </row>
    <row r="53" spans="1:30" x14ac:dyDescent="0.35">
      <c r="A53" s="5">
        <f t="shared" si="21"/>
        <v>4.0526</v>
      </c>
      <c r="B53" s="17">
        <f>NPV('Cost Assumptions'!$B$3,'Alberhill System Project'!D53:'Alberhill System Project'!AD53)</f>
        <v>852.74292151983639</v>
      </c>
      <c r="C53" s="12" t="s">
        <v>32</v>
      </c>
      <c r="D53" s="63">
        <f t="shared" ref="D53:AD53" si="30">D9-D28</f>
        <v>13</v>
      </c>
      <c r="E53" s="63">
        <f t="shared" si="30"/>
        <v>27</v>
      </c>
      <c r="F53" s="63">
        <f t="shared" si="30"/>
        <v>34.519999999999982</v>
      </c>
      <c r="G53" s="63">
        <f t="shared" si="30"/>
        <v>42.039999999999964</v>
      </c>
      <c r="H53" s="63">
        <f t="shared" si="30"/>
        <v>49.559999999999945</v>
      </c>
      <c r="I53" s="63">
        <f t="shared" si="30"/>
        <v>57.079999999999927</v>
      </c>
      <c r="J53" s="63">
        <f t="shared" si="30"/>
        <v>64.599999999999909</v>
      </c>
      <c r="K53" s="63">
        <f t="shared" si="30"/>
        <v>75.024999999999935</v>
      </c>
      <c r="L53" s="63">
        <f t="shared" si="30"/>
        <v>85.44999999999996</v>
      </c>
      <c r="M53" s="63">
        <f t="shared" si="30"/>
        <v>95.874999999999986</v>
      </c>
      <c r="N53" s="63">
        <f t="shared" si="30"/>
        <v>106.3</v>
      </c>
      <c r="O53" s="63">
        <f t="shared" si="30"/>
        <v>120.25</v>
      </c>
      <c r="P53" s="63">
        <f t="shared" si="30"/>
        <v>134.19999999999999</v>
      </c>
      <c r="Q53" s="63">
        <f t="shared" si="30"/>
        <v>148.14999999999998</v>
      </c>
      <c r="R53" s="63">
        <f t="shared" si="30"/>
        <v>162.09999999999997</v>
      </c>
      <c r="S53" s="63">
        <f t="shared" si="30"/>
        <v>176.04999999999995</v>
      </c>
      <c r="T53" s="63">
        <f t="shared" si="30"/>
        <v>190</v>
      </c>
      <c r="U53" s="63">
        <f t="shared" si="30"/>
        <v>201.2</v>
      </c>
      <c r="V53" s="63">
        <f t="shared" si="30"/>
        <v>212.39999999999998</v>
      </c>
      <c r="W53" s="63">
        <f t="shared" si="30"/>
        <v>223.59999999999997</v>
      </c>
      <c r="X53" s="63">
        <f t="shared" si="30"/>
        <v>234.79999999999995</v>
      </c>
      <c r="Y53" s="63">
        <f t="shared" si="30"/>
        <v>246</v>
      </c>
      <c r="Z53" s="63">
        <f t="shared" si="30"/>
        <v>254.48000000000002</v>
      </c>
      <c r="AA53" s="63">
        <f t="shared" si="30"/>
        <v>262.96000000000004</v>
      </c>
      <c r="AB53" s="63">
        <f t="shared" si="30"/>
        <v>270.80666666666673</v>
      </c>
      <c r="AC53" s="63">
        <f t="shared" si="30"/>
        <v>278.65333333333342</v>
      </c>
      <c r="AD53" s="63">
        <f t="shared" si="30"/>
        <v>286.50000000000011</v>
      </c>
    </row>
    <row r="54" spans="1:30" x14ac:dyDescent="0.35">
      <c r="A54" s="5">
        <f t="shared" si="21"/>
        <v>3.2675742661673643</v>
      </c>
      <c r="B54" s="17">
        <f>NPV('Cost Assumptions'!$B$3,'Alberhill System Project'!D54:'Alberhill System Project'!AD54)</f>
        <v>404.22835227441522</v>
      </c>
      <c r="C54" s="12" t="s">
        <v>33</v>
      </c>
      <c r="D54" s="63">
        <f t="shared" ref="D54:AD54" si="31">D10-D29</f>
        <v>4.7253529883901121E-2</v>
      </c>
      <c r="E54" s="63">
        <f t="shared" si="31"/>
        <v>0.28011551949195379</v>
      </c>
      <c r="F54" s="63">
        <f t="shared" si="31"/>
        <v>0.59718244793816533</v>
      </c>
      <c r="G54" s="63">
        <f t="shared" si="31"/>
        <v>0.91424937638437687</v>
      </c>
      <c r="H54" s="63">
        <f t="shared" si="31"/>
        <v>1.2313163048305884</v>
      </c>
      <c r="I54" s="63">
        <f t="shared" si="31"/>
        <v>1.5483832332767999</v>
      </c>
      <c r="J54" s="63">
        <f t="shared" si="31"/>
        <v>1.8654501617230115</v>
      </c>
      <c r="K54" s="63">
        <f t="shared" si="31"/>
        <v>3.796086780774603</v>
      </c>
      <c r="L54" s="63">
        <f t="shared" si="31"/>
        <v>5.726723399826195</v>
      </c>
      <c r="M54" s="63">
        <f t="shared" si="31"/>
        <v>7.6573600188777871</v>
      </c>
      <c r="N54" s="63">
        <f t="shared" si="31"/>
        <v>9.5879966379293773</v>
      </c>
      <c r="O54" s="63">
        <f t="shared" si="31"/>
        <v>22.507331657050738</v>
      </c>
      <c r="P54" s="63">
        <f t="shared" si="31"/>
        <v>35.426666676172097</v>
      </c>
      <c r="Q54" s="63">
        <f t="shared" si="31"/>
        <v>48.346001695293459</v>
      </c>
      <c r="R54" s="63">
        <f t="shared" si="31"/>
        <v>61.265336714414822</v>
      </c>
      <c r="S54" s="63">
        <f t="shared" si="31"/>
        <v>74.184671733536177</v>
      </c>
      <c r="T54" s="63">
        <f t="shared" si="31"/>
        <v>87.10400675265754</v>
      </c>
      <c r="U54" s="63">
        <f t="shared" si="31"/>
        <v>116.88846005819971</v>
      </c>
      <c r="V54" s="63">
        <f t="shared" si="31"/>
        <v>146.67291336374188</v>
      </c>
      <c r="W54" s="63">
        <f t="shared" si="31"/>
        <v>176.45736666928406</v>
      </c>
      <c r="X54" s="63">
        <f t="shared" si="31"/>
        <v>206.24181997482623</v>
      </c>
      <c r="Y54" s="63">
        <f t="shared" si="31"/>
        <v>236.02627328036843</v>
      </c>
      <c r="Z54" s="63">
        <f t="shared" si="31"/>
        <v>292.23370851605404</v>
      </c>
      <c r="AA54" s="63">
        <f t="shared" si="31"/>
        <v>348.44114375173962</v>
      </c>
      <c r="AB54" s="63">
        <f t="shared" si="31"/>
        <v>404.64164652805118</v>
      </c>
      <c r="AC54" s="63">
        <f t="shared" si="31"/>
        <v>460.84214930436281</v>
      </c>
      <c r="AD54" s="63">
        <f t="shared" si="31"/>
        <v>517.04265208067443</v>
      </c>
    </row>
    <row r="55" spans="1:30" x14ac:dyDescent="0.35">
      <c r="A55" s="5">
        <f t="shared" si="21"/>
        <v>6.0196270151203206E-2</v>
      </c>
      <c r="B55" s="17">
        <f>NPV('Cost Assumptions'!$B$3,'Alberhill System Project'!D55:'Alberhill System Project'!AD55)</f>
        <v>9.2122595761110251</v>
      </c>
      <c r="C55" s="12" t="s">
        <v>34</v>
      </c>
      <c r="D55" s="63">
        <f t="shared" ref="D55:AD55" si="32">D11-D30</f>
        <v>2.3626764941950561E-2</v>
      </c>
      <c r="E55" s="63">
        <f t="shared" si="32"/>
        <v>7.0028879872988448E-2</v>
      </c>
      <c r="F55" s="63">
        <f t="shared" si="32"/>
        <v>0.10932167994761965</v>
      </c>
      <c r="G55" s="63">
        <f t="shared" si="32"/>
        <v>0.14861448002225086</v>
      </c>
      <c r="H55" s="63">
        <f t="shared" si="32"/>
        <v>0.18790728009688207</v>
      </c>
      <c r="I55" s="63">
        <f t="shared" si="32"/>
        <v>0.22720008017151327</v>
      </c>
      <c r="J55" s="63">
        <f t="shared" si="32"/>
        <v>0.26649288024614448</v>
      </c>
      <c r="K55" s="63">
        <f t="shared" si="32"/>
        <v>0.37108388586191865</v>
      </c>
      <c r="L55" s="63">
        <f t="shared" si="32"/>
        <v>0.47567489147769282</v>
      </c>
      <c r="M55" s="63">
        <f t="shared" si="32"/>
        <v>0.58026589709346699</v>
      </c>
      <c r="N55" s="63">
        <f t="shared" si="32"/>
        <v>0.68485690270924116</v>
      </c>
      <c r="O55" s="63">
        <f t="shared" si="32"/>
        <v>0.96307447636877097</v>
      </c>
      <c r="P55" s="63">
        <f t="shared" si="32"/>
        <v>1.2412920500283007</v>
      </c>
      <c r="Q55" s="63">
        <f t="shared" si="32"/>
        <v>1.5195096236878305</v>
      </c>
      <c r="R55" s="63">
        <f t="shared" si="32"/>
        <v>1.7977271973473603</v>
      </c>
      <c r="S55" s="63">
        <f t="shared" si="32"/>
        <v>2.0759447710068901</v>
      </c>
      <c r="T55" s="63">
        <f t="shared" si="32"/>
        <v>2.3541623446664199</v>
      </c>
      <c r="U55" s="63">
        <f t="shared" si="32"/>
        <v>2.7739950579232056</v>
      </c>
      <c r="V55" s="63">
        <f t="shared" si="32"/>
        <v>3.1938277711799912</v>
      </c>
      <c r="W55" s="63">
        <f t="shared" si="32"/>
        <v>3.6136604844367768</v>
      </c>
      <c r="X55" s="63">
        <f t="shared" si="32"/>
        <v>4.0334931976935628</v>
      </c>
      <c r="Y55" s="63">
        <f t="shared" si="32"/>
        <v>4.4533259109503485</v>
      </c>
      <c r="Z55" s="63">
        <f t="shared" si="32"/>
        <v>4.9056826754065028</v>
      </c>
      <c r="AA55" s="63">
        <f t="shared" si="32"/>
        <v>5.3580394398626572</v>
      </c>
      <c r="AB55" s="63">
        <f t="shared" si="32"/>
        <v>5.8069299746318155</v>
      </c>
      <c r="AC55" s="63">
        <f t="shared" si="32"/>
        <v>6.2558205094009747</v>
      </c>
      <c r="AD55" s="63">
        <f t="shared" si="32"/>
        <v>6.7047110441701347</v>
      </c>
    </row>
    <row r="56" spans="1:30" x14ac:dyDescent="0.35">
      <c r="A56" s="5">
        <f t="shared" si="21"/>
        <v>0.81100000000000017</v>
      </c>
      <c r="B56" s="17">
        <f>NPV('Cost Assumptions'!$B$3,'Alberhill System Project'!D56:'Alberhill System Project'!AD56)</f>
        <v>146.46661168388616</v>
      </c>
      <c r="C56" s="12" t="s">
        <v>35</v>
      </c>
      <c r="D56" s="63">
        <f t="shared" ref="D56:AD56" si="33">D12-D31</f>
        <v>2</v>
      </c>
      <c r="E56" s="63">
        <f t="shared" si="33"/>
        <v>4</v>
      </c>
      <c r="F56" s="63">
        <f t="shared" si="33"/>
        <v>4.5999999999999996</v>
      </c>
      <c r="G56" s="63">
        <f t="shared" si="33"/>
        <v>5.1999999999999993</v>
      </c>
      <c r="H56" s="63">
        <f t="shared" si="33"/>
        <v>5.7999999999999989</v>
      </c>
      <c r="I56" s="63">
        <f t="shared" si="33"/>
        <v>6.3999999999999986</v>
      </c>
      <c r="J56" s="63">
        <f t="shared" si="33"/>
        <v>7</v>
      </c>
      <c r="K56" s="63">
        <f t="shared" si="33"/>
        <v>8.75</v>
      </c>
      <c r="L56" s="63">
        <f t="shared" si="33"/>
        <v>10.5</v>
      </c>
      <c r="M56" s="63">
        <f t="shared" si="33"/>
        <v>12.25</v>
      </c>
      <c r="N56" s="63">
        <f t="shared" si="33"/>
        <v>14</v>
      </c>
      <c r="O56" s="63">
        <f t="shared" si="33"/>
        <v>17.833333333333332</v>
      </c>
      <c r="P56" s="63">
        <f t="shared" si="33"/>
        <v>21.666666666666664</v>
      </c>
      <c r="Q56" s="63">
        <f t="shared" si="33"/>
        <v>25.499999999999996</v>
      </c>
      <c r="R56" s="63">
        <f t="shared" si="33"/>
        <v>29.333333333333329</v>
      </c>
      <c r="S56" s="63">
        <f t="shared" si="33"/>
        <v>33.166666666666664</v>
      </c>
      <c r="T56" s="63">
        <f t="shared" si="33"/>
        <v>37</v>
      </c>
      <c r="U56" s="63">
        <f t="shared" si="33"/>
        <v>40.200000000000003</v>
      </c>
      <c r="V56" s="63">
        <f t="shared" si="33"/>
        <v>43.400000000000006</v>
      </c>
      <c r="W56" s="63">
        <f t="shared" si="33"/>
        <v>46.600000000000009</v>
      </c>
      <c r="X56" s="63">
        <f t="shared" si="33"/>
        <v>49.800000000000011</v>
      </c>
      <c r="Y56" s="63">
        <f t="shared" si="33"/>
        <v>53</v>
      </c>
      <c r="Z56" s="63">
        <f t="shared" si="33"/>
        <v>57.8</v>
      </c>
      <c r="AA56" s="63">
        <f t="shared" si="33"/>
        <v>62.599999999999994</v>
      </c>
      <c r="AB56" s="63">
        <f t="shared" si="33"/>
        <v>66.73333333333332</v>
      </c>
      <c r="AC56" s="63">
        <f t="shared" si="33"/>
        <v>70.86666666666666</v>
      </c>
      <c r="AD56" s="63">
        <f t="shared" si="33"/>
        <v>75</v>
      </c>
    </row>
    <row r="58" spans="1:30" ht="15" thickBot="1" x14ac:dyDescent="0.4">
      <c r="A58" s="166" t="s">
        <v>156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</row>
    <row r="59" spans="1:30" ht="15.5" thickTop="1" thickBot="1" x14ac:dyDescent="0.4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" thickTop="1" x14ac:dyDescent="0.35">
      <c r="A60" s="88" t="str">
        <f>'Baseline System Analysis'!A17</f>
        <v>Residential</v>
      </c>
      <c r="B60" s="88" t="str">
        <f>'Baseline System Analysis'!B17</f>
        <v>Cost of Reliability (N-1)</v>
      </c>
      <c r="C60" s="88" t="str">
        <f>'Baseline System Analysis'!C17</f>
        <v>$/kWh</v>
      </c>
      <c r="D60" s="5">
        <f>'Baseline System Analysis'!D17</f>
        <v>4.4933261328125003</v>
      </c>
      <c r="E60" s="5">
        <f>'Baseline System Analysis'!E17</f>
        <v>4.6056592861328127</v>
      </c>
      <c r="F60" s="5">
        <f>'Baseline System Analysis'!F17</f>
        <v>4.720800768286133</v>
      </c>
      <c r="G60" s="5">
        <f>'Baseline System Analysis'!G17</f>
        <v>4.8388207874932858</v>
      </c>
      <c r="H60" s="5">
        <f>'Baseline System Analysis'!H17</f>
        <v>4.9597913071806179</v>
      </c>
      <c r="I60" s="5">
        <f>'Baseline System Analysis'!I17</f>
        <v>5.0837860898601326</v>
      </c>
      <c r="J60" s="5">
        <f>'Baseline System Analysis'!J17</f>
        <v>5.2108807421066352</v>
      </c>
      <c r="K60" s="5">
        <f>'Baseline System Analysis'!K17</f>
        <v>5.341152760659301</v>
      </c>
      <c r="L60" s="5">
        <f>'Baseline System Analysis'!L17</f>
        <v>5.4746815796757833</v>
      </c>
      <c r="M60" s="5">
        <f>'Baseline System Analysis'!M17</f>
        <v>5.6115486191676771</v>
      </c>
      <c r="N60" s="5">
        <f>'Baseline System Analysis'!N17</f>
        <v>5.7518373346468685</v>
      </c>
      <c r="O60" s="5">
        <f>'Baseline System Analysis'!O17</f>
        <v>5.8956332680130394</v>
      </c>
      <c r="P60" s="5">
        <f>'Baseline System Analysis'!P17</f>
        <v>6.0430240997133646</v>
      </c>
      <c r="Q60" s="5">
        <f>'Baseline System Analysis'!Q17</f>
        <v>6.1940997022061985</v>
      </c>
      <c r="R60" s="5">
        <f>'Baseline System Analysis'!R17</f>
        <v>6.3489521947613525</v>
      </c>
      <c r="S60" s="5">
        <f>'Baseline System Analysis'!S17</f>
        <v>6.5076759996303855</v>
      </c>
      <c r="T60" s="5">
        <f>'Baseline System Analysis'!T17</f>
        <v>6.6703678996211444</v>
      </c>
      <c r="U60" s="5">
        <f>'Baseline System Analysis'!U17</f>
        <v>6.8371270971116722</v>
      </c>
      <c r="V60" s="5">
        <f>'Baseline System Analysis'!V17</f>
        <v>7.0080552745394638</v>
      </c>
      <c r="W60" s="5">
        <f>'Baseline System Analysis'!W17</f>
        <v>7.1832566564029499</v>
      </c>
      <c r="X60" s="5">
        <f>'Baseline System Analysis'!X17</f>
        <v>7.3628380728130232</v>
      </c>
      <c r="Y60" s="5">
        <f>'Baseline System Analysis'!Y17</f>
        <v>7.5469090246333481</v>
      </c>
      <c r="Z60" s="5">
        <f>'Baseline System Analysis'!Z17</f>
        <v>7.7355817502491808</v>
      </c>
      <c r="AA60" s="5">
        <f>'Baseline System Analysis'!AA17</f>
        <v>7.92897129400541</v>
      </c>
      <c r="AB60" s="5">
        <f>'Baseline System Analysis'!AB17</f>
        <v>8.127195576355545</v>
      </c>
      <c r="AC60" s="5">
        <f>'Baseline System Analysis'!AC17</f>
        <v>8.3303754657644333</v>
      </c>
      <c r="AD60" s="5">
        <f>'Baseline System Analysis'!AD17</f>
        <v>8.5386348524085438</v>
      </c>
    </row>
    <row r="61" spans="1:30" x14ac:dyDescent="0.35">
      <c r="A61" s="88" t="str">
        <f>'Baseline System Analysis'!A18</f>
        <v>Residential</v>
      </c>
      <c r="B61" s="88" t="str">
        <f>'Baseline System Analysis'!B18</f>
        <v>Cost of Reliability (N-0)</v>
      </c>
      <c r="C61" s="88" t="str">
        <f>'Baseline System Analysis'!C18</f>
        <v>$/kWh</v>
      </c>
      <c r="D61" s="5">
        <f>'Baseline System Analysis'!D18</f>
        <v>3.7920011132812492</v>
      </c>
      <c r="E61" s="5">
        <f>'Baseline System Analysis'!E18</f>
        <v>3.8868011411132799</v>
      </c>
      <c r="F61" s="5">
        <f>'Baseline System Analysis'!F18</f>
        <v>3.9839711696411118</v>
      </c>
      <c r="G61" s="5">
        <f>'Baseline System Analysis'!G18</f>
        <v>4.0835704488821394</v>
      </c>
      <c r="H61" s="5">
        <f>'Baseline System Analysis'!H18</f>
        <v>4.1856597101041926</v>
      </c>
      <c r="I61" s="5">
        <f>'Baseline System Analysis'!I18</f>
        <v>4.2903012028567966</v>
      </c>
      <c r="J61" s="5">
        <f>'Baseline System Analysis'!J18</f>
        <v>4.397558732928216</v>
      </c>
      <c r="K61" s="5">
        <f>'Baseline System Analysis'!K18</f>
        <v>4.5074977012514212</v>
      </c>
      <c r="L61" s="5">
        <f>'Baseline System Analysis'!L18</f>
        <v>4.6201851437827059</v>
      </c>
      <c r="M61" s="5">
        <f>'Baseline System Analysis'!M18</f>
        <v>4.7356897723772731</v>
      </c>
      <c r="N61" s="5">
        <f>'Baseline System Analysis'!N18</f>
        <v>4.8540820166867045</v>
      </c>
      <c r="O61" s="5">
        <f>'Baseline System Analysis'!O18</f>
        <v>4.9754340671038717</v>
      </c>
      <c r="P61" s="5">
        <f>'Baseline System Analysis'!P18</f>
        <v>5.0998199187814679</v>
      </c>
      <c r="Q61" s="5">
        <f>'Baseline System Analysis'!Q18</f>
        <v>5.2273154167510043</v>
      </c>
      <c r="R61" s="5">
        <f>'Baseline System Analysis'!R18</f>
        <v>5.3579983021697792</v>
      </c>
      <c r="S61" s="5">
        <f>'Baseline System Analysis'!S18</f>
        <v>5.4919482597240235</v>
      </c>
      <c r="T61" s="5">
        <f>'Baseline System Analysis'!T18</f>
        <v>5.6292469662171234</v>
      </c>
      <c r="U61" s="5">
        <f>'Baseline System Analysis'!U18</f>
        <v>5.769978140372551</v>
      </c>
      <c r="V61" s="5">
        <f>'Baseline System Analysis'!V18</f>
        <v>5.914227593881864</v>
      </c>
      <c r="W61" s="5">
        <f>'Baseline System Analysis'!W18</f>
        <v>6.06208328372891</v>
      </c>
      <c r="X61" s="5">
        <f>'Baseline System Analysis'!X18</f>
        <v>6.2136353658221326</v>
      </c>
      <c r="Y61" s="5">
        <f>'Baseline System Analysis'!Y18</f>
        <v>6.3689762499676856</v>
      </c>
      <c r="Z61" s="5">
        <f>'Baseline System Analysis'!Z18</f>
        <v>6.5282006562168773</v>
      </c>
      <c r="AA61" s="5">
        <f>'Baseline System Analysis'!AA18</f>
        <v>6.6914056726222988</v>
      </c>
      <c r="AB61" s="5">
        <f>'Baseline System Analysis'!AB18</f>
        <v>6.858690814437856</v>
      </c>
      <c r="AC61" s="5">
        <f>'Baseline System Analysis'!AC18</f>
        <v>7.0301580847988019</v>
      </c>
      <c r="AD61" s="5">
        <f>'Baseline System Analysis'!AD18</f>
        <v>7.2059120369187717</v>
      </c>
    </row>
    <row r="62" spans="1:30" x14ac:dyDescent="0.35">
      <c r="A62" s="88" t="str">
        <f>'Baseline System Analysis'!A19</f>
        <v>Commerical</v>
      </c>
      <c r="B62" s="88" t="str">
        <f>'Baseline System Analysis'!B19</f>
        <v>Cost of Reliability (N-1)</v>
      </c>
      <c r="C62" s="88" t="str">
        <f>'Baseline System Analysis'!C19</f>
        <v>$/kWh</v>
      </c>
      <c r="D62" s="5">
        <f>'Baseline System Analysis'!D19</f>
        <v>166.59767191406246</v>
      </c>
      <c r="E62" s="5">
        <f>'Baseline System Analysis'!E19</f>
        <v>170.76261371191401</v>
      </c>
      <c r="F62" s="5">
        <f>'Baseline System Analysis'!F19</f>
        <v>175.03167905471184</v>
      </c>
      <c r="G62" s="5">
        <f>'Baseline System Analysis'!G19</f>
        <v>179.40747103107964</v>
      </c>
      <c r="H62" s="5">
        <f>'Baseline System Analysis'!H19</f>
        <v>183.89265780685662</v>
      </c>
      <c r="I62" s="5">
        <f>'Baseline System Analysis'!I19</f>
        <v>188.48997425202802</v>
      </c>
      <c r="J62" s="5">
        <f>'Baseline System Analysis'!J19</f>
        <v>193.20222360832869</v>
      </c>
      <c r="K62" s="5">
        <f>'Baseline System Analysis'!K19</f>
        <v>198.03227919853688</v>
      </c>
      <c r="L62" s="5">
        <f>'Baseline System Analysis'!L19</f>
        <v>202.98308617850029</v>
      </c>
      <c r="M62" s="5">
        <f>'Baseline System Analysis'!M19</f>
        <v>208.05766333296279</v>
      </c>
      <c r="N62" s="5">
        <f>'Baseline System Analysis'!N19</f>
        <v>213.25910491628684</v>
      </c>
      <c r="O62" s="5">
        <f>'Baseline System Analysis'!O19</f>
        <v>218.590582539194</v>
      </c>
      <c r="P62" s="5">
        <f>'Baseline System Analysis'!P19</f>
        <v>224.05534710267384</v>
      </c>
      <c r="Q62" s="5">
        <f>'Baseline System Analysis'!Q19</f>
        <v>229.65673078024065</v>
      </c>
      <c r="R62" s="5">
        <f>'Baseline System Analysis'!R19</f>
        <v>235.39814904974665</v>
      </c>
      <c r="S62" s="5">
        <f>'Baseline System Analysis'!S19</f>
        <v>241.2831027759903</v>
      </c>
      <c r="T62" s="5">
        <f>'Baseline System Analysis'!T19</f>
        <v>247.31518034539005</v>
      </c>
      <c r="U62" s="5">
        <f>'Baseline System Analysis'!U19</f>
        <v>253.49805985402477</v>
      </c>
      <c r="V62" s="5">
        <f>'Baseline System Analysis'!V19</f>
        <v>259.83551135037538</v>
      </c>
      <c r="W62" s="5">
        <f>'Baseline System Analysis'!W19</f>
        <v>266.33139913413476</v>
      </c>
      <c r="X62" s="5">
        <f>'Baseline System Analysis'!X19</f>
        <v>272.98968411248808</v>
      </c>
      <c r="Y62" s="5">
        <f>'Baseline System Analysis'!Y19</f>
        <v>279.81442621530027</v>
      </c>
      <c r="Z62" s="5">
        <f>'Baseline System Analysis'!Z19</f>
        <v>286.80978687068273</v>
      </c>
      <c r="AA62" s="5">
        <f>'Baseline System Analysis'!AA19</f>
        <v>293.98003154244975</v>
      </c>
      <c r="AB62" s="5">
        <f>'Baseline System Analysis'!AB19</f>
        <v>301.32953233101097</v>
      </c>
      <c r="AC62" s="5">
        <f>'Baseline System Analysis'!AC19</f>
        <v>308.86277063928623</v>
      </c>
      <c r="AD62" s="5">
        <f>'Baseline System Analysis'!AD19</f>
        <v>316.58433990526834</v>
      </c>
    </row>
    <row r="63" spans="1:30" x14ac:dyDescent="0.35">
      <c r="A63" s="88" t="str">
        <f>'Baseline System Analysis'!A20</f>
        <v>Commerical</v>
      </c>
      <c r="B63" s="88" t="str">
        <f>'Baseline System Analysis'!B20</f>
        <v>Cost of Reliability (N-0)</v>
      </c>
      <c r="C63" s="88" t="str">
        <f>'Baseline System Analysis'!C20</f>
        <v>$/kWh</v>
      </c>
      <c r="D63" s="5">
        <f>'Baseline System Analysis'!D20</f>
        <v>153.83719106445315</v>
      </c>
      <c r="E63" s="5">
        <f>'Baseline System Analysis'!E20</f>
        <v>157.68312084106446</v>
      </c>
      <c r="F63" s="5">
        <f>'Baseline System Analysis'!F20</f>
        <v>161.62519886209105</v>
      </c>
      <c r="G63" s="5">
        <f>'Baseline System Analysis'!G20</f>
        <v>165.6658288336433</v>
      </c>
      <c r="H63" s="5">
        <f>'Baseline System Analysis'!H20</f>
        <v>169.80747455448437</v>
      </c>
      <c r="I63" s="5">
        <f>'Baseline System Analysis'!I20</f>
        <v>174.05266141834647</v>
      </c>
      <c r="J63" s="5">
        <f>'Baseline System Analysis'!J20</f>
        <v>178.40397795380511</v>
      </c>
      <c r="K63" s="5">
        <f>'Baseline System Analysis'!K20</f>
        <v>182.86407740265022</v>
      </c>
      <c r="L63" s="5">
        <f>'Baseline System Analysis'!L20</f>
        <v>187.43567933771646</v>
      </c>
      <c r="M63" s="5">
        <f>'Baseline System Analysis'!M20</f>
        <v>192.12157132115937</v>
      </c>
      <c r="N63" s="5">
        <f>'Baseline System Analysis'!N20</f>
        <v>196.92461060418833</v>
      </c>
      <c r="O63" s="5">
        <f>'Baseline System Analysis'!O20</f>
        <v>201.84772586929301</v>
      </c>
      <c r="P63" s="5">
        <f>'Baseline System Analysis'!P20</f>
        <v>206.89391901602534</v>
      </c>
      <c r="Q63" s="5">
        <f>'Baseline System Analysis'!Q20</f>
        <v>212.06626699142595</v>
      </c>
      <c r="R63" s="5">
        <f>'Baseline System Analysis'!R20</f>
        <v>217.36792366621157</v>
      </c>
      <c r="S63" s="5">
        <f>'Baseline System Analysis'!S20</f>
        <v>222.80212175786684</v>
      </c>
      <c r="T63" s="5">
        <f>'Baseline System Analysis'!T20</f>
        <v>228.37217480181349</v>
      </c>
      <c r="U63" s="5">
        <f>'Baseline System Analysis'!U20</f>
        <v>234.0814791718588</v>
      </c>
      <c r="V63" s="5">
        <f>'Baseline System Analysis'!V20</f>
        <v>239.93351615115526</v>
      </c>
      <c r="W63" s="5">
        <f>'Baseline System Analysis'!W20</f>
        <v>245.93185405493412</v>
      </c>
      <c r="X63" s="5">
        <f>'Baseline System Analysis'!X20</f>
        <v>252.08015040630744</v>
      </c>
      <c r="Y63" s="5">
        <f>'Baseline System Analysis'!Y20</f>
        <v>258.38215416646511</v>
      </c>
      <c r="Z63" s="5">
        <f>'Baseline System Analysis'!Z20</f>
        <v>264.8417080206267</v>
      </c>
      <c r="AA63" s="5">
        <f>'Baseline System Analysis'!AA20</f>
        <v>271.46275072114236</v>
      </c>
      <c r="AB63" s="5">
        <f>'Baseline System Analysis'!AB20</f>
        <v>278.24931948917089</v>
      </c>
      <c r="AC63" s="5">
        <f>'Baseline System Analysis'!AC20</f>
        <v>285.20555247640016</v>
      </c>
      <c r="AD63" s="5">
        <f>'Baseline System Analysis'!AD20</f>
        <v>292.33569128831016</v>
      </c>
    </row>
    <row r="65" spans="1:30" x14ac:dyDescent="0.35">
      <c r="A65" s="88" t="s">
        <v>130</v>
      </c>
      <c r="B65" s="88" t="s">
        <v>31</v>
      </c>
      <c r="C65" s="20">
        <f>NPV('Cost Assumptions'!$B$3,D65:AD65)</f>
        <v>1273056.8081288775</v>
      </c>
      <c r="D65" s="5">
        <f>'Baseline System Analysis'!D24-'Alberhill System Project'!D34</f>
        <v>1354.9655166582397</v>
      </c>
      <c r="E65" s="5">
        <f>'Baseline System Analysis'!E24-'Alberhill System Project'!E34</f>
        <v>3468.8297365152371</v>
      </c>
      <c r="F65" s="5">
        <f>'Baseline System Analysis'!F24-'Alberhill System Project'!F34</f>
        <v>5582.6939563722344</v>
      </c>
      <c r="G65" s="5">
        <f>'Baseline System Analysis'!G24-'Alberhill System Project'!G34</f>
        <v>7696.5581762292313</v>
      </c>
      <c r="H65" s="5">
        <f>'Baseline System Analysis'!H24-'Alberhill System Project'!H34</f>
        <v>9810.4223960862291</v>
      </c>
      <c r="I65" s="5">
        <f>'Baseline System Analysis'!I24-'Alberhill System Project'!I34</f>
        <v>11924.286615943227</v>
      </c>
      <c r="J65" s="5">
        <f>'Baseline System Analysis'!J24-'Alberhill System Project'!J34</f>
        <v>14038.150835800225</v>
      </c>
      <c r="K65" s="5">
        <f>'Baseline System Analysis'!K24-'Alberhill System Project'!K34</f>
        <v>20302.020367842062</v>
      </c>
      <c r="L65" s="5">
        <f>'Baseline System Analysis'!L24-'Alberhill System Project'!L34</f>
        <v>26565.889899883899</v>
      </c>
      <c r="M65" s="5">
        <f>'Baseline System Analysis'!M24-'Alberhill System Project'!M34</f>
        <v>32829.759431925733</v>
      </c>
      <c r="N65" s="5">
        <f>'Baseline System Analysis'!N24-'Alberhill System Project'!N34</f>
        <v>39093.628963967574</v>
      </c>
      <c r="O65" s="5">
        <f>'Baseline System Analysis'!O24-'Alberhill System Project'!O34</f>
        <v>78738.538578610984</v>
      </c>
      <c r="P65" s="5">
        <f>'Baseline System Analysis'!P24-'Alberhill System Project'!P34</f>
        <v>118383.44819325439</v>
      </c>
      <c r="Q65" s="5">
        <f>'Baseline System Analysis'!Q24-'Alberhill System Project'!Q34</f>
        <v>158028.35780789779</v>
      </c>
      <c r="R65" s="5">
        <f>'Baseline System Analysis'!R24-'Alberhill System Project'!R34</f>
        <v>197673.26742254119</v>
      </c>
      <c r="S65" s="5">
        <f>'Baseline System Analysis'!S24-'Alberhill System Project'!S34</f>
        <v>237318.17703718459</v>
      </c>
      <c r="T65" s="5">
        <f>'Baseline System Analysis'!T24-'Alberhill System Project'!T34</f>
        <v>263398.05981817236</v>
      </c>
      <c r="U65" s="5">
        <f>'Baseline System Analysis'!U24-'Alberhill System Project'!U34</f>
        <v>357613.61454589653</v>
      </c>
      <c r="V65" s="5">
        <f>'Baseline System Analysis'!V24-'Alberhill System Project'!V34</f>
        <v>451829.16927362076</v>
      </c>
      <c r="W65" s="5">
        <f>'Baseline System Analysis'!W24-'Alberhill System Project'!W34</f>
        <v>546044.72400134499</v>
      </c>
      <c r="X65" s="5">
        <f>'Baseline System Analysis'!X24-'Alberhill System Project'!X34</f>
        <v>640260.27872906928</v>
      </c>
      <c r="Y65" s="5">
        <f>'Baseline System Analysis'!Y24-'Alberhill System Project'!Y34</f>
        <v>734475.83345679345</v>
      </c>
      <c r="Z65" s="5">
        <f>'Baseline System Analysis'!Z24-'Alberhill System Project'!Z34</f>
        <v>888963.40416486468</v>
      </c>
      <c r="AA65" s="5">
        <f>'Baseline System Analysis'!AA24-'Alberhill System Project'!AA34</f>
        <v>1043450.9748729358</v>
      </c>
      <c r="AB65" s="5">
        <f>'Baseline System Analysis'!AB24-'Alberhill System Project'!AB34</f>
        <v>1197938.5455810071</v>
      </c>
      <c r="AC65" s="5">
        <f>'Baseline System Analysis'!AC24-'Alberhill System Project'!AC34</f>
        <v>1352426.1162890783</v>
      </c>
      <c r="AD65" s="5">
        <f>'Baseline System Analysis'!AD24-'Alberhill System Project'!AD34</f>
        <v>1506913.6869971494</v>
      </c>
    </row>
    <row r="66" spans="1:30" x14ac:dyDescent="0.35">
      <c r="A66" s="88" t="s">
        <v>132</v>
      </c>
      <c r="B66" s="88" t="s">
        <v>31</v>
      </c>
      <c r="C66" s="20">
        <f>NPV('Cost Assumptions'!$B$3,D66:AD66)</f>
        <v>5282531.1847715443</v>
      </c>
      <c r="D66" s="5">
        <f>'Baseline System Analysis'!D25-'Alberhill System Project'!D35</f>
        <v>5622.4102100812415</v>
      </c>
      <c r="E66" s="5">
        <f>'Baseline System Analysis'!E25-'Alberhill System Project'!E35</f>
        <v>14393.85983468976</v>
      </c>
      <c r="F66" s="5">
        <f>'Baseline System Analysis'!F25-'Alberhill System Project'!F35</f>
        <v>23165.309459298278</v>
      </c>
      <c r="G66" s="5">
        <f>'Baseline System Analysis'!G25-'Alberhill System Project'!G35</f>
        <v>31936.759083906796</v>
      </c>
      <c r="H66" s="5">
        <f>'Baseline System Analysis'!H25-'Alberhill System Project'!H35</f>
        <v>40708.208708515318</v>
      </c>
      <c r="I66" s="5">
        <f>'Baseline System Analysis'!I25-'Alberhill System Project'!I35</f>
        <v>49479.658333123836</v>
      </c>
      <c r="J66" s="5">
        <f>'Baseline System Analysis'!J25-'Alberhill System Project'!J35</f>
        <v>58251.107957732347</v>
      </c>
      <c r="K66" s="5">
        <f>'Baseline System Analysis'!K25-'Alberhill System Project'!K35</f>
        <v>84242.945815294457</v>
      </c>
      <c r="L66" s="5">
        <f>'Baseline System Analysis'!L25-'Alberhill System Project'!L35</f>
        <v>110234.78367285656</v>
      </c>
      <c r="M66" s="5">
        <f>'Baseline System Analysis'!M25-'Alberhill System Project'!M35</f>
        <v>136226.62153041866</v>
      </c>
      <c r="N66" s="5">
        <f>'Baseline System Analysis'!N25-'Alberhill System Project'!N35</f>
        <v>162218.45938798075</v>
      </c>
      <c r="O66" s="5">
        <f>'Baseline System Analysis'!O25-'Alberhill System Project'!O35</f>
        <v>326724.45002371201</v>
      </c>
      <c r="P66" s="5">
        <f>'Baseline System Analysis'!P25-'Alberhill System Project'!P35</f>
        <v>491230.44065944327</v>
      </c>
      <c r="Q66" s="5">
        <f>'Baseline System Analysis'!Q25-'Alberhill System Project'!Q35</f>
        <v>655736.43129517452</v>
      </c>
      <c r="R66" s="5">
        <f>'Baseline System Analysis'!R25-'Alberhill System Project'!R35</f>
        <v>820242.42193090578</v>
      </c>
      <c r="S66" s="5">
        <f>'Baseline System Analysis'!S25-'Alberhill System Project'!S35</f>
        <v>984748.41256663704</v>
      </c>
      <c r="T66" s="5">
        <f>'Baseline System Analysis'!T25-'Alberhill System Project'!T35</f>
        <v>1092966.5165868679</v>
      </c>
      <c r="U66" s="5">
        <f>'Baseline System Analysis'!U25-'Alberhill System Project'!U35</f>
        <v>1483912.6257956638</v>
      </c>
      <c r="V66" s="5">
        <f>'Baseline System Analysis'!V25-'Alberhill System Project'!V35</f>
        <v>1874858.7350044595</v>
      </c>
      <c r="W66" s="5">
        <f>'Baseline System Analysis'!W25-'Alberhill System Project'!W35</f>
        <v>2265804.8442132552</v>
      </c>
      <c r="X66" s="5">
        <f>'Baseline System Analysis'!X25-'Alberhill System Project'!X35</f>
        <v>2656750.9534220509</v>
      </c>
      <c r="Y66" s="5">
        <f>'Baseline System Analysis'!Y25-'Alberhill System Project'!Y35</f>
        <v>3047697.0626308471</v>
      </c>
      <c r="Z66" s="5">
        <f>'Baseline System Analysis'!Z25-'Alberhill System Project'!Z35</f>
        <v>3688741.0480319834</v>
      </c>
      <c r="AA66" s="5">
        <f>'Baseline System Analysis'!AA25-'Alberhill System Project'!AA35</f>
        <v>4329785.0334331188</v>
      </c>
      <c r="AB66" s="5">
        <f>'Baseline System Analysis'!AB25-'Alberhill System Project'!AB35</f>
        <v>4970829.0188342547</v>
      </c>
      <c r="AC66" s="5">
        <f>'Baseline System Analysis'!AC25-'Alberhill System Project'!AC35</f>
        <v>5611873.0042353906</v>
      </c>
      <c r="AD66" s="5">
        <f>'Baseline System Analysis'!AD25-'Alberhill System Project'!AD35</f>
        <v>6252916.9896365274</v>
      </c>
    </row>
    <row r="67" spans="1:30" x14ac:dyDescent="0.35">
      <c r="A67" s="88" t="s">
        <v>24</v>
      </c>
      <c r="B67" s="88" t="s">
        <v>31</v>
      </c>
      <c r="C67" s="20">
        <f>NPV('Cost Assumptions'!$B$3,D67:AD67)</f>
        <v>6555587.9929004218</v>
      </c>
      <c r="D67" s="5">
        <f>SUM(D65:D66)</f>
        <v>6977.3757267394813</v>
      </c>
      <c r="E67" s="5">
        <f t="shared" ref="E67:AD67" si="34">SUM(E65:E66)</f>
        <v>17862.689571204995</v>
      </c>
      <c r="F67" s="5">
        <f t="shared" si="34"/>
        <v>28748.003415670511</v>
      </c>
      <c r="G67" s="5">
        <f t="shared" si="34"/>
        <v>39633.317260136027</v>
      </c>
      <c r="H67" s="5">
        <f t="shared" si="34"/>
        <v>50518.631104601547</v>
      </c>
      <c r="I67" s="5">
        <f t="shared" si="34"/>
        <v>61403.944949067067</v>
      </c>
      <c r="J67" s="5">
        <f t="shared" si="34"/>
        <v>72289.258793532572</v>
      </c>
      <c r="K67" s="5">
        <f t="shared" si="34"/>
        <v>104544.96618313652</v>
      </c>
      <c r="L67" s="5">
        <f t="shared" si="34"/>
        <v>136800.67357274046</v>
      </c>
      <c r="M67" s="5">
        <f t="shared" si="34"/>
        <v>169056.38096234441</v>
      </c>
      <c r="N67" s="5">
        <f t="shared" si="34"/>
        <v>201312.08835194833</v>
      </c>
      <c r="O67" s="5">
        <f t="shared" si="34"/>
        <v>405462.98860232299</v>
      </c>
      <c r="P67" s="5">
        <f t="shared" si="34"/>
        <v>609613.88885269768</v>
      </c>
      <c r="Q67" s="5">
        <f t="shared" si="34"/>
        <v>813764.78910307237</v>
      </c>
      <c r="R67" s="5">
        <f t="shared" si="34"/>
        <v>1017915.6893534469</v>
      </c>
      <c r="S67" s="5">
        <f t="shared" si="34"/>
        <v>1222066.5896038217</v>
      </c>
      <c r="T67" s="5">
        <f t="shared" si="34"/>
        <v>1356364.5764050402</v>
      </c>
      <c r="U67" s="5">
        <f t="shared" si="34"/>
        <v>1841526.2403415604</v>
      </c>
      <c r="V67" s="5">
        <f t="shared" si="34"/>
        <v>2326687.9042780804</v>
      </c>
      <c r="W67" s="5">
        <f t="shared" si="34"/>
        <v>2811849.5682146</v>
      </c>
      <c r="X67" s="5">
        <f t="shared" si="34"/>
        <v>3297011.23215112</v>
      </c>
      <c r="Y67" s="5">
        <f t="shared" si="34"/>
        <v>3782172.8960876404</v>
      </c>
      <c r="Z67" s="5">
        <f t="shared" si="34"/>
        <v>4577704.4521968476</v>
      </c>
      <c r="AA67" s="5">
        <f t="shared" si="34"/>
        <v>5373236.0083060544</v>
      </c>
      <c r="AB67" s="5">
        <f t="shared" si="34"/>
        <v>6168767.5644152621</v>
      </c>
      <c r="AC67" s="5">
        <f t="shared" si="34"/>
        <v>6964299.1205244688</v>
      </c>
      <c r="AD67" s="5">
        <f t="shared" si="34"/>
        <v>7759830.6766336765</v>
      </c>
    </row>
    <row r="68" spans="1:30" x14ac:dyDescent="0.35">
      <c r="A68" s="88"/>
      <c r="B68" s="88"/>
      <c r="C68" s="52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x14ac:dyDescent="0.35">
      <c r="A69" s="88" t="s">
        <v>133</v>
      </c>
      <c r="B69" s="88" t="s">
        <v>31</v>
      </c>
      <c r="C69" s="20">
        <f>NPV('Cost Assumptions'!$B$3,D69:AD69)</f>
        <v>55019229.914199218</v>
      </c>
      <c r="D69" s="5">
        <f>'Baseline System Analysis'!D28-'Alberhill System Project'!D32</f>
        <v>160316.96625268596</v>
      </c>
      <c r="E69" s="5">
        <f>'Baseline System Analysis'!E28-'Alberhill System Project'!E32</f>
        <v>426669.25690772623</v>
      </c>
      <c r="F69" s="5">
        <f>'Baseline System Analysis'!F28-'Alberhill System Project'!F32</f>
        <v>622795.96524369309</v>
      </c>
      <c r="G69" s="5">
        <f>'Baseline System Analysis'!G28-'Alberhill System Project'!G32</f>
        <v>833703.43870740035</v>
      </c>
      <c r="H69" s="5">
        <f>'Baseline System Analysis'!H28-'Alberhill System Project'!H32</f>
        <v>1064554.7712044911</v>
      </c>
      <c r="I69" s="5">
        <f>'Baseline System Analysis'!I28-'Alberhill System Project'!I32</f>
        <v>1155250.6032801536</v>
      </c>
      <c r="J69" s="5">
        <f>'Baseline System Analysis'!J28-'Alberhill System Project'!J32</f>
        <v>1567814.7930424134</v>
      </c>
      <c r="K69" s="5">
        <f>'Baseline System Analysis'!K28-'Alberhill System Project'!K32</f>
        <v>2064587.6916558424</v>
      </c>
      <c r="L69" s="5">
        <f>'Baseline System Analysis'!L28-'Alberhill System Project'!L32</f>
        <v>2485972.1963254735</v>
      </c>
      <c r="M69" s="5">
        <f>'Baseline System Analysis'!M28-'Alberhill System Project'!M32</f>
        <v>2907214.7827229644</v>
      </c>
      <c r="N69" s="5">
        <f>'Baseline System Analysis'!N28-'Alberhill System Project'!N32</f>
        <v>3653487.05439856</v>
      </c>
      <c r="O69" s="5">
        <f>'Baseline System Analysis'!O28-'Alberhill System Project'!O32</f>
        <v>4512360.7012723647</v>
      </c>
      <c r="P69" s="5">
        <f>'Baseline System Analysis'!P28-'Alberhill System Project'!P32</f>
        <v>5845712.9395959051</v>
      </c>
      <c r="Q69" s="5">
        <f>'Baseline System Analysis'!Q28-'Alberhill System Project'!Q32</f>
        <v>7145234.3901076168</v>
      </c>
      <c r="R69" s="5">
        <f>'Baseline System Analysis'!R28-'Alberhill System Project'!R32</f>
        <v>9104342.6872677077</v>
      </c>
      <c r="S69" s="5">
        <f>'Baseline System Analysis'!S28-'Alberhill System Project'!S32</f>
        <v>11402628.544698209</v>
      </c>
      <c r="T69" s="5">
        <f>'Baseline System Analysis'!T28-'Alberhill System Project'!T32</f>
        <v>14095767.66157037</v>
      </c>
      <c r="U69" s="5">
        <f>'Baseline System Analysis'!U28-'Alberhill System Project'!U32</f>
        <v>17191903.011561129</v>
      </c>
      <c r="V69" s="5">
        <f>'Baseline System Analysis'!V28-'Alberhill System Project'!V32</f>
        <v>19393249.568390317</v>
      </c>
      <c r="W69" s="5">
        <f>'Baseline System Analysis'!W28-'Alberhill System Project'!W32</f>
        <v>22204176.923500877</v>
      </c>
      <c r="X69" s="5">
        <f>'Baseline System Analysis'!X28-'Alberhill System Project'!X32</f>
        <v>25300486.71745725</v>
      </c>
      <c r="Y69" s="5">
        <f>'Baseline System Analysis'!Y28-'Alberhill System Project'!Y32</f>
        <v>28417067.414872523</v>
      </c>
      <c r="Z69" s="5">
        <f>'Baseline System Analysis'!Z28-'Alberhill System Project'!Z32</f>
        <v>31752052.54955313</v>
      </c>
      <c r="AA69" s="5">
        <f>'Baseline System Analysis'!AA28-'Alberhill System Project'!AA32</f>
        <v>35546944.482215486</v>
      </c>
      <c r="AB69" s="5">
        <f>'Baseline System Analysis'!AB28-'Alberhill System Project'!AB32</f>
        <v>39896695.193155557</v>
      </c>
      <c r="AC69" s="5">
        <f>'Baseline System Analysis'!AC28-'Alberhill System Project'!AC32</f>
        <v>43228327.314470313</v>
      </c>
      <c r="AD69" s="5">
        <f>'Baseline System Analysis'!AD28-'Alberhill System Project'!AD32</f>
        <v>46499692.662044592</v>
      </c>
    </row>
    <row r="70" spans="1:30" x14ac:dyDescent="0.35">
      <c r="A70" s="88" t="s">
        <v>134</v>
      </c>
      <c r="B70" s="88" t="s">
        <v>31</v>
      </c>
      <c r="C70" s="20">
        <f>NPV('Cost Assumptions'!$B$3,D70:AD70)</f>
        <v>242701248.58350286</v>
      </c>
      <c r="D70" s="5">
        <f>'Baseline System Analysis'!D29-'Alberhill System Project'!D33</f>
        <v>903378.82566768141</v>
      </c>
      <c r="E70" s="5">
        <f>'Baseline System Analysis'!E29-'Alberhill System Project'!E33</f>
        <v>2253314.5961599764</v>
      </c>
      <c r="F70" s="5">
        <f>'Baseline System Analysis'!F29-'Alberhill System Project'!F33</f>
        <v>3310509.516156707</v>
      </c>
      <c r="G70" s="5">
        <f>'Baseline System Analysis'!G29-'Alberhill System Project'!G33</f>
        <v>4447440.2170750583</v>
      </c>
      <c r="H70" s="5">
        <f>'Baseline System Analysis'!H29-'Alberhill System Project'!H33</f>
        <v>5587242.1815372296</v>
      </c>
      <c r="I70" s="5">
        <f>'Baseline System Analysis'!I29-'Alberhill System Project'!I33</f>
        <v>5454561.6522228802</v>
      </c>
      <c r="J70" s="5">
        <f>'Baseline System Analysis'!J29-'Alberhill System Project'!J33</f>
        <v>7543245.1947770724</v>
      </c>
      <c r="K70" s="5">
        <f>'Baseline System Analysis'!K29-'Alberhill System Project'!K33</f>
        <v>10054559.779896669</v>
      </c>
      <c r="L70" s="5">
        <f>'Baseline System Analysis'!L29-'Alberhill System Project'!L33</f>
        <v>11610814.214658689</v>
      </c>
      <c r="M70" s="5">
        <f>'Baseline System Analysis'!M29-'Alberhill System Project'!M33</f>
        <v>12826351.057208685</v>
      </c>
      <c r="N70" s="5">
        <f>'Baseline System Analysis'!N29-'Alberhill System Project'!N33</f>
        <v>16062284.122916382</v>
      </c>
      <c r="O70" s="5">
        <f>'Baseline System Analysis'!O29-'Alberhill System Project'!O33</f>
        <v>19403643.120637149</v>
      </c>
      <c r="P70" s="5">
        <f>'Baseline System Analysis'!P29-'Alberhill System Project'!P33</f>
        <v>25219740.504592769</v>
      </c>
      <c r="Q70" s="5">
        <f>'Baseline System Analysis'!Q29-'Alberhill System Project'!Q33</f>
        <v>31071411.196852271</v>
      </c>
      <c r="R70" s="5">
        <f>'Baseline System Analysis'!R29-'Alberhill System Project'!R33</f>
        <v>39644741.256940469</v>
      </c>
      <c r="S70" s="5">
        <f>'Baseline System Analysis'!S29-'Alberhill System Project'!S33</f>
        <v>50251518.164887004</v>
      </c>
      <c r="T70" s="5">
        <f>'Baseline System Analysis'!T29-'Alberhill System Project'!T33</f>
        <v>62975375.307628401</v>
      </c>
      <c r="U70" s="5">
        <f>'Baseline System Analysis'!U29-'Alberhill System Project'!U33</f>
        <v>77967536.623126328</v>
      </c>
      <c r="V70" s="5">
        <f>'Baseline System Analysis'!V29-'Alberhill System Project'!V33</f>
        <v>85493629.625678569</v>
      </c>
      <c r="W70" s="5">
        <f>'Baseline System Analysis'!W29-'Alberhill System Project'!W33</f>
        <v>96889943.264270231</v>
      </c>
      <c r="X70" s="5">
        <f>'Baseline System Analysis'!X29-'Alberhill System Project'!X33</f>
        <v>109044932.47197554</v>
      </c>
      <c r="Y70" s="5">
        <f>'Baseline System Analysis'!Y29-'Alberhill System Project'!Y33</f>
        <v>122534152.53852251</v>
      </c>
      <c r="Z70" s="5">
        <f>'Baseline System Analysis'!Z29-'Alberhill System Project'!Z33</f>
        <v>136516549.22112581</v>
      </c>
      <c r="AA70" s="5">
        <f>'Baseline System Analysis'!AA29-'Alberhill System Project'!AA33</f>
        <v>152312518.58134991</v>
      </c>
      <c r="AB70" s="5">
        <f>'Baseline System Analysis'!AB29-'Alberhill System Project'!AB33</f>
        <v>170625403.77747184</v>
      </c>
      <c r="AC70" s="5">
        <f>'Baseline System Analysis'!AC29-'Alberhill System Project'!AC33</f>
        <v>185621227.27504647</v>
      </c>
      <c r="AD70" s="5">
        <f>'Baseline System Analysis'!AD29-'Alberhill System Project'!AD33</f>
        <v>198009836.86214006</v>
      </c>
    </row>
    <row r="71" spans="1:30" x14ac:dyDescent="0.35">
      <c r="A71" s="88" t="s">
        <v>24</v>
      </c>
      <c r="B71" s="88" t="s">
        <v>31</v>
      </c>
      <c r="C71" s="20">
        <f>NPV('Cost Assumptions'!$B$3,D71:AD71)</f>
        <v>297720478.497702</v>
      </c>
      <c r="D71" s="5">
        <f>SUM(D69:D70)</f>
        <v>1063695.7919203674</v>
      </c>
      <c r="E71" s="5">
        <f>SUM(E69:E70)</f>
        <v>2679983.8530677026</v>
      </c>
      <c r="F71" s="5">
        <f t="shared" ref="F71:AD71" si="35">SUM(F69:F70)</f>
        <v>3933305.4814003999</v>
      </c>
      <c r="G71" s="5">
        <f t="shared" si="35"/>
        <v>5281143.6557824584</v>
      </c>
      <c r="H71" s="5">
        <f t="shared" si="35"/>
        <v>6651796.9527417207</v>
      </c>
      <c r="I71" s="5">
        <f t="shared" si="35"/>
        <v>6609812.2555030342</v>
      </c>
      <c r="J71" s="5">
        <f t="shared" si="35"/>
        <v>9111059.9878194854</v>
      </c>
      <c r="K71" s="5">
        <f t="shared" si="35"/>
        <v>12119147.471552512</v>
      </c>
      <c r="L71" s="5">
        <f t="shared" si="35"/>
        <v>14096786.410984162</v>
      </c>
      <c r="M71" s="5">
        <f t="shared" si="35"/>
        <v>15733565.83993165</v>
      </c>
      <c r="N71" s="5">
        <f t="shared" si="35"/>
        <v>19715771.177314941</v>
      </c>
      <c r="O71" s="5">
        <f t="shared" si="35"/>
        <v>23916003.821909513</v>
      </c>
      <c r="P71" s="5">
        <f t="shared" si="35"/>
        <v>31065453.444188673</v>
      </c>
      <c r="Q71" s="5">
        <f t="shared" si="35"/>
        <v>38216645.586959884</v>
      </c>
      <c r="R71" s="5">
        <f t="shared" si="35"/>
        <v>48749083.944208175</v>
      </c>
      <c r="S71" s="5">
        <f t="shared" si="35"/>
        <v>61654146.709585212</v>
      </c>
      <c r="T71" s="5">
        <f t="shared" si="35"/>
        <v>77071142.969198763</v>
      </c>
      <c r="U71" s="5">
        <f t="shared" si="35"/>
        <v>95159439.634687454</v>
      </c>
      <c r="V71" s="5">
        <f t="shared" si="35"/>
        <v>104886879.19406888</v>
      </c>
      <c r="W71" s="5">
        <f t="shared" si="35"/>
        <v>119094120.18777111</v>
      </c>
      <c r="X71" s="5">
        <f t="shared" si="35"/>
        <v>134345419.1894328</v>
      </c>
      <c r="Y71" s="5">
        <f t="shared" si="35"/>
        <v>150951219.95339504</v>
      </c>
      <c r="Z71" s="5">
        <f t="shared" si="35"/>
        <v>168268601.77067894</v>
      </c>
      <c r="AA71" s="5">
        <f t="shared" si="35"/>
        <v>187859463.0635654</v>
      </c>
      <c r="AB71" s="5">
        <f t="shared" si="35"/>
        <v>210522098.9706274</v>
      </c>
      <c r="AC71" s="5">
        <f t="shared" si="35"/>
        <v>228849554.58951679</v>
      </c>
      <c r="AD71" s="5">
        <f t="shared" si="35"/>
        <v>244509529.52418464</v>
      </c>
    </row>
    <row r="72" spans="1:30" x14ac:dyDescent="0.35">
      <c r="A72" s="88"/>
      <c r="B72" s="88"/>
      <c r="C72" s="52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</row>
    <row r="73" spans="1:30" x14ac:dyDescent="0.35">
      <c r="A73" s="88" t="s">
        <v>130</v>
      </c>
      <c r="B73" s="88" t="s">
        <v>157</v>
      </c>
      <c r="C73" s="20">
        <f>NPV('Cost Assumptions'!$B$3,D73:AD73)</f>
        <v>988376054.2530117</v>
      </c>
      <c r="D73" s="63">
        <f>ABS((D49*D60*1000*'Cost Assumptions'!$B$6)/'Cost Assumptions'!$B$14)</f>
        <v>22022883.738170404</v>
      </c>
      <c r="E73" s="63">
        <f>ABS((E49*E60*1000*'Cost Assumptions'!$B$6)/'Cost Assumptions'!$B$14)</f>
        <v>30015837.814975295</v>
      </c>
      <c r="F73" s="63">
        <f>ABS((F49*F60*1000*'Cost Assumptions'!$B$6)/'Cost Assumptions'!$B$14)</f>
        <v>38394675.293284059</v>
      </c>
      <c r="G73" s="63">
        <f>ABS((G49*G60*1000*'Cost Assumptions'!$B$6)/'Cost Assumptions'!$B$14)</f>
        <v>47173694.746873915</v>
      </c>
      <c r="H73" s="63">
        <f>ABS((H49*H60*1000*'Cost Assumptions'!$B$6)/'Cost Assumptions'!$B$14)</f>
        <v>56367668.501084946</v>
      </c>
      <c r="I73" s="63">
        <f>ABS((I49*I60*1000*'Cost Assumptions'!$B$6)/'Cost Assumptions'!$B$14)</f>
        <v>65991857.383789733</v>
      </c>
      <c r="J73" s="63">
        <f>ABS((J49*J60*1000*'Cost Assumptions'!$B$6)/'Cost Assumptions'!$B$14)</f>
        <v>76062025.917816579</v>
      </c>
      <c r="K73" s="63">
        <f>ABS((K49*K60*1000*'Cost Assumptions'!$B$6)/'Cost Assumptions'!$B$14)</f>
        <v>86594457.967679918</v>
      </c>
      <c r="L73" s="63">
        <f>ABS((L49*L60*1000*'Cost Assumptions'!$B$6)/'Cost Assumptions'!$B$14)</f>
        <v>98098694.196008399</v>
      </c>
      <c r="M73" s="63">
        <f>ABS((M49*M60*1000*'Cost Assumptions'!$B$6)/'Cost Assumptions'!$B$14)</f>
        <v>109113941.9480737</v>
      </c>
      <c r="N73" s="63">
        <f>ABS((N49*N60*1000*'Cost Assumptions'!$B$6)/'Cost Assumptions'!$B$14)</f>
        <v>121136305.76398779</v>
      </c>
      <c r="O73" s="63">
        <f>ABS((O49*O60*1000*'Cost Assumptions'!$B$6)/'Cost Assumptions'!$B$14)</f>
        <v>133691591.55698006</v>
      </c>
      <c r="P73" s="63">
        <f>ABS((P49*P60*1000*'Cost Assumptions'!$B$6)/'Cost Assumptions'!$B$14)</f>
        <v>146798931.44851941</v>
      </c>
      <c r="Q73" s="63">
        <f>ABS((Q49*Q60*1000*'Cost Assumptions'!$B$6)/'Cost Assumptions'!$B$14)</f>
        <v>160478081.08991262</v>
      </c>
      <c r="R73" s="63">
        <f>ABS((R49*R60*1000*'Cost Assumptions'!$B$6)/'Cost Assumptions'!$B$14)</f>
        <v>174749438.88122016</v>
      </c>
      <c r="S73" s="63">
        <f>ABS((S49*S60*1000*'Cost Assumptions'!$B$6)/'Cost Assumptions'!$B$14)</f>
        <v>189634065.76141188</v>
      </c>
      <c r="T73" s="63">
        <f>ABS((T49*T60*1000*'Cost Assumptions'!$B$6)/'Cost Assumptions'!$B$14)</f>
        <v>205153705.58631244</v>
      </c>
      <c r="U73" s="63">
        <f>ABS((U49*U60*1000*'Cost Assumptions'!$B$6)/'Cost Assumptions'!$B$14)</f>
        <v>221330806.11135715</v>
      </c>
      <c r="V73" s="63">
        <f>ABS((V49*V60*1000*'Cost Assumptions'!$B$6)/'Cost Assumptions'!$B$14)</f>
        <v>238188540.59666264</v>
      </c>
      <c r="W73" s="63">
        <f>ABS((W49*W60*1000*'Cost Assumptions'!$B$6)/'Cost Assumptions'!$B$14)</f>
        <v>255750830.05241382</v>
      </c>
      <c r="X73" s="63">
        <f>ABS((X49*X60*1000*'Cost Assumptions'!$B$6)/'Cost Assumptions'!$B$14)</f>
        <v>274042366.1430797</v>
      </c>
      <c r="Y73" s="63">
        <f>ABS((Y49*Y60*1000*'Cost Assumptions'!$B$6)/'Cost Assumptions'!$B$14)</f>
        <v>293088634.76949608</v>
      </c>
      <c r="Z73" s="63">
        <f>ABS((Z49*Z60*1000*'Cost Assumptions'!$B$6)/'Cost Assumptions'!$B$14)</f>
        <v>312915940.34839374</v>
      </c>
      <c r="AA73" s="63">
        <f>ABS((AA49*AA60*1000*'Cost Assumptions'!$B$6)/'Cost Assumptions'!$B$14)</f>
        <v>333551430.80950552</v>
      </c>
      <c r="AB73" s="63">
        <f>ABS((AB49*AB60*1000*'Cost Assumptions'!$B$6)/'Cost Assumptions'!$B$14)</f>
        <v>355023123.33095509</v>
      </c>
      <c r="AC73" s="63">
        <f>ABS((AC49*AC60*1000*'Cost Assumptions'!$B$6)/'Cost Assumptions'!$B$14)</f>
        <v>377359930.83422112</v>
      </c>
      <c r="AD73" s="63">
        <f>ABS((AD49*AD60*1000*'Cost Assumptions'!$B$6)/'Cost Assumptions'!$B$14)</f>
        <v>400591689.2605685</v>
      </c>
    </row>
    <row r="74" spans="1:30" x14ac:dyDescent="0.35">
      <c r="A74" s="88" t="s">
        <v>132</v>
      </c>
      <c r="B74" s="88" t="s">
        <v>157</v>
      </c>
      <c r="C74" s="20">
        <f>NPV('Cost Assumptions'!$B$3,D74:AD74)</f>
        <v>4071746129.6338849</v>
      </c>
      <c r="D74" s="63">
        <f>ABS((D49*D62*1000*'Cost Assumptions'!$B$7)/'Cost Assumptions'!$B$14)</f>
        <v>90726187.910373613</v>
      </c>
      <c r="E74" s="63">
        <f>ABS((E49*E62*1000*'Cost Assumptions'!$B$7)/'Cost Assumptions'!$B$14)</f>
        <v>123654221.41192231</v>
      </c>
      <c r="F74" s="63">
        <f>ABS((F49*F62*1000*'Cost Assumptions'!$B$7)/'Cost Assumptions'!$B$14)</f>
        <v>158171952.72110444</v>
      </c>
      <c r="G74" s="63">
        <f>ABS((G49*G62*1000*'Cost Assumptions'!$B$7)/'Cost Assumptions'!$B$14)</f>
        <v>194338286.70736322</v>
      </c>
      <c r="H74" s="63">
        <f>ABS((H49*H62*1000*'Cost Assumptions'!$B$7)/'Cost Assumptions'!$B$14)</f>
        <v>232214079.92248425</v>
      </c>
      <c r="I74" s="63">
        <f>ABS((I49*I62*1000*'Cost Assumptions'!$B$7)/'Cost Assumptions'!$B$14)</f>
        <v>271862201.36916924</v>
      </c>
      <c r="J74" s="63">
        <f>ABS((J49*J62*1000*'Cost Assumptions'!$B$7)/'Cost Assumptions'!$B$14)</f>
        <v>313347595.08823681</v>
      </c>
      <c r="K74" s="63">
        <f>ABS((K49*K62*1000*'Cost Assumptions'!$B$7)/'Cost Assumptions'!$B$14)</f>
        <v>356737344.61740208</v>
      </c>
      <c r="L74" s="63">
        <f>ABS((L49*L62*1000*'Cost Assumptions'!$B$7)/'Cost Assumptions'!$B$14)</f>
        <v>404130570.23787969</v>
      </c>
      <c r="M74" s="63">
        <f>ABS((M49*M62*1000*'Cost Assumptions'!$B$7)/'Cost Assumptions'!$B$14)</f>
        <v>449509343.03233778</v>
      </c>
      <c r="N74" s="63">
        <f>ABS((N49*N62*1000*'Cost Assumptions'!$B$7)/'Cost Assumptions'!$B$14)</f>
        <v>499037063.90928203</v>
      </c>
      <c r="O74" s="63">
        <f>ABS((O49*O62*1000*'Cost Assumptions'!$B$7)/'Cost Assumptions'!$B$14)</f>
        <v>550760227.49067819</v>
      </c>
      <c r="P74" s="63">
        <f>ABS((P49*P62*1000*'Cost Assumptions'!$B$7)/'Cost Assumptions'!$B$14)</f>
        <v>604757651.08620095</v>
      </c>
      <c r="Q74" s="63">
        <f>ABS((Q49*Q62*1000*'Cost Assumptions'!$B$7)/'Cost Assumptions'!$B$14)</f>
        <v>661110720.71931815</v>
      </c>
      <c r="R74" s="63">
        <f>ABS((R49*R62*1000*'Cost Assumptions'!$B$7)/'Cost Assumptions'!$B$14)</f>
        <v>719903470.30216229</v>
      </c>
      <c r="S74" s="63">
        <f>ABS((S49*S62*1000*'Cost Assumptions'!$B$7)/'Cost Assumptions'!$B$14)</f>
        <v>781222663.16369903</v>
      </c>
      <c r="T74" s="63">
        <f>ABS((T49*T62*1000*'Cost Assumptions'!$B$7)/'Cost Assumptions'!$B$14)</f>
        <v>845157875.99937391</v>
      </c>
      <c r="U74" s="63">
        <f>ABS((U49*U62*1000*'Cost Assumptions'!$B$7)/'Cost Assumptions'!$B$14)</f>
        <v>911801585.31235504</v>
      </c>
      <c r="V74" s="63">
        <f>ABS((V49*V62*1000*'Cost Assumptions'!$B$7)/'Cost Assumptions'!$B$14)</f>
        <v>981249256.418486</v>
      </c>
      <c r="W74" s="63">
        <f>ABS((W49*W62*1000*'Cost Assumptions'!$B$7)/'Cost Assumptions'!$B$14)</f>
        <v>1053599435.0891031</v>
      </c>
      <c r="X74" s="63">
        <f>ABS((X49*X62*1000*'Cost Assumptions'!$B$7)/'Cost Assumptions'!$B$14)</f>
        <v>1128953841.9079893</v>
      </c>
      <c r="Y74" s="63">
        <f>ABS((Y49*Y62*1000*'Cost Assumptions'!$B$7)/'Cost Assumptions'!$B$14)</f>
        <v>1207417469.4208894</v>
      </c>
      <c r="Z74" s="63">
        <f>ABS((Z49*Z62*1000*'Cost Assumptions'!$B$7)/'Cost Assumptions'!$B$14)</f>
        <v>1289098682.1582417</v>
      </c>
      <c r="AA74" s="63">
        <f>ABS((AA49*AA62*1000*'Cost Assumptions'!$B$7)/'Cost Assumptions'!$B$14)</f>
        <v>1374109319.6140735</v>
      </c>
      <c r="AB74" s="63">
        <f>ABS((AB49*AB62*1000*'Cost Assumptions'!$B$7)/'Cost Assumptions'!$B$14)</f>
        <v>1462564802.2663481</v>
      </c>
      <c r="AC74" s="63">
        <f>ABS((AC49*AC62*1000*'Cost Assumptions'!$B$7)/'Cost Assumptions'!$B$14)</f>
        <v>1554584240.7264779</v>
      </c>
      <c r="AD74" s="63">
        <f>ABS((AD49*AD62*1000*'Cost Assumptions'!$B$7)/'Cost Assumptions'!$B$14)</f>
        <v>1650290548.1081967</v>
      </c>
    </row>
    <row r="75" spans="1:30" x14ac:dyDescent="0.35">
      <c r="A75" s="88" t="s">
        <v>24</v>
      </c>
      <c r="B75" s="88" t="s">
        <v>157</v>
      </c>
      <c r="C75" s="20">
        <f>NPV('Cost Assumptions'!$B$3,D75:AD75)</f>
        <v>5060122183.8868971</v>
      </c>
      <c r="D75" s="63">
        <f>SUM(D73:D74)</f>
        <v>112749071.64854401</v>
      </c>
      <c r="E75" s="63">
        <f t="shared" ref="E75:AD75" si="36">SUM(E73:E74)</f>
        <v>153670059.2268976</v>
      </c>
      <c r="F75" s="63">
        <f t="shared" si="36"/>
        <v>196566628.0143885</v>
      </c>
      <c r="G75" s="63">
        <f t="shared" si="36"/>
        <v>241511981.45423713</v>
      </c>
      <c r="H75" s="63">
        <f t="shared" si="36"/>
        <v>288581748.4235692</v>
      </c>
      <c r="I75" s="63">
        <f t="shared" si="36"/>
        <v>337854058.75295895</v>
      </c>
      <c r="J75" s="63">
        <f t="shared" si="36"/>
        <v>389409621.00605339</v>
      </c>
      <c r="K75" s="63">
        <f t="shared" si="36"/>
        <v>443331802.58508199</v>
      </c>
      <c r="L75" s="63">
        <f t="shared" si="36"/>
        <v>502229264.43388808</v>
      </c>
      <c r="M75" s="63">
        <f t="shared" si="36"/>
        <v>558623284.98041153</v>
      </c>
      <c r="N75" s="63">
        <f t="shared" si="36"/>
        <v>620173369.67326987</v>
      </c>
      <c r="O75" s="63">
        <f t="shared" si="36"/>
        <v>684451819.04765821</v>
      </c>
      <c r="P75" s="63">
        <f t="shared" si="36"/>
        <v>751556582.53472042</v>
      </c>
      <c r="Q75" s="63">
        <f t="shared" si="36"/>
        <v>821588801.8092308</v>
      </c>
      <c r="R75" s="63">
        <f t="shared" si="36"/>
        <v>894652909.18338251</v>
      </c>
      <c r="S75" s="63">
        <f t="shared" si="36"/>
        <v>970856728.92511094</v>
      </c>
      <c r="T75" s="63">
        <f t="shared" si="36"/>
        <v>1050311581.5856863</v>
      </c>
      <c r="U75" s="63">
        <f t="shared" si="36"/>
        <v>1133132391.4237123</v>
      </c>
      <c r="V75" s="63">
        <f t="shared" si="36"/>
        <v>1219437797.0151486</v>
      </c>
      <c r="W75" s="63">
        <f t="shared" si="36"/>
        <v>1309350265.1415169</v>
      </c>
      <c r="X75" s="63">
        <f t="shared" si="36"/>
        <v>1402996208.051069</v>
      </c>
      <c r="Y75" s="63">
        <f t="shared" si="36"/>
        <v>1500506104.1903853</v>
      </c>
      <c r="Z75" s="63">
        <f t="shared" si="36"/>
        <v>1602014622.5066354</v>
      </c>
      <c r="AA75" s="63">
        <f t="shared" si="36"/>
        <v>1707660750.423579</v>
      </c>
      <c r="AB75" s="63">
        <f t="shared" si="36"/>
        <v>1817587925.5973032</v>
      </c>
      <c r="AC75" s="63">
        <f t="shared" si="36"/>
        <v>1931944171.560699</v>
      </c>
      <c r="AD75" s="63">
        <f t="shared" si="36"/>
        <v>2050882237.3687654</v>
      </c>
    </row>
    <row r="76" spans="1:30" x14ac:dyDescent="0.35">
      <c r="A76" s="88"/>
      <c r="B76" s="88"/>
      <c r="C76" s="20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x14ac:dyDescent="0.35">
      <c r="A77" s="88" t="s">
        <v>130</v>
      </c>
      <c r="B77" s="88" t="s">
        <v>158</v>
      </c>
      <c r="C77" s="20">
        <f>NPV('Cost Assumptions'!$B$3,D77:AD77)</f>
        <v>75937271.376425371</v>
      </c>
      <c r="D77" s="63">
        <f>ABS(D50)*D61*1000*'Cost Assumptions'!$B$6*'Cost Assumptions'!$B$13</f>
        <v>6315550.7600749359</v>
      </c>
      <c r="E77" s="63">
        <f>ABS(E50)*E61*1000*'Cost Assumptions'!$B$6*'Cost Assumptions'!$B$13</f>
        <v>6538113.7418143675</v>
      </c>
      <c r="F77" s="63">
        <f>ABS(F50)*F61*1000*'Cost Assumptions'!$B$6*'Cost Assumptions'!$B$13</f>
        <v>6732882.5241350625</v>
      </c>
      <c r="G77" s="63">
        <f>ABS(G50)*G61*1000*'Cost Assumptions'!$B$6*'Cost Assumptions'!$B$13</f>
        <v>6934018.4562321557</v>
      </c>
      <c r="H77" s="63">
        <f>ABS(H50)*H61*1000*'Cost Assumptions'!$B$6*'Cost Assumptions'!$B$13</f>
        <v>7142454.1683160691</v>
      </c>
      <c r="I77" s="63">
        <f>ABS(I50)*I61*1000*'Cost Assumptions'!$B$6*'Cost Assumptions'!$B$13</f>
        <v>7362089.5594177162</v>
      </c>
      <c r="J77" s="63">
        <f>ABS(J50)*J61*1000*'Cost Assumptions'!$B$6*'Cost Assumptions'!$B$13</f>
        <v>7588057.6647590026</v>
      </c>
      <c r="K77" s="63">
        <f>ABS(K50)*K61*1000*'Cost Assumptions'!$B$6*'Cost Assumptions'!$B$13</f>
        <v>7830694.1516315546</v>
      </c>
      <c r="L77" s="63">
        <f>ABS(L50)*L61*1000*'Cost Assumptions'!$B$6*'Cost Assumptions'!$B$13</f>
        <v>8080832.4806122687</v>
      </c>
      <c r="M77" s="63">
        <f>ABS(M50)*M61*1000*'Cost Assumptions'!$B$6*'Cost Assumptions'!$B$13</f>
        <v>8340836.8807464158</v>
      </c>
      <c r="N77" s="63">
        <f>ABS(N50)*N61*1000*'Cost Assumptions'!$B$6*'Cost Assumptions'!$B$13</f>
        <v>8609330.3774066884</v>
      </c>
      <c r="O77" s="63">
        <f>ABS(O50)*O61*1000*'Cost Assumptions'!$B$6*'Cost Assumptions'!$B$13</f>
        <v>8886561.2179755382</v>
      </c>
      <c r="P77" s="63">
        <f>ABS(P50)*P61*1000*'Cost Assumptions'!$B$6*'Cost Assumptions'!$B$13</f>
        <v>9172529.8386584949</v>
      </c>
      <c r="Q77" s="63">
        <f>ABS(Q50)*Q61*1000*'Cost Assumptions'!$B$6*'Cost Assumptions'!$B$13</f>
        <v>9465454.7126909122</v>
      </c>
      <c r="R77" s="63">
        <f>ABS(R50)*R61*1000*'Cost Assumptions'!$B$6*'Cost Assumptions'!$B$13</f>
        <v>9767666.159555573</v>
      </c>
      <c r="S77" s="63">
        <f>ABS(S50)*S61*1000*'Cost Assumptions'!$B$6*'Cost Assumptions'!$B$13</f>
        <v>10079161.290404549</v>
      </c>
      <c r="T77" s="63">
        <f>ABS(T50)*T61*1000*'Cost Assumptions'!$B$6*'Cost Assumptions'!$B$13</f>
        <v>10400208.892769333</v>
      </c>
      <c r="U77" s="63">
        <f>ABS(U50)*U61*1000*'Cost Assumptions'!$B$6*'Cost Assumptions'!$B$13</f>
        <v>10724588.833692353</v>
      </c>
      <c r="V77" s="63">
        <f>ABS(V50)*V61*1000*'Cost Assumptions'!$B$6*'Cost Assumptions'!$B$13</f>
        <v>11058162.675328018</v>
      </c>
      <c r="W77" s="63">
        <f>ABS(W50)*W61*1000*'Cost Assumptions'!$B$6*'Cost Assumptions'!$B$13</f>
        <v>11401082.796207175</v>
      </c>
      <c r="X77" s="63">
        <f>ABS(X50)*X61*1000*'Cost Assumptions'!$B$6*'Cost Assumptions'!$B$13</f>
        <v>11754148.227358937</v>
      </c>
      <c r="Y77" s="63">
        <f>ABS(Y50)*Y61*1000*'Cost Assumptions'!$B$6*'Cost Assumptions'!$B$13</f>
        <v>12107140.773744417</v>
      </c>
      <c r="Z77" s="63">
        <f>ABS(Z50)*Z61*1000*'Cost Assumptions'!$B$6*'Cost Assumptions'!$B$13</f>
        <v>12468561.910101695</v>
      </c>
      <c r="AA77" s="63">
        <f>ABS(AA50)*AA61*1000*'Cost Assumptions'!$B$6*'Cost Assumptions'!$B$13</f>
        <v>12838434.411556857</v>
      </c>
      <c r="AB77" s="63">
        <f>ABS(AB50)*AB61*1000*'Cost Assumptions'!$B$6*'Cost Assumptions'!$B$13</f>
        <v>13217309.531511793</v>
      </c>
      <c r="AC77" s="63">
        <f>ABS(AC50)*AC61*1000*'Cost Assumptions'!$B$6*'Cost Assumptions'!$B$13</f>
        <v>13592479.883370537</v>
      </c>
      <c r="AD77" s="63">
        <f>ABS(AD50)*AD61*1000*'Cost Assumptions'!$B$6*'Cost Assumptions'!$B$13</f>
        <v>13973846.3154909</v>
      </c>
    </row>
    <row r="78" spans="1:30" x14ac:dyDescent="0.35">
      <c r="A78" s="88" t="s">
        <v>132</v>
      </c>
      <c r="B78" s="88" t="s">
        <v>158</v>
      </c>
      <c r="C78" s="20">
        <f>NPV('Cost Assumptions'!$B$3,D78:AD78)</f>
        <v>342298789.73203695</v>
      </c>
      <c r="D78" s="63">
        <f>ABS(D50)*D63*1000*'Cost Assumptions'!$B$7*'Cost Assumptions'!$B$13</f>
        <v>28468304.726788308</v>
      </c>
      <c r="E78" s="63">
        <f>ABS(E50)*E63*1000*'Cost Assumptions'!$B$7*'Cost Assumptions'!$B$13</f>
        <v>29471541.186403994</v>
      </c>
      <c r="F78" s="63">
        <f>ABS(F50)*F63*1000*'Cost Assumptions'!$B$7*'Cost Assumptions'!$B$13</f>
        <v>30349491.068688732</v>
      </c>
      <c r="G78" s="63">
        <f>ABS(G50)*G63*1000*'Cost Assumptions'!$B$7*'Cost Assumptions'!$B$13</f>
        <v>31256141.846107021</v>
      </c>
      <c r="H78" s="63">
        <f>ABS(H50)*H63*1000*'Cost Assumptions'!$B$7*'Cost Assumptions'!$B$13</f>
        <v>32195697.491049629</v>
      </c>
      <c r="I78" s="63">
        <f>ABS(I50)*I63*1000*'Cost Assumptions'!$B$7*'Cost Assumptions'!$B$13</f>
        <v>33185737.391005222</v>
      </c>
      <c r="J78" s="63">
        <f>ABS(J50)*J63*1000*'Cost Assumptions'!$B$7*'Cost Assumptions'!$B$13</f>
        <v>34204322.962679796</v>
      </c>
      <c r="K78" s="63">
        <f>ABS(K50)*K63*1000*'Cost Assumptions'!$B$7*'Cost Assumptions'!$B$13</f>
        <v>35298043.796940528</v>
      </c>
      <c r="L78" s="63">
        <f>ABS(L50)*L63*1000*'Cost Assumptions'!$B$7*'Cost Assumptions'!$B$13</f>
        <v>36425580.324441746</v>
      </c>
      <c r="M78" s="63">
        <f>ABS(M50)*M63*1000*'Cost Assumptions'!$B$7*'Cost Assumptions'!$B$13</f>
        <v>37597589.666860037</v>
      </c>
      <c r="N78" s="63">
        <f>ABS(N50)*N63*1000*'Cost Assumptions'!$B$7*'Cost Assumptions'!$B$13</f>
        <v>38807864.901825413</v>
      </c>
      <c r="O78" s="63">
        <f>ABS(O50)*O63*1000*'Cost Assumptions'!$B$7*'Cost Assumptions'!$B$13</f>
        <v>40057525.042136617</v>
      </c>
      <c r="P78" s="63">
        <f>ABS(P50)*P63*1000*'Cost Assumptions'!$B$7*'Cost Assumptions'!$B$13</f>
        <v>41346572.054056309</v>
      </c>
      <c r="Q78" s="63">
        <f>ABS(Q50)*Q63*1000*'Cost Assumptions'!$B$7*'Cost Assumptions'!$B$13</f>
        <v>42666975.434982024</v>
      </c>
      <c r="R78" s="63">
        <f>ABS(R50)*R63*1000*'Cost Assumptions'!$B$7*'Cost Assumptions'!$B$13</f>
        <v>44029239.454084724</v>
      </c>
      <c r="S78" s="63">
        <f>ABS(S50)*S63*1000*'Cost Assumptions'!$B$7*'Cost Assumptions'!$B$13</f>
        <v>45433351.089443378</v>
      </c>
      <c r="T78" s="63">
        <f>ABS(T50)*T63*1000*'Cost Assumptions'!$B$7*'Cost Assumptions'!$B$13</f>
        <v>46880521.941699646</v>
      </c>
      <c r="U78" s="63">
        <f>ABS(U50)*U63*1000*'Cost Assumptions'!$B$7*'Cost Assumptions'!$B$13</f>
        <v>48342713.816370696</v>
      </c>
      <c r="V78" s="63">
        <f>ABS(V50)*V63*1000*'Cost Assumptions'!$B$7*'Cost Assumptions'!$B$13</f>
        <v>49846348.595557697</v>
      </c>
      <c r="W78" s="63">
        <f>ABS(W50)*W63*1000*'Cost Assumptions'!$B$7*'Cost Assumptions'!$B$13</f>
        <v>51392113.148643039</v>
      </c>
      <c r="X78" s="63">
        <f>ABS(X50)*X63*1000*'Cost Assumptions'!$B$7*'Cost Assumptions'!$B$13</f>
        <v>52983609.229406685</v>
      </c>
      <c r="Y78" s="63">
        <f>ABS(Y50)*Y63*1000*'Cost Assumptions'!$B$7*'Cost Assumptions'!$B$13</f>
        <v>54574776.771011181</v>
      </c>
      <c r="Z78" s="63">
        <f>ABS(Z50)*Z63*1000*'Cost Assumptions'!$B$7*'Cost Assumptions'!$B$13</f>
        <v>56203937.462674908</v>
      </c>
      <c r="AA78" s="63">
        <f>ABS(AA50)*AA63*1000*'Cost Assumptions'!$B$7*'Cost Assumptions'!$B$13</f>
        <v>57871193.966739491</v>
      </c>
      <c r="AB78" s="63">
        <f>ABS(AB50)*AB63*1000*'Cost Assumptions'!$B$7*'Cost Assumptions'!$B$13</f>
        <v>59579031.141679339</v>
      </c>
      <c r="AC78" s="63">
        <f>ABS(AC50)*AC63*1000*'Cost Assumptions'!$B$7*'Cost Assumptions'!$B$13</f>
        <v>61270168.511469781</v>
      </c>
      <c r="AD78" s="63">
        <f>ABS(AD50)*AD63*1000*'Cost Assumptions'!$B$7*'Cost Assumptions'!$B$13</f>
        <v>62989235.654561147</v>
      </c>
    </row>
    <row r="79" spans="1:30" ht="47.5" customHeight="1" x14ac:dyDescent="0.35">
      <c r="A79" s="3" t="s">
        <v>159</v>
      </c>
      <c r="B79" s="88" t="s">
        <v>158</v>
      </c>
      <c r="C79" s="20">
        <f>NPV('Cost Assumptions'!$B$3,D79:AD79)</f>
        <v>418236061.10846245</v>
      </c>
      <c r="D79" s="63">
        <f>SUM(D77:D78)</f>
        <v>34783855.486863241</v>
      </c>
      <c r="E79" s="63">
        <f t="shared" ref="E79:AD79" si="37">SUM(E77:E78)</f>
        <v>36009654.928218365</v>
      </c>
      <c r="F79" s="63">
        <f t="shared" si="37"/>
        <v>37082373.592823796</v>
      </c>
      <c r="G79" s="63">
        <f t="shared" si="37"/>
        <v>38190160.302339174</v>
      </c>
      <c r="H79" s="63">
        <f t="shared" si="37"/>
        <v>39338151.659365699</v>
      </c>
      <c r="I79" s="63">
        <f t="shared" si="37"/>
        <v>40547826.950422935</v>
      </c>
      <c r="J79" s="63">
        <f t="shared" si="37"/>
        <v>41792380.627438799</v>
      </c>
      <c r="K79" s="63">
        <f t="shared" si="37"/>
        <v>43128737.948572084</v>
      </c>
      <c r="L79" s="63">
        <f t="shared" si="37"/>
        <v>44506412.805054016</v>
      </c>
      <c r="M79" s="63">
        <f t="shared" si="37"/>
        <v>45938426.547606453</v>
      </c>
      <c r="N79" s="63">
        <f t="shared" si="37"/>
        <v>47417195.2792321</v>
      </c>
      <c r="O79" s="63">
        <f t="shared" si="37"/>
        <v>48944086.260112152</v>
      </c>
      <c r="P79" s="63">
        <f t="shared" si="37"/>
        <v>50519101.892714806</v>
      </c>
      <c r="Q79" s="63">
        <f t="shared" si="37"/>
        <v>52132430.147672936</v>
      </c>
      <c r="R79" s="63">
        <f t="shared" si="37"/>
        <v>53796905.613640293</v>
      </c>
      <c r="S79" s="63">
        <f t="shared" si="37"/>
        <v>55512512.379847929</v>
      </c>
      <c r="T79" s="63">
        <f t="shared" si="37"/>
        <v>57280730.834468976</v>
      </c>
      <c r="U79" s="63">
        <f t="shared" si="37"/>
        <v>59067302.650063053</v>
      </c>
      <c r="V79" s="63">
        <f t="shared" si="37"/>
        <v>60904511.270885713</v>
      </c>
      <c r="W79" s="63">
        <f t="shared" si="37"/>
        <v>62793195.944850214</v>
      </c>
      <c r="X79" s="63">
        <f t="shared" si="37"/>
        <v>64737757.456765622</v>
      </c>
      <c r="Y79" s="63">
        <f t="shared" si="37"/>
        <v>66681917.5447556</v>
      </c>
      <c r="Z79" s="63">
        <f t="shared" si="37"/>
        <v>68672499.372776598</v>
      </c>
      <c r="AA79" s="63">
        <f t="shared" si="37"/>
        <v>70709628.378296345</v>
      </c>
      <c r="AB79" s="63">
        <f t="shared" si="37"/>
        <v>72796340.67319113</v>
      </c>
      <c r="AC79" s="63">
        <f t="shared" si="37"/>
        <v>74862648.394840315</v>
      </c>
      <c r="AD79" s="63">
        <f t="shared" si="37"/>
        <v>76963081.970052049</v>
      </c>
    </row>
    <row r="80" spans="1:30" s="62" customFormat="1" ht="31.9" customHeight="1" x14ac:dyDescent="0.35">
      <c r="A80" s="3"/>
      <c r="B80" s="88"/>
      <c r="C80" s="2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2" customFormat="1" ht="29" x14ac:dyDescent="0.35">
      <c r="A81" s="3" t="s">
        <v>160</v>
      </c>
      <c r="B81" s="88" t="s">
        <v>161</v>
      </c>
      <c r="C81" s="20">
        <f>NPV('Cost Assumptions'!$B$3,D81:AD81)</f>
        <v>275450967.55891007</v>
      </c>
      <c r="D81" s="63">
        <f>('Baseline System Analysis'!D42-'Alberhill System Project'!D36)</f>
        <v>16072553.841416098</v>
      </c>
      <c r="E81" s="63">
        <f>('Baseline System Analysis'!E42-'Alberhill System Project'!E36)</f>
        <v>17693738.572982214</v>
      </c>
      <c r="F81" s="63">
        <f>('Baseline System Analysis'!F42-'Alberhill System Project'!F36)</f>
        <v>18741523.608064391</v>
      </c>
      <c r="G81" s="63">
        <f>('Baseline System Analysis'!G42-'Alberhill System Project'!G36)</f>
        <v>19912768.089124653</v>
      </c>
      <c r="H81" s="63">
        <f>('Baseline System Analysis'!H42-'Alberhill System Project'!H36)</f>
        <v>21061295.251980215</v>
      </c>
      <c r="I81" s="63">
        <f>('Baseline System Analysis'!I42-'Alberhill System Project'!I36)</f>
        <v>22431698.675571389</v>
      </c>
      <c r="J81" s="63">
        <f>('Baseline System Analysis'!J42-'Alberhill System Project'!J36)</f>
        <v>23867130.628878079</v>
      </c>
      <c r="K81" s="63">
        <f>('Baseline System Analysis'!K42-'Alberhill System Project'!K36)</f>
        <v>25575864.565789469</v>
      </c>
      <c r="L81" s="63">
        <f>('Baseline System Analysis'!L42-'Alberhill System Project'!L36)</f>
        <v>27463385.641166423</v>
      </c>
      <c r="M81" s="63">
        <f>('Baseline System Analysis'!M42-'Alberhill System Project'!M36)</f>
        <v>29492541.525447268</v>
      </c>
      <c r="N81" s="63">
        <f>('Baseline System Analysis'!N42-'Alberhill System Project'!N36)</f>
        <v>31363369.666987173</v>
      </c>
      <c r="O81" s="63">
        <f>('Baseline System Analysis'!O42-'Alberhill System Project'!O36)</f>
        <v>33581083.686496377</v>
      </c>
      <c r="P81" s="63">
        <f>('Baseline System Analysis'!P42-'Alberhill System Project'!P36)</f>
        <v>35953302.801554911</v>
      </c>
      <c r="Q81" s="63">
        <f>('Baseline System Analysis'!Q42-'Alberhill System Project'!Q36)</f>
        <v>38453424.313098833</v>
      </c>
      <c r="R81" s="63">
        <f>('Baseline System Analysis'!R42-'Alberhill System Project'!R36)</f>
        <v>40932791.435437061</v>
      </c>
      <c r="S81" s="63">
        <f>('Baseline System Analysis'!S42-'Alberhill System Project'!S36)</f>
        <v>43909894.251395702</v>
      </c>
      <c r="T81" s="63">
        <f>('Baseline System Analysis'!T42-'Alberhill System Project'!T36)</f>
        <v>46711566.432618923</v>
      </c>
      <c r="U81" s="63">
        <f>('Baseline System Analysis'!U42-'Alberhill System Project'!U36)</f>
        <v>49509581.388927579</v>
      </c>
      <c r="V81" s="63">
        <f>('Baseline System Analysis'!V42-'Alberhill System Project'!V36)</f>
        <v>52625349.990575187</v>
      </c>
      <c r="W81" s="63">
        <f>('Baseline System Analysis'!W42-'Alberhill System Project'!W36)</f>
        <v>55838127.45695243</v>
      </c>
      <c r="X81" s="63">
        <f>('Baseline System Analysis'!X42-'Alberhill System Project'!X36)</f>
        <v>59003591.28071069</v>
      </c>
      <c r="Y81" s="63">
        <f>('Baseline System Analysis'!Y42-'Alberhill System Project'!Y36)</f>
        <v>62271137.22547739</v>
      </c>
      <c r="Z81" s="63">
        <f>('Baseline System Analysis'!Z42-'Alberhill System Project'!Z36)</f>
        <v>65483281.261243917</v>
      </c>
      <c r="AA81" s="63">
        <f>('Baseline System Analysis'!AA42-'Alberhill System Project'!AA36)</f>
        <v>68911901.510250226</v>
      </c>
      <c r="AB81" s="63">
        <f>('Baseline System Analysis'!AB42-'Alberhill System Project'!AB36)</f>
        <v>72411075.59945254</v>
      </c>
      <c r="AC81" s="63">
        <f>('Baseline System Analysis'!AC42-'Alberhill System Project'!AC36)</f>
        <v>75554659.170538783</v>
      </c>
      <c r="AD81" s="63">
        <f>('Baseline System Analysis'!AD42-'Alberhill System Project'!AD36)</f>
        <v>78722637.904771134</v>
      </c>
    </row>
    <row r="82" spans="1:30" ht="47.5" customHeight="1" x14ac:dyDescent="0.3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</row>
    <row r="83" spans="1:30" ht="20" thickBot="1" x14ac:dyDescent="0.5">
      <c r="A83" s="142" t="s">
        <v>74</v>
      </c>
      <c r="B83" s="142"/>
      <c r="C83" s="20">
        <f>NPV('Cost Assumptions'!$B$3,D83:AD83)/1000000</f>
        <v>6058.0852790448716</v>
      </c>
      <c r="D83" s="63">
        <f>SUM(D67,D71,D75,D79,D81)</f>
        <v>164676154.14447045</v>
      </c>
      <c r="E83" s="63">
        <f t="shared" ref="E83:AD83" si="38">SUM(E67,E71,E75,E79,E81)</f>
        <v>210071299.27073708</v>
      </c>
      <c r="F83" s="63">
        <f t="shared" si="38"/>
        <v>256352578.70009276</v>
      </c>
      <c r="G83" s="63">
        <f t="shared" si="38"/>
        <v>304935686.81874359</v>
      </c>
      <c r="H83" s="63">
        <f t="shared" si="38"/>
        <v>355683510.91876149</v>
      </c>
      <c r="I83" s="63">
        <f t="shared" si="38"/>
        <v>407504800.57940537</v>
      </c>
      <c r="J83" s="63">
        <f t="shared" si="38"/>
        <v>464252481.50898325</v>
      </c>
      <c r="K83" s="63">
        <f t="shared" si="38"/>
        <v>524260097.53717923</v>
      </c>
      <c r="L83" s="63">
        <f t="shared" si="38"/>
        <v>588432649.96466541</v>
      </c>
      <c r="M83" s="63">
        <f t="shared" si="38"/>
        <v>649956875.27435923</v>
      </c>
      <c r="N83" s="63">
        <f t="shared" si="38"/>
        <v>718871017.88515604</v>
      </c>
      <c r="O83" s="63">
        <f t="shared" si="38"/>
        <v>791298455.80477858</v>
      </c>
      <c r="P83" s="63">
        <f t="shared" si="38"/>
        <v>869704054.56203163</v>
      </c>
      <c r="Q83" s="63">
        <f t="shared" si="38"/>
        <v>951205066.64606547</v>
      </c>
      <c r="R83" s="63">
        <f t="shared" si="38"/>
        <v>1039149605.8660215</v>
      </c>
      <c r="S83" s="63">
        <f t="shared" si="38"/>
        <v>1133155348.8555436</v>
      </c>
      <c r="T83" s="63">
        <f t="shared" si="38"/>
        <v>1232731386.3983781</v>
      </c>
      <c r="U83" s="63">
        <f t="shared" si="38"/>
        <v>1338710241.3377318</v>
      </c>
      <c r="V83" s="63">
        <f t="shared" si="38"/>
        <v>1440181225.3749564</v>
      </c>
      <c r="W83" s="63">
        <f t="shared" si="38"/>
        <v>1549887558.2993052</v>
      </c>
      <c r="X83" s="63">
        <f t="shared" si="38"/>
        <v>1664379987.2101293</v>
      </c>
      <c r="Y83" s="63">
        <f t="shared" si="38"/>
        <v>1784192551.8101013</v>
      </c>
      <c r="Z83" s="63">
        <f t="shared" si="38"/>
        <v>1909016709.3635316</v>
      </c>
      <c r="AA83" s="63">
        <f t="shared" si="38"/>
        <v>2040514979.3839972</v>
      </c>
      <c r="AB83" s="63">
        <f t="shared" si="38"/>
        <v>2179486208.4049897</v>
      </c>
      <c r="AC83" s="63">
        <f t="shared" si="38"/>
        <v>2318175332.8361192</v>
      </c>
      <c r="AD83" s="63">
        <f t="shared" si="38"/>
        <v>2458837317.4444075</v>
      </c>
    </row>
    <row r="84" spans="1:30" s="62" customFormat="1" ht="20.5" thickTop="1" thickBot="1" x14ac:dyDescent="0.5">
      <c r="A84" s="142" t="s">
        <v>162</v>
      </c>
      <c r="B84" s="142"/>
      <c r="C84" s="20">
        <f>NPV('Cost Assumptions'!$B$3,D84:AD84)/1000000</f>
        <v>6062.5796012315113</v>
      </c>
      <c r="D84" s="63">
        <f>D83+D43</f>
        <v>165038001.67388219</v>
      </c>
      <c r="E84" s="63">
        <f t="shared" ref="E84:AD84" si="39">E83+E43</f>
        <v>210446089.85750178</v>
      </c>
      <c r="F84" s="63">
        <f t="shared" si="39"/>
        <v>256740733.34237215</v>
      </c>
      <c r="G84" s="63">
        <f t="shared" si="39"/>
        <v>305337639.47519672</v>
      </c>
      <c r="H84" s="63">
        <f t="shared" si="39"/>
        <v>356099708.89344555</v>
      </c>
      <c r="I84" s="63">
        <f t="shared" si="39"/>
        <v>407935704.91782171</v>
      </c>
      <c r="J84" s="63">
        <f t="shared" si="39"/>
        <v>464698567.40558428</v>
      </c>
      <c r="K84" s="63">
        <f t="shared" si="39"/>
        <v>524721854.75466263</v>
      </c>
      <c r="L84" s="63">
        <f t="shared" si="39"/>
        <v>588910583.26538992</v>
      </c>
      <c r="M84" s="63">
        <f t="shared" si="39"/>
        <v>650451504.86422598</v>
      </c>
      <c r="N84" s="63">
        <f t="shared" si="39"/>
        <v>719382879.87030923</v>
      </c>
      <c r="O84" s="63">
        <f t="shared" si="39"/>
        <v>791828102.66148889</v>
      </c>
      <c r="P84" s="63">
        <f t="shared" si="39"/>
        <v>870252055.62013614</v>
      </c>
      <c r="Q84" s="63">
        <f t="shared" si="39"/>
        <v>951772008.58634853</v>
      </c>
      <c r="R84" s="63">
        <f t="shared" si="39"/>
        <v>1039736093.2319306</v>
      </c>
      <c r="S84" s="63">
        <f t="shared" si="39"/>
        <v>1133762004.5796475</v>
      </c>
      <c r="T84" s="63">
        <f t="shared" si="39"/>
        <v>1233358852.3439827</v>
      </c>
      <c r="U84" s="63">
        <f t="shared" si="39"/>
        <v>1339359178.8560848</v>
      </c>
      <c r="V84" s="63">
        <f t="shared" si="39"/>
        <v>1440852315.878479</v>
      </c>
      <c r="W84" s="63">
        <f t="shared" si="39"/>
        <v>1550581503.8513069</v>
      </c>
      <c r="X84" s="63">
        <f t="shared" si="39"/>
        <v>1665097511.1314692</v>
      </c>
      <c r="Y84" s="63">
        <f t="shared" si="39"/>
        <v>1784934399.3032768</v>
      </c>
      <c r="Z84" s="63">
        <f t="shared" si="39"/>
        <v>1909783648.1546834</v>
      </c>
      <c r="AA84" s="63">
        <f t="shared" si="39"/>
        <v>2041307800.3833408</v>
      </c>
      <c r="AB84" s="63">
        <f t="shared" si="39"/>
        <v>2180305726.3861904</v>
      </c>
      <c r="AC84" s="63">
        <f t="shared" si="39"/>
        <v>2319022387.1351447</v>
      </c>
      <c r="AD84" s="63">
        <f t="shared" si="39"/>
        <v>2459712772.6784115</v>
      </c>
    </row>
    <row r="85" spans="1:30" ht="15" thickTop="1" x14ac:dyDescent="0.3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</row>
    <row r="86" spans="1:30" ht="20" thickBot="1" x14ac:dyDescent="0.5">
      <c r="A86" s="142" t="s">
        <v>163</v>
      </c>
      <c r="B86" s="142"/>
      <c r="C86" s="20">
        <f>Summary!$D$7</f>
        <v>545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15" thickTop="1" x14ac:dyDescent="0.3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20" thickBot="1" x14ac:dyDescent="0.5">
      <c r="A88" s="142" t="s">
        <v>7</v>
      </c>
      <c r="B88" s="142"/>
      <c r="C88" s="53">
        <f>C84/C86</f>
        <v>11.1239992683147</v>
      </c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15" thickTop="1" x14ac:dyDescent="0.3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</sheetData>
  <mergeCells count="7">
    <mergeCell ref="B2:B15"/>
    <mergeCell ref="A88:B88"/>
    <mergeCell ref="B18:B31"/>
    <mergeCell ref="A58:AD59"/>
    <mergeCell ref="A83:B83"/>
    <mergeCell ref="A86:B86"/>
    <mergeCell ref="A84:B84"/>
  </mergeCells>
  <phoneticPr fontId="17" type="noConversion"/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89"/>
  <sheetViews>
    <sheetView zoomScale="87" zoomScaleNormal="87" workbookViewId="0"/>
  </sheetViews>
  <sheetFormatPr defaultRowHeight="14.5" x14ac:dyDescent="0.35"/>
  <cols>
    <col min="1" max="1" width="23.26953125" bestFit="1" customWidth="1"/>
    <col min="2" max="2" width="18.7265625" customWidth="1"/>
    <col min="3" max="3" width="18.26953125" customWidth="1"/>
    <col min="4" max="16" width="16.26953125" bestFit="1" customWidth="1"/>
    <col min="17" max="29" width="17.81640625" bestFit="1" customWidth="1"/>
    <col min="30" max="30" width="18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3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5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5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5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5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5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5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5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5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5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5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5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5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5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6" spans="1:30" s="62" customFormat="1" x14ac:dyDescent="0.35">
      <c r="A16" s="88"/>
      <c r="B16" s="88"/>
      <c r="C16" s="88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15" thickTop="1" x14ac:dyDescent="0.35">
      <c r="A18" s="88"/>
      <c r="B18" s="163" t="s">
        <v>11</v>
      </c>
      <c r="C18" s="88" t="s">
        <v>120</v>
      </c>
      <c r="D18" s="63">
        <v>43917.339999999931</v>
      </c>
      <c r="E18" s="5">
        <f>D18+(($J18-$D18)/(COLUMN($J18)-COLUMN($D18)))</f>
        <v>44144.462500000038</v>
      </c>
      <c r="F18" s="5">
        <f t="shared" ref="F18:I18" si="0">E18+(($J18-$D18)/(COLUMN($J18)-COLUMN($D18)))</f>
        <v>44371.585000000137</v>
      </c>
      <c r="G18" s="5">
        <f t="shared" si="0"/>
        <v>44598.707500000237</v>
      </c>
      <c r="H18" s="5">
        <f t="shared" si="0"/>
        <v>44825.830000000336</v>
      </c>
      <c r="I18" s="5">
        <f t="shared" si="0"/>
        <v>45052.952500000436</v>
      </c>
      <c r="J18" s="5">
        <v>45280.07500000055</v>
      </c>
      <c r="K18" s="5">
        <f>J18+(($AD18-$J18)/(COLUMN($AD18)-COLUMN($J18)))</f>
        <v>45576.884299763602</v>
      </c>
      <c r="L18" s="5">
        <f t="shared" ref="L18:AC18" si="1">K18+(($AD18-$J18)/(COLUMN($AD18)-COLUMN($J18)))</f>
        <v>45873.693599526654</v>
      </c>
      <c r="M18" s="5">
        <f t="shared" si="1"/>
        <v>46170.502899289706</v>
      </c>
      <c r="N18" s="5">
        <f t="shared" si="1"/>
        <v>46467.312199052758</v>
      </c>
      <c r="O18" s="5">
        <f t="shared" si="1"/>
        <v>46764.12149881581</v>
      </c>
      <c r="P18" s="5">
        <f t="shared" si="1"/>
        <v>47060.930798578862</v>
      </c>
      <c r="Q18" s="5">
        <f t="shared" si="1"/>
        <v>47357.740098341914</v>
      </c>
      <c r="R18" s="5">
        <f t="shared" si="1"/>
        <v>47654.549398104966</v>
      </c>
      <c r="S18" s="5">
        <f t="shared" si="1"/>
        <v>47951.358697868018</v>
      </c>
      <c r="T18" s="5">
        <f t="shared" si="1"/>
        <v>48248.16799763107</v>
      </c>
      <c r="U18" s="5">
        <f t="shared" si="1"/>
        <v>48544.977297394122</v>
      </c>
      <c r="V18" s="5">
        <f t="shared" si="1"/>
        <v>48841.786597157174</v>
      </c>
      <c r="W18" s="5">
        <f t="shared" si="1"/>
        <v>49138.595896920226</v>
      </c>
      <c r="X18" s="5">
        <f t="shared" si="1"/>
        <v>49435.405196683278</v>
      </c>
      <c r="Y18" s="5">
        <f t="shared" si="1"/>
        <v>49732.21449644633</v>
      </c>
      <c r="Z18" s="5">
        <f t="shared" si="1"/>
        <v>50029.023796209382</v>
      </c>
      <c r="AA18" s="5">
        <f t="shared" si="1"/>
        <v>50325.833095972434</v>
      </c>
      <c r="AB18" s="5">
        <f t="shared" si="1"/>
        <v>50622.642395735485</v>
      </c>
      <c r="AC18" s="5">
        <f t="shared" si="1"/>
        <v>50919.451695498537</v>
      </c>
      <c r="AD18" s="63">
        <v>51216.260995261626</v>
      </c>
    </row>
    <row r="19" spans="1:30" x14ac:dyDescent="0.35">
      <c r="A19" s="88" t="s">
        <v>30</v>
      </c>
      <c r="B19" s="165"/>
      <c r="C19" s="88" t="s">
        <v>31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</row>
    <row r="20" spans="1:30" x14ac:dyDescent="0.35">
      <c r="A20" s="88" t="s">
        <v>30</v>
      </c>
      <c r="B20" s="165"/>
      <c r="C20" s="88" t="s">
        <v>32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</row>
    <row r="21" spans="1:30" x14ac:dyDescent="0.35">
      <c r="A21" s="88" t="s">
        <v>30</v>
      </c>
      <c r="B21" s="165"/>
      <c r="C21" s="88" t="s">
        <v>33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</row>
    <row r="22" spans="1:30" x14ac:dyDescent="0.35">
      <c r="A22" s="88" t="s">
        <v>30</v>
      </c>
      <c r="B22" s="165"/>
      <c r="C22" s="88" t="s">
        <v>34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</row>
    <row r="23" spans="1:30" x14ac:dyDescent="0.35">
      <c r="A23" s="88" t="s">
        <v>30</v>
      </c>
      <c r="B23" s="165"/>
      <c r="C23" s="88" t="s">
        <v>35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</row>
    <row r="24" spans="1:30" x14ac:dyDescent="0.35">
      <c r="A24" s="88" t="s">
        <v>30</v>
      </c>
      <c r="B24" s="165"/>
      <c r="C24" s="88" t="s">
        <v>121</v>
      </c>
      <c r="D24" s="63">
        <v>1680.2980451261856</v>
      </c>
      <c r="E24" s="63">
        <v>2876.7737620942426</v>
      </c>
      <c r="F24" s="63">
        <v>4073.2494790622986</v>
      </c>
      <c r="G24" s="63">
        <v>5269.7251960303547</v>
      </c>
      <c r="H24" s="63">
        <v>6466.2009129984108</v>
      </c>
      <c r="I24" s="63">
        <v>7662.6766299664669</v>
      </c>
      <c r="J24" s="63">
        <v>8859.1523469345229</v>
      </c>
      <c r="K24" s="63">
        <v>10055.628063902581</v>
      </c>
      <c r="L24" s="63">
        <v>11252.103780870637</v>
      </c>
      <c r="M24" s="63">
        <v>12448.579497838693</v>
      </c>
      <c r="N24" s="63">
        <v>13645.055214806749</v>
      </c>
      <c r="O24" s="63">
        <v>14841.530931774805</v>
      </c>
      <c r="P24" s="63">
        <v>16038.006648742861</v>
      </c>
      <c r="Q24" s="63">
        <v>17234.482365710915</v>
      </c>
      <c r="R24" s="63">
        <v>18430.958082678975</v>
      </c>
      <c r="S24" s="63">
        <v>19627.433799647028</v>
      </c>
      <c r="T24" s="63">
        <v>20823.909516615087</v>
      </c>
      <c r="U24" s="63">
        <v>22020.385233583147</v>
      </c>
      <c r="V24" s="63">
        <v>23216.860950551207</v>
      </c>
      <c r="W24" s="63">
        <v>24413.336667519266</v>
      </c>
      <c r="X24" s="63">
        <v>25609.812384487326</v>
      </c>
      <c r="Y24" s="63">
        <v>26806.288101455386</v>
      </c>
      <c r="Z24" s="63">
        <v>28002.763818423442</v>
      </c>
      <c r="AA24" s="63">
        <v>29199.239535391502</v>
      </c>
      <c r="AB24" s="63">
        <v>30395.715252359561</v>
      </c>
      <c r="AC24" s="63">
        <v>31592.190969327621</v>
      </c>
      <c r="AD24" s="63">
        <v>32788.666686295648</v>
      </c>
    </row>
    <row r="25" spans="1:30" x14ac:dyDescent="0.35">
      <c r="A25" s="88" t="s">
        <v>30</v>
      </c>
      <c r="B25" s="165"/>
      <c r="C25" s="88" t="s">
        <v>122</v>
      </c>
      <c r="D25" s="63">
        <v>57103.983414732123</v>
      </c>
      <c r="E25" s="63">
        <v>58857.58022999746</v>
      </c>
      <c r="F25" s="63">
        <v>59699.596942620614</v>
      </c>
      <c r="G25" s="63">
        <v>60571.962460466268</v>
      </c>
      <c r="H25" s="63">
        <v>61496.898375218188</v>
      </c>
      <c r="I25" s="63">
        <v>62558.659107198764</v>
      </c>
      <c r="J25" s="63">
        <v>63631.28859293813</v>
      </c>
      <c r="K25" s="63">
        <v>64969.175761906808</v>
      </c>
      <c r="L25" s="63">
        <v>66337.685822816915</v>
      </c>
      <c r="M25" s="63">
        <v>67781.134636030052</v>
      </c>
      <c r="N25" s="63">
        <v>69263.881075746234</v>
      </c>
      <c r="O25" s="63">
        <v>70782.188727667366</v>
      </c>
      <c r="P25" s="63">
        <v>72342.219702484406</v>
      </c>
      <c r="Q25" s="63">
        <v>73878.759748331533</v>
      </c>
      <c r="R25" s="63">
        <v>75444.091313131226</v>
      </c>
      <c r="S25" s="63">
        <v>77029.054912784879</v>
      </c>
      <c r="T25" s="63">
        <v>78642.455925272312</v>
      </c>
      <c r="U25" s="63">
        <v>80129.021564274008</v>
      </c>
      <c r="V25" s="63">
        <v>81620.040881017034</v>
      </c>
      <c r="W25" s="63">
        <v>83106.219343866425</v>
      </c>
      <c r="X25" s="63">
        <v>84594.507661144613</v>
      </c>
      <c r="Y25" s="63">
        <v>85866.134095305359</v>
      </c>
      <c r="Z25" s="63">
        <v>87106.900394339798</v>
      </c>
      <c r="AA25" s="63">
        <v>88307.491980533596</v>
      </c>
      <c r="AB25" s="63">
        <v>89475.711892624677</v>
      </c>
      <c r="AC25" s="63">
        <v>90359.930391828661</v>
      </c>
      <c r="AD25" s="63">
        <v>91166.126288020299</v>
      </c>
    </row>
    <row r="26" spans="1:30" s="62" customFormat="1" x14ac:dyDescent="0.35">
      <c r="A26" s="88"/>
      <c r="B26" s="165"/>
      <c r="C26" s="88" t="s">
        <v>123</v>
      </c>
      <c r="D26" s="63">
        <v>12005.779662616018</v>
      </c>
      <c r="E26" s="63">
        <v>13453.747567363946</v>
      </c>
      <c r="F26" s="63">
        <v>14178.889103192518</v>
      </c>
      <c r="G26" s="63">
        <v>14937.261617520458</v>
      </c>
      <c r="H26" s="63">
        <v>15757.29160872877</v>
      </c>
      <c r="I26" s="63">
        <v>16749.936384389566</v>
      </c>
      <c r="J26" s="63">
        <v>17791.913206493271</v>
      </c>
      <c r="K26" s="63">
        <v>19124.011341727011</v>
      </c>
      <c r="L26" s="63">
        <v>20543.145368098849</v>
      </c>
      <c r="M26" s="63">
        <v>22091.128877686537</v>
      </c>
      <c r="N26" s="63">
        <v>23727.955643573241</v>
      </c>
      <c r="O26" s="63">
        <v>25447.673579893522</v>
      </c>
      <c r="P26" s="63">
        <v>27260.067091473225</v>
      </c>
      <c r="Q26" s="63">
        <v>29119.060798842365</v>
      </c>
      <c r="R26" s="63">
        <v>31049.64372879377</v>
      </c>
      <c r="S26" s="63">
        <v>33050.616447771819</v>
      </c>
      <c r="T26" s="63">
        <v>35134.189134577544</v>
      </c>
      <c r="U26" s="63">
        <v>37103.751814000905</v>
      </c>
      <c r="V26" s="63">
        <v>39133.950792993543</v>
      </c>
      <c r="W26" s="63">
        <v>41196.043893758018</v>
      </c>
      <c r="X26" s="63">
        <v>43327.740976188783</v>
      </c>
      <c r="Y26" s="63">
        <v>45192.069475430879</v>
      </c>
      <c r="Z26" s="63">
        <v>47054.695319873877</v>
      </c>
      <c r="AA26" s="63">
        <v>48899.768263502745</v>
      </c>
      <c r="AB26" s="63">
        <v>50715.412350973696</v>
      </c>
      <c r="AC26" s="63">
        <v>52106.724357043873</v>
      </c>
      <c r="AD26" s="63">
        <v>53402.50691931419</v>
      </c>
    </row>
    <row r="27" spans="1:30" x14ac:dyDescent="0.35">
      <c r="A27" s="88" t="s">
        <v>39</v>
      </c>
      <c r="B27" s="165"/>
      <c r="C27" s="88" t="s">
        <v>31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f>U27+(($Y27-$U27)/(COLUMN($Y27)-COLUMN($U27)))</f>
        <v>20.399999999999999</v>
      </c>
      <c r="W27" s="63">
        <f>V27+(($Y27-$U27)/(COLUMN($Y27)-COLUMN($U27)))</f>
        <v>40.799999999999997</v>
      </c>
      <c r="X27" s="63">
        <f>W27+(($Y27-$U27)/(COLUMN($Y27)-COLUMN($U27)))</f>
        <v>61.199999999999996</v>
      </c>
      <c r="Y27" s="63">
        <v>81.599999999999994</v>
      </c>
      <c r="Z27" s="63">
        <f t="shared" ref="Z27:AC27" si="2">Y27+(($AD27-$T27)/(COLUMN($AD27)-COLUMN($T27)))</f>
        <v>105.96</v>
      </c>
      <c r="AA27" s="63">
        <f t="shared" si="2"/>
        <v>130.32</v>
      </c>
      <c r="AB27" s="63">
        <f t="shared" si="2"/>
        <v>154.68</v>
      </c>
      <c r="AC27" s="63">
        <f t="shared" si="2"/>
        <v>179.04000000000002</v>
      </c>
      <c r="AD27" s="63">
        <v>243.6</v>
      </c>
    </row>
    <row r="28" spans="1:30" x14ac:dyDescent="0.35">
      <c r="A28" s="88" t="s">
        <v>39</v>
      </c>
      <c r="B28" s="165"/>
      <c r="C28" s="88" t="s">
        <v>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f t="shared" ref="V28:V31" si="3">T28+(($Y28-$U28)/(COLUMN($Y28)-COLUMN($U28)))</f>
        <v>7.85</v>
      </c>
      <c r="W28" s="63">
        <f t="shared" ref="W28:W31" si="4">V28+(($Y28-$U28)/(COLUMN($Y28)-COLUMN($U28)))</f>
        <v>15.7</v>
      </c>
      <c r="X28" s="63">
        <f t="shared" ref="X28:X31" si="5">W28+(($Y28-$U28)/(COLUMN($Y28)-COLUMN($U28)))</f>
        <v>23.549999999999997</v>
      </c>
      <c r="Y28" s="63">
        <v>31.4</v>
      </c>
      <c r="Z28" s="63">
        <f t="shared" ref="Z28:AC28" si="6">Y28+(($AD28-$T28)/(COLUMN($AD28)-COLUMN($T28)))</f>
        <v>37.739999999999995</v>
      </c>
      <c r="AA28" s="63">
        <f t="shared" si="6"/>
        <v>44.08</v>
      </c>
      <c r="AB28" s="63">
        <f t="shared" si="6"/>
        <v>50.42</v>
      </c>
      <c r="AC28" s="63">
        <f t="shared" si="6"/>
        <v>56.760000000000005</v>
      </c>
      <c r="AD28" s="63">
        <v>63.4</v>
      </c>
    </row>
    <row r="29" spans="1:30" x14ac:dyDescent="0.35">
      <c r="A29" s="88" t="s">
        <v>39</v>
      </c>
      <c r="B29" s="165"/>
      <c r="C29" s="88" t="s">
        <v>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f t="shared" si="3"/>
        <v>7.0924461320499413E-2</v>
      </c>
      <c r="W29" s="63">
        <f t="shared" si="4"/>
        <v>0.14184892264099883</v>
      </c>
      <c r="X29" s="63">
        <f t="shared" si="5"/>
        <v>0.21277338396149825</v>
      </c>
      <c r="Y29" s="63">
        <v>0.28369784528199765</v>
      </c>
      <c r="Z29" s="63">
        <f t="shared" ref="Z29:AC29" si="7">Y29+(($AD29-$T29)/(COLUMN($AD29)-COLUMN($T29)))</f>
        <v>0.43190910930615889</v>
      </c>
      <c r="AA29" s="63">
        <f t="shared" si="7"/>
        <v>0.58012037333032018</v>
      </c>
      <c r="AB29" s="63">
        <f t="shared" si="7"/>
        <v>0.72833163735448148</v>
      </c>
      <c r="AC29" s="63">
        <f t="shared" si="7"/>
        <v>0.87654290137864277</v>
      </c>
      <c r="AD29" s="63">
        <v>1.4821126402416127</v>
      </c>
    </row>
    <row r="30" spans="1:30" x14ac:dyDescent="0.35">
      <c r="A30" s="88" t="s">
        <v>39</v>
      </c>
      <c r="B30" s="165"/>
      <c r="C30" s="88" t="s">
        <v>34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f t="shared" si="3"/>
        <v>1.7731115330124853E-2</v>
      </c>
      <c r="W30" s="63">
        <f t="shared" si="4"/>
        <v>3.5462230660249706E-2</v>
      </c>
      <c r="X30" s="63">
        <f t="shared" si="5"/>
        <v>5.3193345990374563E-2</v>
      </c>
      <c r="Y30" s="63">
        <v>7.0924461320499413E-2</v>
      </c>
      <c r="Z30" s="63">
        <f t="shared" ref="Z30:AC30" si="8">Y30+(($AD30-$T30)/(COLUMN($AD30)-COLUMN($T30)))</f>
        <v>9.2097499038236733E-2</v>
      </c>
      <c r="AA30" s="63">
        <f t="shared" si="8"/>
        <v>0.11327053675597405</v>
      </c>
      <c r="AB30" s="63">
        <f t="shared" si="8"/>
        <v>0.13444357447371139</v>
      </c>
      <c r="AC30" s="63">
        <f t="shared" si="8"/>
        <v>0.15561661219144871</v>
      </c>
      <c r="AD30" s="63">
        <v>0.21173037717737322</v>
      </c>
    </row>
    <row r="31" spans="1:30" x14ac:dyDescent="0.35">
      <c r="A31" s="88" t="s">
        <v>39</v>
      </c>
      <c r="B31" s="165"/>
      <c r="C31" s="88" t="s">
        <v>35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f t="shared" si="3"/>
        <v>1</v>
      </c>
      <c r="W31" s="63">
        <f t="shared" si="4"/>
        <v>2</v>
      </c>
      <c r="X31" s="63">
        <f t="shared" si="5"/>
        <v>3</v>
      </c>
      <c r="Y31" s="63">
        <v>4</v>
      </c>
      <c r="Z31" s="63">
        <f t="shared" ref="Z31:AC31" si="9">Y31+(($AD31-$T31)/(COLUMN($AD31)-COLUMN($T31)))</f>
        <v>4.7</v>
      </c>
      <c r="AA31" s="63">
        <f t="shared" si="9"/>
        <v>5.4</v>
      </c>
      <c r="AB31" s="63">
        <f t="shared" si="9"/>
        <v>6.1000000000000005</v>
      </c>
      <c r="AC31" s="63">
        <f t="shared" si="9"/>
        <v>6.8000000000000007</v>
      </c>
      <c r="AD31" s="63">
        <v>7</v>
      </c>
    </row>
    <row r="32" spans="1:30" x14ac:dyDescent="0.35">
      <c r="A32" s="88" t="s">
        <v>143</v>
      </c>
      <c r="B32" s="88" t="s">
        <v>124</v>
      </c>
      <c r="C32" s="88" t="s">
        <v>144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61269.50023388071</v>
      </c>
      <c r="W32" s="63">
        <v>309135.18676223094</v>
      </c>
      <c r="X32" s="63">
        <v>550239.60949484399</v>
      </c>
      <c r="Y32" s="63">
        <v>955320.78521059011</v>
      </c>
      <c r="Z32" s="63">
        <v>1370577.9272151799</v>
      </c>
      <c r="AA32" s="63">
        <v>1750245.3041520726</v>
      </c>
      <c r="AB32" s="63">
        <v>1829888.9058662218</v>
      </c>
      <c r="AC32" s="63">
        <v>2238026.3994980985</v>
      </c>
      <c r="AD32" s="63">
        <v>2718660.2692845236</v>
      </c>
    </row>
    <row r="33" spans="1:30" x14ac:dyDescent="0.35">
      <c r="A33" s="88" t="s">
        <v>143</v>
      </c>
      <c r="B33" s="88" t="s">
        <v>145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345250.85188606189</v>
      </c>
      <c r="W33" s="63">
        <v>1741962.7411714739</v>
      </c>
      <c r="X33" s="63">
        <v>2877452.539372202</v>
      </c>
      <c r="Y33" s="63">
        <v>5061232.7981977817</v>
      </c>
      <c r="Z33" s="63">
        <v>7299871.6586538665</v>
      </c>
      <c r="AA33" s="63">
        <v>9163953.1616087183</v>
      </c>
      <c r="AB33" s="63">
        <v>8600127.8901658989</v>
      </c>
      <c r="AC33" s="63">
        <v>10576825.458751431</v>
      </c>
      <c r="AD33" s="63">
        <v>13002190.090927973</v>
      </c>
    </row>
    <row r="34" spans="1:30" x14ac:dyDescent="0.35">
      <c r="A34" s="88" t="s">
        <v>146</v>
      </c>
      <c r="B34" s="88" t="s">
        <v>124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</row>
    <row r="35" spans="1:30" x14ac:dyDescent="0.35">
      <c r="A35" s="88" t="s">
        <v>146</v>
      </c>
      <c r="B35" s="88" t="s">
        <v>145</v>
      </c>
      <c r="C35" s="88" t="s">
        <v>144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</row>
    <row r="36" spans="1:30" ht="43.5" x14ac:dyDescent="0.35">
      <c r="A36" s="3" t="s">
        <v>147</v>
      </c>
      <c r="B36" s="3" t="s">
        <v>148</v>
      </c>
      <c r="C36" s="88" t="s">
        <v>144</v>
      </c>
      <c r="D36" s="63">
        <v>3761264.1019426975</v>
      </c>
      <c r="E36" s="63">
        <v>4284468.9844651967</v>
      </c>
      <c r="F36" s="63">
        <v>4606809.457415673</v>
      </c>
      <c r="G36" s="63">
        <v>4995916.7068967419</v>
      </c>
      <c r="H36" s="63">
        <v>5329732.8155049803</v>
      </c>
      <c r="I36" s="63">
        <v>5796909.3143045204</v>
      </c>
      <c r="J36" s="63">
        <v>6339306.0254546404</v>
      </c>
      <c r="K36" s="63">
        <v>6920207.7481979132</v>
      </c>
      <c r="L36" s="63">
        <v>7596461.5360487998</v>
      </c>
      <c r="M36" s="63">
        <v>8346769.2774851266</v>
      </c>
      <c r="N36" s="63">
        <v>9071092.5084369257</v>
      </c>
      <c r="O36" s="63">
        <v>10002224.873200689</v>
      </c>
      <c r="P36" s="63">
        <v>10816199.117163673</v>
      </c>
      <c r="Q36" s="63">
        <v>11750212.177255383</v>
      </c>
      <c r="R36" s="63">
        <v>12812996.305591276</v>
      </c>
      <c r="S36" s="63">
        <v>14011630.438719206</v>
      </c>
      <c r="T36" s="63">
        <v>15155185.001629621</v>
      </c>
      <c r="U36" s="63">
        <v>16252369.160086296</v>
      </c>
      <c r="V36" s="63">
        <v>17557003.331786357</v>
      </c>
      <c r="W36" s="63">
        <v>18885313.670298275</v>
      </c>
      <c r="X36" s="63">
        <v>20270943.389896091</v>
      </c>
      <c r="Y36" s="63">
        <v>21663676.150529634</v>
      </c>
      <c r="Z36" s="63">
        <v>22940276.424123649</v>
      </c>
      <c r="AA36" s="63">
        <v>24374410.358043719</v>
      </c>
      <c r="AB36" s="63">
        <v>25933472.839458369</v>
      </c>
      <c r="AC36" s="63">
        <v>27111136.456483223</v>
      </c>
      <c r="AD36" s="63">
        <v>28364935.2116291</v>
      </c>
    </row>
    <row r="37" spans="1:30" x14ac:dyDescent="0.35">
      <c r="A37" s="88"/>
      <c r="B37" s="88"/>
      <c r="C37" s="8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x14ac:dyDescent="0.35">
      <c r="A38" s="88"/>
      <c r="B38" s="88"/>
      <c r="C38" s="88" t="s">
        <v>149</v>
      </c>
      <c r="D38" s="63">
        <f>'Cost Assumptions'!$B$4</f>
        <v>40</v>
      </c>
      <c r="E38" s="63">
        <f>D38*'Cost Assumptions'!$B$5</f>
        <v>41</v>
      </c>
      <c r="F38" s="63">
        <f>E38*'Cost Assumptions'!$B$5</f>
        <v>42.024999999999999</v>
      </c>
      <c r="G38" s="63">
        <f>F38*'Cost Assumptions'!$B$5</f>
        <v>43.075624999999995</v>
      </c>
      <c r="H38" s="63">
        <f>G38*'Cost Assumptions'!$B$5</f>
        <v>44.152515624999992</v>
      </c>
      <c r="I38" s="63">
        <f>H38*'Cost Assumptions'!$B$5</f>
        <v>45.256328515624986</v>
      </c>
      <c r="J38" s="63">
        <f>I38*'Cost Assumptions'!$B$5</f>
        <v>46.387736728515605</v>
      </c>
      <c r="K38" s="63">
        <f>J38*'Cost Assumptions'!$B$5</f>
        <v>47.547430146728495</v>
      </c>
      <c r="L38" s="63">
        <f>K38*'Cost Assumptions'!$B$5</f>
        <v>48.736115900396705</v>
      </c>
      <c r="M38" s="63">
        <f>L38*'Cost Assumptions'!$B$5</f>
        <v>49.954518797906616</v>
      </c>
      <c r="N38" s="63">
        <f>M38*'Cost Assumptions'!$B$5</f>
        <v>51.203381767854275</v>
      </c>
      <c r="O38" s="63">
        <f>N38*'Cost Assumptions'!$B$5</f>
        <v>52.483466312050624</v>
      </c>
      <c r="P38" s="63">
        <f>O38*'Cost Assumptions'!$B$5</f>
        <v>53.795552969851883</v>
      </c>
      <c r="Q38" s="63">
        <f>P38*'Cost Assumptions'!$B$5</f>
        <v>55.140441794098173</v>
      </c>
      <c r="R38" s="63">
        <f>Q38*'Cost Assumptions'!$B$5</f>
        <v>56.518952838950625</v>
      </c>
      <c r="S38" s="63">
        <f>R38*'Cost Assumptions'!$B$5</f>
        <v>57.931926659924386</v>
      </c>
      <c r="T38" s="63">
        <f>S38*'Cost Assumptions'!$B$5</f>
        <v>59.380224826422491</v>
      </c>
      <c r="U38" s="63">
        <f>T38*'Cost Assumptions'!$B$5</f>
        <v>60.864730447083048</v>
      </c>
      <c r="V38" s="63">
        <f>U38*'Cost Assumptions'!$B$5</f>
        <v>62.386348708260115</v>
      </c>
      <c r="W38" s="63">
        <f>V38*'Cost Assumptions'!$B$5</f>
        <v>63.946007425966613</v>
      </c>
      <c r="X38" s="63">
        <f>W38*'Cost Assumptions'!$B$5</f>
        <v>65.544657611615776</v>
      </c>
      <c r="Y38" s="63">
        <f>X38*'Cost Assumptions'!$B$5</f>
        <v>67.183274051906167</v>
      </c>
      <c r="Z38" s="63">
        <f>Y38*'Cost Assumptions'!$B$5</f>
        <v>68.862855903203823</v>
      </c>
      <c r="AA38" s="63">
        <f>Z38*'Cost Assumptions'!$B$5</f>
        <v>70.584427300783915</v>
      </c>
      <c r="AB38" s="63">
        <f>AA38*'Cost Assumptions'!$B$5</f>
        <v>72.349037983303504</v>
      </c>
      <c r="AC38" s="63">
        <f>AB38*'Cost Assumptions'!$B$5</f>
        <v>74.157763932886084</v>
      </c>
      <c r="AD38" s="63">
        <f>AC38*'Cost Assumptions'!$B$5</f>
        <v>76.011708031208229</v>
      </c>
    </row>
    <row r="39" spans="1:30" x14ac:dyDescent="0.35">
      <c r="A39" s="88"/>
      <c r="B39" s="88"/>
      <c r="C39" s="88"/>
      <c r="D39" s="88"/>
      <c r="E39" s="88"/>
      <c r="F39" s="88"/>
      <c r="G39" s="63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ht="23.5" x14ac:dyDescent="0.55000000000000004">
      <c r="A40" s="88"/>
      <c r="B40" s="167" t="s">
        <v>150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</row>
    <row r="41" spans="1:30" ht="20" thickBot="1" x14ac:dyDescent="0.5">
      <c r="A41" s="117"/>
      <c r="B41" s="128" t="s">
        <v>151</v>
      </c>
      <c r="C41" s="117" t="s">
        <v>118</v>
      </c>
      <c r="D41" s="117">
        <v>2022</v>
      </c>
      <c r="E41" s="117">
        <v>2023</v>
      </c>
      <c r="F41" s="117">
        <v>2024</v>
      </c>
      <c r="G41" s="117">
        <v>2025</v>
      </c>
      <c r="H41" s="117">
        <v>2026</v>
      </c>
      <c r="I41" s="117">
        <v>2027</v>
      </c>
      <c r="J41" s="117">
        <v>2028</v>
      </c>
      <c r="K41" s="117">
        <v>2029</v>
      </c>
      <c r="L41" s="117">
        <v>2030</v>
      </c>
      <c r="M41" s="117">
        <v>2031</v>
      </c>
      <c r="N41" s="117">
        <v>2032</v>
      </c>
      <c r="O41" s="117">
        <v>2033</v>
      </c>
      <c r="P41" s="117">
        <v>2034</v>
      </c>
      <c r="Q41" s="117">
        <v>2035</v>
      </c>
      <c r="R41" s="117">
        <v>2036</v>
      </c>
      <c r="S41" s="117">
        <v>2037</v>
      </c>
      <c r="T41" s="117">
        <v>2038</v>
      </c>
      <c r="U41" s="117">
        <v>2039</v>
      </c>
      <c r="V41" s="117">
        <v>2040</v>
      </c>
      <c r="W41" s="117">
        <v>2041</v>
      </c>
      <c r="X41" s="117">
        <v>2042</v>
      </c>
      <c r="Y41" s="117">
        <v>2043</v>
      </c>
      <c r="Z41" s="117">
        <v>2044</v>
      </c>
      <c r="AA41" s="117">
        <v>2045</v>
      </c>
      <c r="AB41" s="117">
        <v>2046</v>
      </c>
      <c r="AC41" s="117">
        <v>2047</v>
      </c>
      <c r="AD41" s="117">
        <v>2048</v>
      </c>
    </row>
    <row r="42" spans="1:30" ht="15" thickTop="1" x14ac:dyDescent="0.35">
      <c r="A42" s="5">
        <f>SUM(D42:AD42)</f>
        <v>214200.01954973943</v>
      </c>
      <c r="B42" s="11">
        <f>NPV('Cost Assumptions'!$B$3,'SDG&amp;E'!D42:'SDG&amp;E'!AD42)</f>
        <v>65874.459696455961</v>
      </c>
      <c r="C42" s="88" t="s">
        <v>120</v>
      </c>
      <c r="D42" s="63">
        <f t="shared" ref="D42:AD42" si="10">D2-D18</f>
        <v>5749.6599999996033</v>
      </c>
      <c r="E42" s="63">
        <f t="shared" si="10"/>
        <v>5959.3278846148969</v>
      </c>
      <c r="F42" s="63">
        <f t="shared" si="10"/>
        <v>6168.9957692301978</v>
      </c>
      <c r="G42" s="63">
        <f t="shared" si="10"/>
        <v>6378.6636538454986</v>
      </c>
      <c r="H42" s="63">
        <f t="shared" si="10"/>
        <v>6588.3315384607995</v>
      </c>
      <c r="I42" s="63">
        <f t="shared" si="10"/>
        <v>6797.9994230761004</v>
      </c>
      <c r="J42" s="63">
        <f t="shared" si="10"/>
        <v>7007.6673076913867</v>
      </c>
      <c r="K42" s="63">
        <f t="shared" si="10"/>
        <v>7147.6483925437351</v>
      </c>
      <c r="L42" s="63">
        <f t="shared" si="10"/>
        <v>7287.6294773960835</v>
      </c>
      <c r="M42" s="63">
        <f t="shared" si="10"/>
        <v>7427.610562248432</v>
      </c>
      <c r="N42" s="63">
        <f t="shared" si="10"/>
        <v>7567.5916471007804</v>
      </c>
      <c r="O42" s="63">
        <f t="shared" si="10"/>
        <v>7707.5727319531288</v>
      </c>
      <c r="P42" s="63">
        <f t="shared" si="10"/>
        <v>7847.5538168054773</v>
      </c>
      <c r="Q42" s="63">
        <f t="shared" si="10"/>
        <v>7987.5349016578257</v>
      </c>
      <c r="R42" s="63">
        <f t="shared" si="10"/>
        <v>8127.5159865101741</v>
      </c>
      <c r="S42" s="63">
        <f t="shared" si="10"/>
        <v>8267.4970713625225</v>
      </c>
      <c r="T42" s="63">
        <f t="shared" si="10"/>
        <v>8407.478156214871</v>
      </c>
      <c r="U42" s="63">
        <f t="shared" si="10"/>
        <v>8547.4592410672194</v>
      </c>
      <c r="V42" s="63">
        <f t="shared" si="10"/>
        <v>8687.4403259195678</v>
      </c>
      <c r="W42" s="63">
        <f t="shared" si="10"/>
        <v>8827.4214107719163</v>
      </c>
      <c r="X42" s="63">
        <f t="shared" si="10"/>
        <v>8967.4024956242647</v>
      </c>
      <c r="Y42" s="63">
        <f t="shared" si="10"/>
        <v>9107.3835804766131</v>
      </c>
      <c r="Z42" s="63">
        <f t="shared" si="10"/>
        <v>9247.3646653289616</v>
      </c>
      <c r="AA42" s="63">
        <f t="shared" si="10"/>
        <v>9387.34575018131</v>
      </c>
      <c r="AB42" s="63">
        <f t="shared" si="10"/>
        <v>9527.3268350336584</v>
      </c>
      <c r="AC42" s="63">
        <f t="shared" si="10"/>
        <v>9667.3079198860069</v>
      </c>
      <c r="AD42" s="63">
        <f t="shared" si="10"/>
        <v>9807.2890047383917</v>
      </c>
    </row>
    <row r="43" spans="1:30" x14ac:dyDescent="0.35">
      <c r="A43" s="5">
        <f>SUM(D43:AD43)</f>
        <v>12367562.148430306</v>
      </c>
      <c r="B43" s="11">
        <f>NPV('Cost Assumptions'!$B$3,'SDG&amp;E'!D43:'SDG&amp;E'!AD43)</f>
        <v>3322420.3214480733</v>
      </c>
      <c r="C43" s="88" t="s">
        <v>152</v>
      </c>
      <c r="D43" s="63">
        <f>D42*D38</f>
        <v>229986.39999998413</v>
      </c>
      <c r="E43" s="63">
        <f t="shared" ref="E43:AD43" si="11">E42*E38</f>
        <v>244332.44326921078</v>
      </c>
      <c r="F43" s="63">
        <f t="shared" si="11"/>
        <v>259252.04720189905</v>
      </c>
      <c r="G43" s="63">
        <f t="shared" si="11"/>
        <v>274764.9235541785</v>
      </c>
      <c r="H43" s="63">
        <f t="shared" si="11"/>
        <v>290891.41119457071</v>
      </c>
      <c r="I43" s="63">
        <f t="shared" si="11"/>
        <v>307652.49513976113</v>
      </c>
      <c r="J43" s="63">
        <f t="shared" si="11"/>
        <v>325069.82615021383</v>
      </c>
      <c r="K43" s="63">
        <f t="shared" si="11"/>
        <v>339852.31265784946</v>
      </c>
      <c r="L43" s="63">
        <f t="shared" si="11"/>
        <v>355170.75484952301</v>
      </c>
      <c r="M43" s="63">
        <f t="shared" si="11"/>
        <v>371042.71145536902</v>
      </c>
      <c r="N43" s="63">
        <f t="shared" si="11"/>
        <v>387486.28416972642</v>
      </c>
      <c r="O43" s="63">
        <f t="shared" si="11"/>
        <v>404520.13382514205</v>
      </c>
      <c r="P43" s="63">
        <f t="shared" si="11"/>
        <v>422163.49703572236</v>
      </c>
      <c r="Q43" s="63">
        <f t="shared" si="11"/>
        <v>440436.20332319103</v>
      </c>
      <c r="R43" s="63">
        <f t="shared" si="11"/>
        <v>459358.69273938582</v>
      </c>
      <c r="S43" s="63">
        <f t="shared" si="11"/>
        <v>478952.03399931331</v>
      </c>
      <c r="T43" s="63">
        <f t="shared" si="11"/>
        <v>499237.94313927507</v>
      </c>
      <c r="U43" s="63">
        <f t="shared" si="11"/>
        <v>520238.80271498533</v>
      </c>
      <c r="V43" s="63">
        <f t="shared" si="11"/>
        <v>541977.68155501911</v>
      </c>
      <c r="W43" s="63">
        <f t="shared" si="11"/>
        <v>564478.35508535767</v>
      </c>
      <c r="X43" s="63">
        <f t="shared" si="11"/>
        <v>587765.3262412413</v>
      </c>
      <c r="Y43" s="63">
        <f t="shared" si="11"/>
        <v>611863.84698299074</v>
      </c>
      <c r="Z43" s="63">
        <f t="shared" si="11"/>
        <v>636799.94043292687</v>
      </c>
      <c r="AA43" s="63">
        <f t="shared" si="11"/>
        <v>662600.42365099548</v>
      </c>
      <c r="AB43" s="63">
        <f t="shared" si="11"/>
        <v>689292.93106719689</v>
      </c>
      <c r="AC43" s="63">
        <f t="shared" si="11"/>
        <v>716905.93858942646</v>
      </c>
      <c r="AD43" s="63">
        <f t="shared" si="11"/>
        <v>745468.78840585332</v>
      </c>
    </row>
    <row r="44" spans="1:30" x14ac:dyDescent="0.35">
      <c r="A44" s="5">
        <f>SUM(D44:AD44)/1000</f>
        <v>21.683800000000002</v>
      </c>
      <c r="B44" s="11">
        <f>NPV('Cost Assumptions'!$B$3,'SDG&amp;E'!D44:'SDG&amp;E'!AD44)</f>
        <v>3054.0879453272519</v>
      </c>
      <c r="C44" s="88" t="s">
        <v>31</v>
      </c>
      <c r="D44" s="63">
        <f t="shared" ref="D44:AD44" si="12">D3-D19</f>
        <v>10</v>
      </c>
      <c r="E44" s="63">
        <f t="shared" si="12"/>
        <v>20.5</v>
      </c>
      <c r="F44" s="63">
        <f t="shared" si="12"/>
        <v>29.879999999999995</v>
      </c>
      <c r="G44" s="63">
        <f t="shared" si="12"/>
        <v>39.259999999999991</v>
      </c>
      <c r="H44" s="63">
        <f t="shared" si="12"/>
        <v>48.639999999999986</v>
      </c>
      <c r="I44" s="63">
        <f t="shared" si="12"/>
        <v>58.019999999999982</v>
      </c>
      <c r="J44" s="63">
        <f t="shared" si="12"/>
        <v>67.399999999999977</v>
      </c>
      <c r="K44" s="63">
        <f t="shared" si="12"/>
        <v>91.449999999999989</v>
      </c>
      <c r="L44" s="63">
        <f t="shared" si="12"/>
        <v>115.5</v>
      </c>
      <c r="M44" s="63">
        <f t="shared" si="12"/>
        <v>139.55000000000001</v>
      </c>
      <c r="N44" s="63">
        <f t="shared" si="12"/>
        <v>163.6</v>
      </c>
      <c r="O44" s="63">
        <f t="shared" si="12"/>
        <v>249.4666666666667</v>
      </c>
      <c r="P44" s="63">
        <f t="shared" si="12"/>
        <v>335.33333333333337</v>
      </c>
      <c r="Q44" s="63">
        <f t="shared" si="12"/>
        <v>421.20000000000005</v>
      </c>
      <c r="R44" s="63">
        <f t="shared" si="12"/>
        <v>507.06666666666672</v>
      </c>
      <c r="S44" s="63">
        <f t="shared" si="12"/>
        <v>592.93333333333339</v>
      </c>
      <c r="T44" s="63">
        <f t="shared" si="12"/>
        <v>678.80000000000018</v>
      </c>
      <c r="U44" s="63">
        <f t="shared" si="12"/>
        <v>893.22000000000014</v>
      </c>
      <c r="V44" s="63">
        <f t="shared" si="12"/>
        <v>1107.6400000000001</v>
      </c>
      <c r="W44" s="63">
        <f t="shared" si="12"/>
        <v>1322.0600000000002</v>
      </c>
      <c r="X44" s="63">
        <f t="shared" si="12"/>
        <v>1536.4800000000002</v>
      </c>
      <c r="Y44" s="63">
        <f t="shared" si="12"/>
        <v>1595.6</v>
      </c>
      <c r="Z44" s="63">
        <f t="shared" si="12"/>
        <v>1841.08</v>
      </c>
      <c r="AA44" s="63">
        <f t="shared" si="12"/>
        <v>2086.56</v>
      </c>
      <c r="AB44" s="63">
        <f t="shared" si="12"/>
        <v>2332.04</v>
      </c>
      <c r="AC44" s="63">
        <f t="shared" si="12"/>
        <v>2577.52</v>
      </c>
      <c r="AD44" s="63">
        <f t="shared" si="12"/>
        <v>2823</v>
      </c>
    </row>
    <row r="45" spans="1:30" x14ac:dyDescent="0.35">
      <c r="A45" s="5">
        <f t="shared" ref="A45:A56" si="13">SUM(D45:AD45)/1000</f>
        <v>0.78004999999999991</v>
      </c>
      <c r="B45" s="11">
        <f>NPV('Cost Assumptions'!$B$3,'SDG&amp;E'!D45:'SDG&amp;E'!AD45)</f>
        <v>153.69224473977658</v>
      </c>
      <c r="C45" s="88" t="s">
        <v>32</v>
      </c>
      <c r="D45" s="63">
        <f t="shared" ref="D45:AD45" si="14">D4-D20</f>
        <v>2</v>
      </c>
      <c r="E45" s="63">
        <f t="shared" si="14"/>
        <v>3</v>
      </c>
      <c r="F45" s="63">
        <f t="shared" si="14"/>
        <v>4.6799999999999953</v>
      </c>
      <c r="G45" s="63">
        <f t="shared" si="14"/>
        <v>6.3599999999999905</v>
      </c>
      <c r="H45" s="63">
        <f t="shared" si="14"/>
        <v>8.0399999999999867</v>
      </c>
      <c r="I45" s="63">
        <f t="shared" si="14"/>
        <v>9.7199999999999829</v>
      </c>
      <c r="J45" s="63">
        <f t="shared" si="14"/>
        <v>11.399999999999977</v>
      </c>
      <c r="K45" s="63">
        <f t="shared" si="14"/>
        <v>13.199999999999989</v>
      </c>
      <c r="L45" s="63">
        <f t="shared" si="14"/>
        <v>15</v>
      </c>
      <c r="M45" s="63">
        <f t="shared" si="14"/>
        <v>16.800000000000011</v>
      </c>
      <c r="N45" s="63">
        <f t="shared" si="14"/>
        <v>18.600000000000023</v>
      </c>
      <c r="O45" s="63">
        <f t="shared" si="14"/>
        <v>21.350000000000023</v>
      </c>
      <c r="P45" s="63">
        <f t="shared" si="14"/>
        <v>24.100000000000023</v>
      </c>
      <c r="Q45" s="63">
        <f t="shared" si="14"/>
        <v>26.850000000000023</v>
      </c>
      <c r="R45" s="63">
        <f t="shared" si="14"/>
        <v>29.600000000000023</v>
      </c>
      <c r="S45" s="63">
        <f t="shared" si="14"/>
        <v>32.350000000000023</v>
      </c>
      <c r="T45" s="63">
        <f t="shared" si="14"/>
        <v>35.100000000000023</v>
      </c>
      <c r="U45" s="63">
        <f t="shared" si="14"/>
        <v>37.140000000000015</v>
      </c>
      <c r="V45" s="63">
        <f t="shared" si="14"/>
        <v>39.180000000000007</v>
      </c>
      <c r="W45" s="63">
        <f t="shared" si="14"/>
        <v>41.22</v>
      </c>
      <c r="X45" s="63">
        <f t="shared" si="14"/>
        <v>43.259999999999991</v>
      </c>
      <c r="Y45" s="63">
        <f t="shared" si="14"/>
        <v>45.3</v>
      </c>
      <c r="Z45" s="63">
        <f t="shared" si="14"/>
        <v>49.92</v>
      </c>
      <c r="AA45" s="63">
        <f t="shared" si="14"/>
        <v>54.540000000000006</v>
      </c>
      <c r="AB45" s="63">
        <f t="shared" si="14"/>
        <v>59.160000000000011</v>
      </c>
      <c r="AC45" s="63">
        <f t="shared" si="14"/>
        <v>63.780000000000015</v>
      </c>
      <c r="AD45" s="63">
        <f t="shared" si="14"/>
        <v>68.400000000000006</v>
      </c>
    </row>
    <row r="46" spans="1:30" x14ac:dyDescent="0.35">
      <c r="A46" s="5">
        <f t="shared" si="13"/>
        <v>1.3791902437124208</v>
      </c>
      <c r="B46" s="11">
        <f>NPV('Cost Assumptions'!$B$3,'SDG&amp;E'!D46:'SDG&amp;E'!AD46)</f>
        <v>159.37844490973765</v>
      </c>
      <c r="C46" s="88" t="s">
        <v>33</v>
      </c>
      <c r="D46" s="63">
        <f t="shared" ref="D46:AD46" si="15">D5-D21</f>
        <v>8.4812112193331513E-2</v>
      </c>
      <c r="E46" s="63">
        <f t="shared" si="15"/>
        <v>0.24283371212350299</v>
      </c>
      <c r="F46" s="63">
        <f t="shared" si="15"/>
        <v>0.34046276046663143</v>
      </c>
      <c r="G46" s="63">
        <f t="shared" si="15"/>
        <v>0.43809180880975984</v>
      </c>
      <c r="H46" s="63">
        <f t="shared" si="15"/>
        <v>0.53572085715288831</v>
      </c>
      <c r="I46" s="63">
        <f t="shared" si="15"/>
        <v>0.63334990549601677</v>
      </c>
      <c r="J46" s="63">
        <f t="shared" si="15"/>
        <v>0.73097895383914513</v>
      </c>
      <c r="K46" s="63">
        <f t="shared" si="15"/>
        <v>1.1654530565649843</v>
      </c>
      <c r="L46" s="63">
        <f t="shared" si="15"/>
        <v>1.5999271592908235</v>
      </c>
      <c r="M46" s="63">
        <f t="shared" si="15"/>
        <v>2.0344012620166625</v>
      </c>
      <c r="N46" s="63">
        <f t="shared" si="15"/>
        <v>2.4688753647425017</v>
      </c>
      <c r="O46" s="63">
        <f t="shared" si="15"/>
        <v>6.1188246067013257</v>
      </c>
      <c r="P46" s="63">
        <f t="shared" si="15"/>
        <v>9.7687738486601496</v>
      </c>
      <c r="Q46" s="63">
        <f t="shared" si="15"/>
        <v>13.418723090618974</v>
      </c>
      <c r="R46" s="63">
        <f t="shared" si="15"/>
        <v>17.068672332577798</v>
      </c>
      <c r="S46" s="63">
        <f t="shared" si="15"/>
        <v>20.718621574536623</v>
      </c>
      <c r="T46" s="63">
        <f t="shared" si="15"/>
        <v>24.368570816495449</v>
      </c>
      <c r="U46" s="63">
        <f t="shared" si="15"/>
        <v>38.177554292324203</v>
      </c>
      <c r="V46" s="63">
        <f t="shared" si="15"/>
        <v>51.986537768152957</v>
      </c>
      <c r="W46" s="63">
        <f t="shared" si="15"/>
        <v>65.79552124398171</v>
      </c>
      <c r="X46" s="63">
        <f t="shared" si="15"/>
        <v>79.604504719810464</v>
      </c>
      <c r="Y46" s="63">
        <f t="shared" si="15"/>
        <v>93.413488195639218</v>
      </c>
      <c r="Z46" s="63">
        <f t="shared" si="15"/>
        <v>125.5073617484412</v>
      </c>
      <c r="AA46" s="63">
        <f t="shared" si="15"/>
        <v>157.60123530124318</v>
      </c>
      <c r="AB46" s="63">
        <f t="shared" si="15"/>
        <v>189.69510885404515</v>
      </c>
      <c r="AC46" s="63">
        <f t="shared" si="15"/>
        <v>221.78898240684714</v>
      </c>
      <c r="AD46" s="63">
        <f t="shared" si="15"/>
        <v>253.88285595964913</v>
      </c>
    </row>
    <row r="47" spans="1:30" x14ac:dyDescent="0.35">
      <c r="A47" s="5">
        <f t="shared" si="13"/>
        <v>1.8892040873009611E-2</v>
      </c>
      <c r="B47" s="11">
        <f>NPV('Cost Assumptions'!$B$3,'SDG&amp;E'!D47:'SDG&amp;E'!AD47)</f>
        <v>2.6252697089132693</v>
      </c>
      <c r="C47" s="88" t="s">
        <v>34</v>
      </c>
      <c r="D47" s="63">
        <f t="shared" ref="D47:AD47" si="16">D6-D22</f>
        <v>6.0580080138093939E-3</v>
      </c>
      <c r="E47" s="63">
        <f t="shared" si="16"/>
        <v>1.7771756236396739E-2</v>
      </c>
      <c r="F47" s="63">
        <f t="shared" si="16"/>
        <v>2.504677784712513E-2</v>
      </c>
      <c r="G47" s="63">
        <f t="shared" si="16"/>
        <v>3.2321799457853517E-2</v>
      </c>
      <c r="H47" s="63">
        <f t="shared" si="16"/>
        <v>3.9596821068581908E-2</v>
      </c>
      <c r="I47" s="63">
        <f t="shared" si="16"/>
        <v>4.6871842679310299E-2</v>
      </c>
      <c r="J47" s="63">
        <f t="shared" si="16"/>
        <v>5.414686429003869E-2</v>
      </c>
      <c r="K47" s="63">
        <f t="shared" si="16"/>
        <v>7.3798800432577555E-2</v>
      </c>
      <c r="L47" s="63">
        <f t="shared" si="16"/>
        <v>9.3450736575116419E-2</v>
      </c>
      <c r="M47" s="63">
        <f t="shared" si="16"/>
        <v>0.11310267271765528</v>
      </c>
      <c r="N47" s="63">
        <f t="shared" si="16"/>
        <v>0.13275460886019416</v>
      </c>
      <c r="O47" s="63">
        <f t="shared" si="16"/>
        <v>0.20937705636327303</v>
      </c>
      <c r="P47" s="63">
        <f t="shared" si="16"/>
        <v>0.28599950386635192</v>
      </c>
      <c r="Q47" s="63">
        <f t="shared" si="16"/>
        <v>0.36262195136943082</v>
      </c>
      <c r="R47" s="63">
        <f t="shared" si="16"/>
        <v>0.43924439887250971</v>
      </c>
      <c r="S47" s="63">
        <f t="shared" si="16"/>
        <v>0.51586684637558855</v>
      </c>
      <c r="T47" s="63">
        <f t="shared" si="16"/>
        <v>0.59248929387866744</v>
      </c>
      <c r="U47" s="63">
        <f t="shared" si="16"/>
        <v>0.75647401896257604</v>
      </c>
      <c r="V47" s="63">
        <f t="shared" si="16"/>
        <v>0.92045874404648464</v>
      </c>
      <c r="W47" s="63">
        <f t="shared" si="16"/>
        <v>1.0844434691303932</v>
      </c>
      <c r="X47" s="63">
        <f t="shared" si="16"/>
        <v>1.2484281942143018</v>
      </c>
      <c r="Y47" s="63">
        <f t="shared" si="16"/>
        <v>1.4124129192982104</v>
      </c>
      <c r="Z47" s="63">
        <f t="shared" si="16"/>
        <v>1.6368955320956846</v>
      </c>
      <c r="AA47" s="63">
        <f t="shared" si="16"/>
        <v>1.8613781448931588</v>
      </c>
      <c r="AB47" s="63">
        <f t="shared" si="16"/>
        <v>2.0858607576906327</v>
      </c>
      <c r="AC47" s="63">
        <f t="shared" si="16"/>
        <v>2.3103433704881069</v>
      </c>
      <c r="AD47" s="63">
        <f t="shared" si="16"/>
        <v>2.5348259832855811</v>
      </c>
    </row>
    <row r="48" spans="1:30" x14ac:dyDescent="0.35">
      <c r="A48" s="5">
        <f t="shared" si="13"/>
        <v>1.9990000000000001</v>
      </c>
      <c r="B48" s="11">
        <f>NPV('Cost Assumptions'!$B$3,'SDG&amp;E'!D48:'SDG&amp;E'!AD48)</f>
        <v>431.19522979784904</v>
      </c>
      <c r="C48" s="88" t="s">
        <v>35</v>
      </c>
      <c r="D48" s="63">
        <f t="shared" ref="D48:AD48" si="17">D7-D23</f>
        <v>14</v>
      </c>
      <c r="E48" s="63">
        <f t="shared" si="17"/>
        <v>21</v>
      </c>
      <c r="F48" s="63">
        <f t="shared" si="17"/>
        <v>23.2</v>
      </c>
      <c r="G48" s="63">
        <f t="shared" si="17"/>
        <v>25.4</v>
      </c>
      <c r="H48" s="63">
        <f t="shared" si="17"/>
        <v>27.599999999999998</v>
      </c>
      <c r="I48" s="63">
        <f t="shared" si="17"/>
        <v>29.799999999999997</v>
      </c>
      <c r="J48" s="63">
        <f t="shared" si="17"/>
        <v>32</v>
      </c>
      <c r="K48" s="63">
        <f t="shared" si="17"/>
        <v>35.75</v>
      </c>
      <c r="L48" s="63">
        <f t="shared" si="17"/>
        <v>39.5</v>
      </c>
      <c r="M48" s="63">
        <f t="shared" si="17"/>
        <v>43.25</v>
      </c>
      <c r="N48" s="63">
        <f t="shared" si="17"/>
        <v>47</v>
      </c>
      <c r="O48" s="63">
        <f t="shared" si="17"/>
        <v>53.833333333333336</v>
      </c>
      <c r="P48" s="63">
        <f t="shared" si="17"/>
        <v>60.666666666666671</v>
      </c>
      <c r="Q48" s="63">
        <f t="shared" si="17"/>
        <v>67.5</v>
      </c>
      <c r="R48" s="63">
        <f t="shared" si="17"/>
        <v>74.333333333333329</v>
      </c>
      <c r="S48" s="63">
        <f t="shared" si="17"/>
        <v>81.166666666666657</v>
      </c>
      <c r="T48" s="63">
        <f t="shared" si="17"/>
        <v>88</v>
      </c>
      <c r="U48" s="63">
        <f t="shared" si="17"/>
        <v>94.4</v>
      </c>
      <c r="V48" s="63">
        <f t="shared" si="17"/>
        <v>100.80000000000001</v>
      </c>
      <c r="W48" s="63">
        <f t="shared" si="17"/>
        <v>107.20000000000002</v>
      </c>
      <c r="X48" s="63">
        <f t="shared" si="17"/>
        <v>113.60000000000002</v>
      </c>
      <c r="Y48" s="63">
        <f t="shared" si="17"/>
        <v>120</v>
      </c>
      <c r="Z48" s="63">
        <f t="shared" si="17"/>
        <v>126.6</v>
      </c>
      <c r="AA48" s="63">
        <f t="shared" si="17"/>
        <v>133.19999999999999</v>
      </c>
      <c r="AB48" s="63">
        <f t="shared" si="17"/>
        <v>139.79999999999998</v>
      </c>
      <c r="AC48" s="63">
        <f t="shared" si="17"/>
        <v>146.39999999999998</v>
      </c>
      <c r="AD48" s="63">
        <f t="shared" si="17"/>
        <v>153</v>
      </c>
    </row>
    <row r="49" spans="1:30" x14ac:dyDescent="0.35">
      <c r="A49" s="5">
        <f t="shared" si="13"/>
        <v>312.01549525797515</v>
      </c>
      <c r="B49" s="11">
        <f>NPV('Cost Assumptions'!$B$3,'SDG&amp;E'!D49:'SDG&amp;E'!AD49)</f>
        <v>77819.443063585815</v>
      </c>
      <c r="C49" s="12" t="s">
        <v>153</v>
      </c>
      <c r="D49" s="63">
        <f>D13-D24</f>
        <v>3765.5276298672634</v>
      </c>
      <c r="E49" s="63">
        <f t="shared" ref="E49:AD49" si="18">E13-E24</f>
        <v>4364.5197929771184</v>
      </c>
      <c r="F49" s="63">
        <f t="shared" si="18"/>
        <v>4963.5119560869734</v>
      </c>
      <c r="G49" s="63">
        <f t="shared" si="18"/>
        <v>5562.5041191968285</v>
      </c>
      <c r="H49" s="63">
        <f t="shared" si="18"/>
        <v>6161.4962823066835</v>
      </c>
      <c r="I49" s="63">
        <f t="shared" si="18"/>
        <v>6760.4884454165385</v>
      </c>
      <c r="J49" s="63">
        <f t="shared" si="18"/>
        <v>7359.4806085263936</v>
      </c>
      <c r="K49" s="63">
        <f t="shared" si="18"/>
        <v>7958.4727716362486</v>
      </c>
      <c r="L49" s="63">
        <f t="shared" si="18"/>
        <v>8657.4649347460636</v>
      </c>
      <c r="M49" s="63">
        <f t="shared" si="18"/>
        <v>9156.4570978559586</v>
      </c>
      <c r="N49" s="63">
        <f t="shared" si="18"/>
        <v>9755.4492609658137</v>
      </c>
      <c r="O49" s="63">
        <f t="shared" si="18"/>
        <v>10354.441424075669</v>
      </c>
      <c r="P49" s="63">
        <f t="shared" si="18"/>
        <v>10953.433587185524</v>
      </c>
      <c r="Q49" s="63">
        <f t="shared" si="18"/>
        <v>11552.425750295381</v>
      </c>
      <c r="R49" s="63">
        <f t="shared" si="18"/>
        <v>12151.417913405232</v>
      </c>
      <c r="S49" s="63">
        <f t="shared" si="18"/>
        <v>12750.410076515091</v>
      </c>
      <c r="T49" s="63">
        <f t="shared" si="18"/>
        <v>13349.402239624942</v>
      </c>
      <c r="U49" s="63">
        <f t="shared" si="18"/>
        <v>13948.394402734797</v>
      </c>
      <c r="V49" s="63">
        <f t="shared" si="18"/>
        <v>14547.386565844652</v>
      </c>
      <c r="W49" s="63">
        <f t="shared" si="18"/>
        <v>15146.378728954507</v>
      </c>
      <c r="X49" s="63">
        <f t="shared" si="18"/>
        <v>15745.370892064362</v>
      </c>
      <c r="Y49" s="63">
        <f t="shared" si="18"/>
        <v>16344.363055174217</v>
      </c>
      <c r="Z49" s="63">
        <f t="shared" si="18"/>
        <v>16943.355218284076</v>
      </c>
      <c r="AA49" s="63">
        <f t="shared" si="18"/>
        <v>17542.347381393931</v>
      </c>
      <c r="AB49" s="63">
        <f t="shared" si="18"/>
        <v>18141.339544503786</v>
      </c>
      <c r="AC49" s="63">
        <f t="shared" si="18"/>
        <v>18740.331707613641</v>
      </c>
      <c r="AD49" s="63">
        <f t="shared" si="18"/>
        <v>19339.323870723507</v>
      </c>
    </row>
    <row r="50" spans="1:30" x14ac:dyDescent="0.35">
      <c r="A50" s="5">
        <f t="shared" si="13"/>
        <v>3785.4388765137851</v>
      </c>
      <c r="B50" s="11">
        <f>NPV('Cost Assumptions'!$B$3,'SDG&amp;E'!D50:'SDG&amp;E'!AD50)</f>
        <v>1279733.522949673</v>
      </c>
      <c r="C50" s="12" t="s">
        <v>154</v>
      </c>
      <c r="D50" s="63">
        <f>D14-D25</f>
        <v>135760.68278920944</v>
      </c>
      <c r="E50" s="63">
        <f t="shared" ref="E50:AD50" si="19">E14-E25</f>
        <v>136381.66173502614</v>
      </c>
      <c r="F50" s="63">
        <f t="shared" si="19"/>
        <v>136667.1684994126</v>
      </c>
      <c r="G50" s="63">
        <f t="shared" si="19"/>
        <v>136953.4131002138</v>
      </c>
      <c r="H50" s="63">
        <f t="shared" si="19"/>
        <v>137247.02550308438</v>
      </c>
      <c r="I50" s="63">
        <f t="shared" si="19"/>
        <v>137582.27930482649</v>
      </c>
      <c r="J50" s="63">
        <f t="shared" si="19"/>
        <v>137906.42166879147</v>
      </c>
      <c r="K50" s="63">
        <f t="shared" si="19"/>
        <v>138295.18399754554</v>
      </c>
      <c r="L50" s="63">
        <f t="shared" si="19"/>
        <v>138683.17257228406</v>
      </c>
      <c r="M50" s="63">
        <f t="shared" si="19"/>
        <v>139076.16697295231</v>
      </c>
      <c r="N50" s="63">
        <f t="shared" si="19"/>
        <v>139453.97263401424</v>
      </c>
      <c r="O50" s="63">
        <f t="shared" si="19"/>
        <v>139820.99276881013</v>
      </c>
      <c r="P50" s="63">
        <f t="shared" si="19"/>
        <v>140174.18718467269</v>
      </c>
      <c r="Q50" s="63">
        <f t="shared" si="19"/>
        <v>140505.91993140089</v>
      </c>
      <c r="R50" s="63">
        <f t="shared" si="19"/>
        <v>140825.20088748116</v>
      </c>
      <c r="S50" s="63">
        <f t="shared" si="19"/>
        <v>141137.14836204948</v>
      </c>
      <c r="T50" s="63">
        <f t="shared" si="19"/>
        <v>141442.20597360618</v>
      </c>
      <c r="U50" s="63">
        <f t="shared" si="19"/>
        <v>141712.82975938066</v>
      </c>
      <c r="V50" s="63">
        <f t="shared" si="19"/>
        <v>141974.22890242073</v>
      </c>
      <c r="W50" s="63">
        <f t="shared" si="19"/>
        <v>142230.30156878877</v>
      </c>
      <c r="X50" s="63">
        <f t="shared" si="19"/>
        <v>142485.64369676972</v>
      </c>
      <c r="Y50" s="63">
        <f t="shared" si="19"/>
        <v>142702.21194828924</v>
      </c>
      <c r="Z50" s="63">
        <f t="shared" si="19"/>
        <v>142913.52446956764</v>
      </c>
      <c r="AA50" s="63">
        <f t="shared" si="19"/>
        <v>143117.99491279374</v>
      </c>
      <c r="AB50" s="63">
        <f t="shared" si="19"/>
        <v>143316.95219848366</v>
      </c>
      <c r="AC50" s="63">
        <f t="shared" si="19"/>
        <v>143467.54174993513</v>
      </c>
      <c r="AD50" s="63">
        <f t="shared" si="19"/>
        <v>143604.84342197527</v>
      </c>
    </row>
    <row r="51" spans="1:30" s="62" customFormat="1" x14ac:dyDescent="0.35">
      <c r="A51" s="5">
        <f t="shared" si="13"/>
        <v>2043.8045790074423</v>
      </c>
      <c r="B51" s="11">
        <f>NPV('Cost Assumptions'!$B$3,'SDG&amp;E'!D51:'SDG&amp;E'!AD51)</f>
        <v>581863.94621484273</v>
      </c>
      <c r="C51" s="12" t="s">
        <v>155</v>
      </c>
      <c r="D51" s="63">
        <f>D15-D26</f>
        <v>45808.38413318948</v>
      </c>
      <c r="E51" s="63">
        <f t="shared" ref="E51:AD51" si="20">E15-E26</f>
        <v>48737.99932665941</v>
      </c>
      <c r="F51" s="63">
        <f t="shared" si="20"/>
        <v>50182.216136375348</v>
      </c>
      <c r="G51" s="63">
        <f t="shared" si="20"/>
        <v>51691.239383585023</v>
      </c>
      <c r="H51" s="63">
        <f t="shared" si="20"/>
        <v>53310.935112805586</v>
      </c>
      <c r="I51" s="63">
        <f t="shared" si="20"/>
        <v>55169.024632251982</v>
      </c>
      <c r="J51" s="63">
        <f t="shared" si="20"/>
        <v>57028.765998763025</v>
      </c>
      <c r="K51" s="63">
        <f t="shared" si="20"/>
        <v>59372.827965564262</v>
      </c>
      <c r="L51" s="63">
        <f t="shared" si="20"/>
        <v>61766.07065501569</v>
      </c>
      <c r="M51" s="63">
        <f t="shared" si="20"/>
        <v>64257.218425866056</v>
      </c>
      <c r="N51" s="63">
        <f t="shared" si="20"/>
        <v>66816.79283605011</v>
      </c>
      <c r="O51" s="63">
        <f t="shared" si="20"/>
        <v>69465.533434886573</v>
      </c>
      <c r="P51" s="63">
        <f t="shared" si="20"/>
        <v>72205.667426204833</v>
      </c>
      <c r="Q51" s="63">
        <f t="shared" si="20"/>
        <v>74918.346977354231</v>
      </c>
      <c r="R51" s="63">
        <f t="shared" si="20"/>
        <v>77710.938815871457</v>
      </c>
      <c r="S51" s="63">
        <f t="shared" si="20"/>
        <v>80553.380902366684</v>
      </c>
      <c r="T51" s="63">
        <f t="shared" si="20"/>
        <v>83441.693886254972</v>
      </c>
      <c r="U51" s="63">
        <f t="shared" si="20"/>
        <v>86118.96323270016</v>
      </c>
      <c r="V51" s="63">
        <f t="shared" si="20"/>
        <v>88805.187596701464</v>
      </c>
      <c r="W51" s="63">
        <f t="shared" si="20"/>
        <v>91494.651010109737</v>
      </c>
      <c r="X51" s="63">
        <f t="shared" si="20"/>
        <v>94181.481131690336</v>
      </c>
      <c r="Y51" s="63">
        <f t="shared" si="20"/>
        <v>96504.477256153797</v>
      </c>
      <c r="Z51" s="63">
        <f t="shared" si="20"/>
        <v>98784.729326128683</v>
      </c>
      <c r="AA51" s="63">
        <f t="shared" si="20"/>
        <v>100998.00590255973</v>
      </c>
      <c r="AB51" s="63">
        <f t="shared" si="20"/>
        <v>103179.75202245024</v>
      </c>
      <c r="AC51" s="63">
        <f t="shared" si="20"/>
        <v>104880.29608377443</v>
      </c>
      <c r="AD51" s="63">
        <f t="shared" si="20"/>
        <v>106419.99939610861</v>
      </c>
    </row>
    <row r="52" spans="1:30" x14ac:dyDescent="0.35">
      <c r="A52" s="5">
        <f t="shared" si="13"/>
        <v>55.563100000000006</v>
      </c>
      <c r="B52" s="11">
        <f>NPV('Cost Assumptions'!$B$3,'SDG&amp;E'!D52:'SDG&amp;E'!AD52)</f>
        <v>8556.9065527784605</v>
      </c>
      <c r="C52" s="88" t="s">
        <v>31</v>
      </c>
      <c r="D52" s="63">
        <f t="shared" ref="D52:AD52" si="21">D8-D27</f>
        <v>22.2</v>
      </c>
      <c r="E52" s="63">
        <f t="shared" si="21"/>
        <v>65.8</v>
      </c>
      <c r="F52" s="63">
        <f t="shared" si="21"/>
        <v>102.72</v>
      </c>
      <c r="G52" s="63">
        <f t="shared" si="21"/>
        <v>139.63999999999999</v>
      </c>
      <c r="H52" s="63">
        <f t="shared" si="21"/>
        <v>176.56</v>
      </c>
      <c r="I52" s="63">
        <f t="shared" si="21"/>
        <v>213.48000000000002</v>
      </c>
      <c r="J52" s="63">
        <f t="shared" si="21"/>
        <v>250.4</v>
      </c>
      <c r="K52" s="63">
        <f t="shared" si="21"/>
        <v>348.67500000000001</v>
      </c>
      <c r="L52" s="63">
        <f t="shared" si="21"/>
        <v>446.95000000000005</v>
      </c>
      <c r="M52" s="63">
        <f t="shared" si="21"/>
        <v>545.22500000000002</v>
      </c>
      <c r="N52" s="63">
        <f t="shared" si="21"/>
        <v>643.5</v>
      </c>
      <c r="O52" s="63">
        <f t="shared" si="21"/>
        <v>904.91666666666674</v>
      </c>
      <c r="P52" s="63">
        <f t="shared" si="21"/>
        <v>1166.3333333333335</v>
      </c>
      <c r="Q52" s="63">
        <f t="shared" si="21"/>
        <v>1427.7500000000002</v>
      </c>
      <c r="R52" s="63">
        <f t="shared" si="21"/>
        <v>1689.166666666667</v>
      </c>
      <c r="S52" s="63">
        <f t="shared" si="21"/>
        <v>1950.5833333333337</v>
      </c>
      <c r="T52" s="63">
        <f t="shared" si="21"/>
        <v>2212</v>
      </c>
      <c r="U52" s="63">
        <f t="shared" si="21"/>
        <v>2606.48</v>
      </c>
      <c r="V52" s="63">
        <f t="shared" si="21"/>
        <v>2980.56</v>
      </c>
      <c r="W52" s="63">
        <f t="shared" si="21"/>
        <v>3354.64</v>
      </c>
      <c r="X52" s="63">
        <f t="shared" si="21"/>
        <v>3728.7200000000003</v>
      </c>
      <c r="Y52" s="63">
        <f t="shared" si="21"/>
        <v>4102.8</v>
      </c>
      <c r="Z52" s="63">
        <f t="shared" si="21"/>
        <v>4503.4800000000005</v>
      </c>
      <c r="AA52" s="63">
        <f t="shared" si="21"/>
        <v>4904.1600000000008</v>
      </c>
      <c r="AB52" s="63">
        <f t="shared" si="21"/>
        <v>5304.84</v>
      </c>
      <c r="AC52" s="63">
        <f t="shared" si="21"/>
        <v>5705.52</v>
      </c>
      <c r="AD52" s="63">
        <f t="shared" si="21"/>
        <v>6065.9999999999982</v>
      </c>
    </row>
    <row r="53" spans="1:30" x14ac:dyDescent="0.35">
      <c r="A53" s="5">
        <f t="shared" si="13"/>
        <v>3.7254999999999998</v>
      </c>
      <c r="B53" s="11">
        <f>NPV('Cost Assumptions'!$B$3,'SDG&amp;E'!D53:'SDG&amp;E'!AD53)</f>
        <v>819.45362732664785</v>
      </c>
      <c r="C53" s="88" t="s">
        <v>32</v>
      </c>
      <c r="D53" s="63">
        <f t="shared" ref="D53:AD53" si="22">D9-D28</f>
        <v>13</v>
      </c>
      <c r="E53" s="63">
        <f t="shared" si="22"/>
        <v>27</v>
      </c>
      <c r="F53" s="63">
        <f t="shared" si="22"/>
        <v>34.519999999999982</v>
      </c>
      <c r="G53" s="63">
        <f t="shared" si="22"/>
        <v>42.039999999999964</v>
      </c>
      <c r="H53" s="63">
        <f t="shared" si="22"/>
        <v>49.559999999999945</v>
      </c>
      <c r="I53" s="63">
        <f t="shared" si="22"/>
        <v>57.079999999999927</v>
      </c>
      <c r="J53" s="63">
        <f t="shared" si="22"/>
        <v>64.599999999999909</v>
      </c>
      <c r="K53" s="63">
        <f t="shared" si="22"/>
        <v>75.024999999999935</v>
      </c>
      <c r="L53" s="63">
        <f t="shared" si="22"/>
        <v>85.44999999999996</v>
      </c>
      <c r="M53" s="63">
        <f t="shared" si="22"/>
        <v>95.874999999999986</v>
      </c>
      <c r="N53" s="63">
        <f t="shared" si="22"/>
        <v>106.3</v>
      </c>
      <c r="O53" s="63">
        <f t="shared" si="22"/>
        <v>120.25</v>
      </c>
      <c r="P53" s="63">
        <f t="shared" si="22"/>
        <v>134.19999999999999</v>
      </c>
      <c r="Q53" s="63">
        <f t="shared" si="22"/>
        <v>148.14999999999998</v>
      </c>
      <c r="R53" s="63">
        <f t="shared" si="22"/>
        <v>162.09999999999997</v>
      </c>
      <c r="S53" s="63">
        <f t="shared" si="22"/>
        <v>176.04999999999995</v>
      </c>
      <c r="T53" s="63">
        <f t="shared" si="22"/>
        <v>190</v>
      </c>
      <c r="U53" s="63">
        <f t="shared" si="22"/>
        <v>201.2</v>
      </c>
      <c r="V53" s="63">
        <f t="shared" si="22"/>
        <v>204.54999999999998</v>
      </c>
      <c r="W53" s="63">
        <f t="shared" si="22"/>
        <v>207.89999999999998</v>
      </c>
      <c r="X53" s="63">
        <f t="shared" si="22"/>
        <v>211.24999999999994</v>
      </c>
      <c r="Y53" s="63">
        <f t="shared" si="22"/>
        <v>214.6</v>
      </c>
      <c r="Z53" s="63">
        <f t="shared" si="22"/>
        <v>216.74</v>
      </c>
      <c r="AA53" s="63">
        <f t="shared" si="22"/>
        <v>218.88000000000005</v>
      </c>
      <c r="AB53" s="63">
        <f t="shared" si="22"/>
        <v>221.02000000000004</v>
      </c>
      <c r="AC53" s="63">
        <f t="shared" si="22"/>
        <v>223.16000000000008</v>
      </c>
      <c r="AD53" s="63">
        <f t="shared" si="22"/>
        <v>225.00000000000009</v>
      </c>
    </row>
    <row r="54" spans="1:30" x14ac:dyDescent="0.35">
      <c r="A54" s="5">
        <f t="shared" si="13"/>
        <v>3.2628075996487915</v>
      </c>
      <c r="B54" s="11">
        <f>NPV('Cost Assumptions'!$B$3,'SDG&amp;E'!D54:'SDG&amp;E'!AD54)</f>
        <v>403.77450402293823</v>
      </c>
      <c r="C54" s="88" t="s">
        <v>33</v>
      </c>
      <c r="D54" s="63">
        <f t="shared" ref="D54:AD54" si="23">D10-D29</f>
        <v>4.7253529883901121E-2</v>
      </c>
      <c r="E54" s="63">
        <f t="shared" si="23"/>
        <v>0.28011551949195379</v>
      </c>
      <c r="F54" s="63">
        <f t="shared" si="23"/>
        <v>0.59718244793816533</v>
      </c>
      <c r="G54" s="63">
        <f t="shared" si="23"/>
        <v>0.91424937638437687</v>
      </c>
      <c r="H54" s="63">
        <f t="shared" si="23"/>
        <v>1.2313163048305884</v>
      </c>
      <c r="I54" s="63">
        <f t="shared" si="23"/>
        <v>1.5483832332767999</v>
      </c>
      <c r="J54" s="63">
        <f t="shared" si="23"/>
        <v>1.8654501617230115</v>
      </c>
      <c r="K54" s="63">
        <f t="shared" si="23"/>
        <v>3.796086780774603</v>
      </c>
      <c r="L54" s="63">
        <f t="shared" si="23"/>
        <v>5.726723399826195</v>
      </c>
      <c r="M54" s="63">
        <f t="shared" si="23"/>
        <v>7.6573600188777871</v>
      </c>
      <c r="N54" s="63">
        <f t="shared" si="23"/>
        <v>9.5879966379293773</v>
      </c>
      <c r="O54" s="63">
        <f t="shared" si="23"/>
        <v>22.507331657050738</v>
      </c>
      <c r="P54" s="63">
        <f t="shared" si="23"/>
        <v>35.426666676172097</v>
      </c>
      <c r="Q54" s="63">
        <f t="shared" si="23"/>
        <v>48.346001695293459</v>
      </c>
      <c r="R54" s="63">
        <f t="shared" si="23"/>
        <v>61.265336714414822</v>
      </c>
      <c r="S54" s="63">
        <f t="shared" si="23"/>
        <v>74.184671733536177</v>
      </c>
      <c r="T54" s="63">
        <f t="shared" si="23"/>
        <v>87.10400675265754</v>
      </c>
      <c r="U54" s="63">
        <f t="shared" si="23"/>
        <v>116.88846005819971</v>
      </c>
      <c r="V54" s="63">
        <f t="shared" si="23"/>
        <v>146.6019889024214</v>
      </c>
      <c r="W54" s="63">
        <f t="shared" si="23"/>
        <v>176.31551774664305</v>
      </c>
      <c r="X54" s="63">
        <f t="shared" si="23"/>
        <v>206.02904659086474</v>
      </c>
      <c r="Y54" s="63">
        <f t="shared" si="23"/>
        <v>235.74257543508642</v>
      </c>
      <c r="Z54" s="63">
        <f t="shared" si="23"/>
        <v>291.80179940674788</v>
      </c>
      <c r="AA54" s="63">
        <f t="shared" si="23"/>
        <v>347.8610233784093</v>
      </c>
      <c r="AB54" s="63">
        <f t="shared" si="23"/>
        <v>403.92024735007072</v>
      </c>
      <c r="AC54" s="63">
        <f t="shared" si="23"/>
        <v>459.97947132173215</v>
      </c>
      <c r="AD54" s="63">
        <f t="shared" si="23"/>
        <v>515.58133681855475</v>
      </c>
    </row>
    <row r="55" spans="1:30" x14ac:dyDescent="0.35">
      <c r="A55" s="5">
        <f t="shared" si="13"/>
        <v>5.9332597776387191E-2</v>
      </c>
      <c r="B55" s="11">
        <f>NPV('Cost Assumptions'!$B$3,'SDG&amp;E'!D55:'SDG&amp;E'!AD55)</f>
        <v>9.1264819817913967</v>
      </c>
      <c r="C55" s="88" t="s">
        <v>34</v>
      </c>
      <c r="D55" s="63">
        <f t="shared" ref="D55:AD55" si="24">D11-D30</f>
        <v>2.3626764941950561E-2</v>
      </c>
      <c r="E55" s="63">
        <f t="shared" si="24"/>
        <v>7.0028879872988448E-2</v>
      </c>
      <c r="F55" s="63">
        <f t="shared" si="24"/>
        <v>0.10932167994761965</v>
      </c>
      <c r="G55" s="63">
        <f t="shared" si="24"/>
        <v>0.14861448002225086</v>
      </c>
      <c r="H55" s="63">
        <f t="shared" si="24"/>
        <v>0.18790728009688207</v>
      </c>
      <c r="I55" s="63">
        <f t="shared" si="24"/>
        <v>0.22720008017151327</v>
      </c>
      <c r="J55" s="63">
        <f t="shared" si="24"/>
        <v>0.26649288024614448</v>
      </c>
      <c r="K55" s="63">
        <f t="shared" si="24"/>
        <v>0.37108388586191865</v>
      </c>
      <c r="L55" s="63">
        <f t="shared" si="24"/>
        <v>0.47567489147769282</v>
      </c>
      <c r="M55" s="63">
        <f t="shared" si="24"/>
        <v>0.58026589709346699</v>
      </c>
      <c r="N55" s="63">
        <f t="shared" si="24"/>
        <v>0.68485690270924116</v>
      </c>
      <c r="O55" s="63">
        <f t="shared" si="24"/>
        <v>0.96307447636877097</v>
      </c>
      <c r="P55" s="63">
        <f t="shared" si="24"/>
        <v>1.2412920500283007</v>
      </c>
      <c r="Q55" s="63">
        <f t="shared" si="24"/>
        <v>1.5195096236878305</v>
      </c>
      <c r="R55" s="63">
        <f t="shared" si="24"/>
        <v>1.7977271973473603</v>
      </c>
      <c r="S55" s="63">
        <f t="shared" si="24"/>
        <v>2.0759447710068901</v>
      </c>
      <c r="T55" s="63">
        <f t="shared" si="24"/>
        <v>2.3541623446664199</v>
      </c>
      <c r="U55" s="63">
        <f t="shared" si="24"/>
        <v>2.7739950579232056</v>
      </c>
      <c r="V55" s="63">
        <f t="shared" si="24"/>
        <v>3.1760966558498662</v>
      </c>
      <c r="W55" s="63">
        <f t="shared" si="24"/>
        <v>3.5781982537765269</v>
      </c>
      <c r="X55" s="63">
        <f t="shared" si="24"/>
        <v>3.9802998517031885</v>
      </c>
      <c r="Y55" s="63">
        <f t="shared" si="24"/>
        <v>4.3824014496298487</v>
      </c>
      <c r="Z55" s="63">
        <f t="shared" si="24"/>
        <v>4.8135851763682664</v>
      </c>
      <c r="AA55" s="63">
        <f t="shared" si="24"/>
        <v>5.2447689031066833</v>
      </c>
      <c r="AB55" s="63">
        <f t="shared" si="24"/>
        <v>5.6759526298451002</v>
      </c>
      <c r="AC55" s="63">
        <f t="shared" si="24"/>
        <v>6.1071363565835171</v>
      </c>
      <c r="AD55" s="63">
        <f t="shared" si="24"/>
        <v>6.5033793560537489</v>
      </c>
    </row>
    <row r="56" spans="1:30" x14ac:dyDescent="0.35">
      <c r="A56" s="5">
        <f t="shared" si="13"/>
        <v>0.77500000000000002</v>
      </c>
      <c r="B56" s="11">
        <f>NPV('Cost Assumptions'!$B$3,'SDG&amp;E'!D56:'SDG&amp;E'!AD56)</f>
        <v>142.69436877101506</v>
      </c>
      <c r="C56" s="88" t="s">
        <v>35</v>
      </c>
      <c r="D56" s="63">
        <f t="shared" ref="D56:AD56" si="25">D12-D31</f>
        <v>2</v>
      </c>
      <c r="E56" s="63">
        <f t="shared" si="25"/>
        <v>4</v>
      </c>
      <c r="F56" s="63">
        <f t="shared" si="25"/>
        <v>4.5999999999999996</v>
      </c>
      <c r="G56" s="63">
        <f t="shared" si="25"/>
        <v>5.1999999999999993</v>
      </c>
      <c r="H56" s="63">
        <f t="shared" si="25"/>
        <v>5.7999999999999989</v>
      </c>
      <c r="I56" s="63">
        <f t="shared" si="25"/>
        <v>6.3999999999999986</v>
      </c>
      <c r="J56" s="63">
        <f t="shared" si="25"/>
        <v>7</v>
      </c>
      <c r="K56" s="63">
        <f t="shared" si="25"/>
        <v>8.75</v>
      </c>
      <c r="L56" s="63">
        <f t="shared" si="25"/>
        <v>10.5</v>
      </c>
      <c r="M56" s="63">
        <f t="shared" si="25"/>
        <v>12.25</v>
      </c>
      <c r="N56" s="63">
        <f t="shared" si="25"/>
        <v>14</v>
      </c>
      <c r="O56" s="63">
        <f t="shared" si="25"/>
        <v>17.833333333333332</v>
      </c>
      <c r="P56" s="63">
        <f t="shared" si="25"/>
        <v>21.666666666666664</v>
      </c>
      <c r="Q56" s="63">
        <f t="shared" si="25"/>
        <v>25.499999999999996</v>
      </c>
      <c r="R56" s="63">
        <f t="shared" si="25"/>
        <v>29.333333333333329</v>
      </c>
      <c r="S56" s="63">
        <f t="shared" si="25"/>
        <v>33.166666666666664</v>
      </c>
      <c r="T56" s="63">
        <f t="shared" si="25"/>
        <v>37</v>
      </c>
      <c r="U56" s="63">
        <f t="shared" si="25"/>
        <v>40.200000000000003</v>
      </c>
      <c r="V56" s="63">
        <f t="shared" si="25"/>
        <v>42.400000000000006</v>
      </c>
      <c r="W56" s="63">
        <f t="shared" si="25"/>
        <v>44.600000000000009</v>
      </c>
      <c r="X56" s="63">
        <f t="shared" si="25"/>
        <v>46.800000000000011</v>
      </c>
      <c r="Y56" s="63">
        <f t="shared" si="25"/>
        <v>49</v>
      </c>
      <c r="Z56" s="63">
        <f t="shared" si="25"/>
        <v>53.099999999999994</v>
      </c>
      <c r="AA56" s="63">
        <f t="shared" si="25"/>
        <v>57.199999999999996</v>
      </c>
      <c r="AB56" s="63">
        <f t="shared" si="25"/>
        <v>61.29999999999999</v>
      </c>
      <c r="AC56" s="63">
        <f t="shared" si="25"/>
        <v>65.399999999999991</v>
      </c>
      <c r="AD56" s="63">
        <f t="shared" si="25"/>
        <v>70</v>
      </c>
    </row>
    <row r="58" spans="1:30" ht="15" customHeight="1" thickBot="1" x14ac:dyDescent="0.4">
      <c r="A58" s="166" t="s">
        <v>156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</row>
    <row r="59" spans="1:30" ht="15.65" customHeight="1" thickTop="1" thickBot="1" x14ac:dyDescent="0.4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" thickTop="1" x14ac:dyDescent="0.35">
      <c r="A60" s="88" t="str">
        <f>'Baseline System Analysis'!A17</f>
        <v>Residential</v>
      </c>
      <c r="B60" s="88" t="str">
        <f>'Baseline System Analysis'!B17</f>
        <v>Cost of Reliability (N-1)</v>
      </c>
      <c r="C60" s="88" t="str">
        <f>'Baseline System Analysis'!C17</f>
        <v>$/kWh</v>
      </c>
      <c r="D60" s="5">
        <f>'Baseline System Analysis'!D17</f>
        <v>4.4933261328125003</v>
      </c>
      <c r="E60" s="5">
        <f>'Baseline System Analysis'!E17</f>
        <v>4.6056592861328127</v>
      </c>
      <c r="F60" s="5">
        <f>'Baseline System Analysis'!F17</f>
        <v>4.720800768286133</v>
      </c>
      <c r="G60" s="5">
        <f>'Baseline System Analysis'!G17</f>
        <v>4.8388207874932858</v>
      </c>
      <c r="H60" s="5">
        <f>'Baseline System Analysis'!H17</f>
        <v>4.9597913071806179</v>
      </c>
      <c r="I60" s="5">
        <f>'Baseline System Analysis'!I17</f>
        <v>5.0837860898601326</v>
      </c>
      <c r="J60" s="5">
        <f>'Baseline System Analysis'!J17</f>
        <v>5.2108807421066352</v>
      </c>
      <c r="K60" s="5">
        <f>'Baseline System Analysis'!K17</f>
        <v>5.341152760659301</v>
      </c>
      <c r="L60" s="5">
        <f>'Baseline System Analysis'!L17</f>
        <v>5.4746815796757833</v>
      </c>
      <c r="M60" s="5">
        <f>'Baseline System Analysis'!M17</f>
        <v>5.6115486191676771</v>
      </c>
      <c r="N60" s="5">
        <f>'Baseline System Analysis'!N17</f>
        <v>5.7518373346468685</v>
      </c>
      <c r="O60" s="5">
        <f>'Baseline System Analysis'!O17</f>
        <v>5.8956332680130394</v>
      </c>
      <c r="P60" s="5">
        <f>'Baseline System Analysis'!P17</f>
        <v>6.0430240997133646</v>
      </c>
      <c r="Q60" s="5">
        <f>'Baseline System Analysis'!Q17</f>
        <v>6.1940997022061985</v>
      </c>
      <c r="R60" s="5">
        <f>'Baseline System Analysis'!R17</f>
        <v>6.3489521947613525</v>
      </c>
      <c r="S60" s="5">
        <f>'Baseline System Analysis'!S17</f>
        <v>6.5076759996303855</v>
      </c>
      <c r="T60" s="5">
        <f>'Baseline System Analysis'!T17</f>
        <v>6.6703678996211444</v>
      </c>
      <c r="U60" s="5">
        <f>'Baseline System Analysis'!U17</f>
        <v>6.8371270971116722</v>
      </c>
      <c r="V60" s="5">
        <f>'Baseline System Analysis'!V17</f>
        <v>7.0080552745394638</v>
      </c>
      <c r="W60" s="5">
        <f>'Baseline System Analysis'!W17</f>
        <v>7.1832566564029499</v>
      </c>
      <c r="X60" s="5">
        <f>'Baseline System Analysis'!X17</f>
        <v>7.3628380728130232</v>
      </c>
      <c r="Y60" s="5">
        <f>'Baseline System Analysis'!Y17</f>
        <v>7.5469090246333481</v>
      </c>
      <c r="Z60" s="5">
        <f>'Baseline System Analysis'!Z17</f>
        <v>7.7355817502491808</v>
      </c>
      <c r="AA60" s="5">
        <f>'Baseline System Analysis'!AA17</f>
        <v>7.92897129400541</v>
      </c>
      <c r="AB60" s="5">
        <f>'Baseline System Analysis'!AB17</f>
        <v>8.127195576355545</v>
      </c>
      <c r="AC60" s="5">
        <f>'Baseline System Analysis'!AC17</f>
        <v>8.3303754657644333</v>
      </c>
      <c r="AD60" s="5">
        <f>'Baseline System Analysis'!AD17</f>
        <v>8.5386348524085438</v>
      </c>
    </row>
    <row r="61" spans="1:30" x14ac:dyDescent="0.35">
      <c r="A61" s="88" t="str">
        <f>'Baseline System Analysis'!A18</f>
        <v>Residential</v>
      </c>
      <c r="B61" s="88" t="str">
        <f>'Baseline System Analysis'!B18</f>
        <v>Cost of Reliability (N-0)</v>
      </c>
      <c r="C61" s="88" t="str">
        <f>'Baseline System Analysis'!C18</f>
        <v>$/kWh</v>
      </c>
      <c r="D61" s="5">
        <f>'Baseline System Analysis'!D18</f>
        <v>3.7920011132812492</v>
      </c>
      <c r="E61" s="5">
        <f>'Baseline System Analysis'!E18</f>
        <v>3.8868011411132799</v>
      </c>
      <c r="F61" s="5">
        <f>'Baseline System Analysis'!F18</f>
        <v>3.9839711696411118</v>
      </c>
      <c r="G61" s="5">
        <f>'Baseline System Analysis'!G18</f>
        <v>4.0835704488821394</v>
      </c>
      <c r="H61" s="5">
        <f>'Baseline System Analysis'!H18</f>
        <v>4.1856597101041926</v>
      </c>
      <c r="I61" s="5">
        <f>'Baseline System Analysis'!I18</f>
        <v>4.2903012028567966</v>
      </c>
      <c r="J61" s="5">
        <f>'Baseline System Analysis'!J18</f>
        <v>4.397558732928216</v>
      </c>
      <c r="K61" s="5">
        <f>'Baseline System Analysis'!K18</f>
        <v>4.5074977012514212</v>
      </c>
      <c r="L61" s="5">
        <f>'Baseline System Analysis'!L18</f>
        <v>4.6201851437827059</v>
      </c>
      <c r="M61" s="5">
        <f>'Baseline System Analysis'!M18</f>
        <v>4.7356897723772731</v>
      </c>
      <c r="N61" s="5">
        <f>'Baseline System Analysis'!N18</f>
        <v>4.8540820166867045</v>
      </c>
      <c r="O61" s="5">
        <f>'Baseline System Analysis'!O18</f>
        <v>4.9754340671038717</v>
      </c>
      <c r="P61" s="5">
        <f>'Baseline System Analysis'!P18</f>
        <v>5.0998199187814679</v>
      </c>
      <c r="Q61" s="5">
        <f>'Baseline System Analysis'!Q18</f>
        <v>5.2273154167510043</v>
      </c>
      <c r="R61" s="5">
        <f>'Baseline System Analysis'!R18</f>
        <v>5.3579983021697792</v>
      </c>
      <c r="S61" s="5">
        <f>'Baseline System Analysis'!S18</f>
        <v>5.4919482597240235</v>
      </c>
      <c r="T61" s="5">
        <f>'Baseline System Analysis'!T18</f>
        <v>5.6292469662171234</v>
      </c>
      <c r="U61" s="5">
        <f>'Baseline System Analysis'!U18</f>
        <v>5.769978140372551</v>
      </c>
      <c r="V61" s="5">
        <f>'Baseline System Analysis'!V18</f>
        <v>5.914227593881864</v>
      </c>
      <c r="W61" s="5">
        <f>'Baseline System Analysis'!W18</f>
        <v>6.06208328372891</v>
      </c>
      <c r="X61" s="5">
        <f>'Baseline System Analysis'!X18</f>
        <v>6.2136353658221326</v>
      </c>
      <c r="Y61" s="5">
        <f>'Baseline System Analysis'!Y18</f>
        <v>6.3689762499676856</v>
      </c>
      <c r="Z61" s="5">
        <f>'Baseline System Analysis'!Z18</f>
        <v>6.5282006562168773</v>
      </c>
      <c r="AA61" s="5">
        <f>'Baseline System Analysis'!AA18</f>
        <v>6.6914056726222988</v>
      </c>
      <c r="AB61" s="5">
        <f>'Baseline System Analysis'!AB18</f>
        <v>6.858690814437856</v>
      </c>
      <c r="AC61" s="5">
        <f>'Baseline System Analysis'!AC18</f>
        <v>7.0301580847988019</v>
      </c>
      <c r="AD61" s="5">
        <f>'Baseline System Analysis'!AD18</f>
        <v>7.2059120369187717</v>
      </c>
    </row>
    <row r="62" spans="1:30" x14ac:dyDescent="0.35">
      <c r="A62" s="88" t="str">
        <f>'Baseline System Analysis'!A19</f>
        <v>Commerical</v>
      </c>
      <c r="B62" s="88" t="str">
        <f>'Baseline System Analysis'!B19</f>
        <v>Cost of Reliability (N-1)</v>
      </c>
      <c r="C62" s="88" t="str">
        <f>'Baseline System Analysis'!C19</f>
        <v>$/kWh</v>
      </c>
      <c r="D62" s="5">
        <f>'Baseline System Analysis'!D19</f>
        <v>166.59767191406246</v>
      </c>
      <c r="E62" s="5">
        <f>'Baseline System Analysis'!E19</f>
        <v>170.76261371191401</v>
      </c>
      <c r="F62" s="5">
        <f>'Baseline System Analysis'!F19</f>
        <v>175.03167905471184</v>
      </c>
      <c r="G62" s="5">
        <f>'Baseline System Analysis'!G19</f>
        <v>179.40747103107964</v>
      </c>
      <c r="H62" s="5">
        <f>'Baseline System Analysis'!H19</f>
        <v>183.89265780685662</v>
      </c>
      <c r="I62" s="5">
        <f>'Baseline System Analysis'!I19</f>
        <v>188.48997425202802</v>
      </c>
      <c r="J62" s="5">
        <f>'Baseline System Analysis'!J19</f>
        <v>193.20222360832869</v>
      </c>
      <c r="K62" s="5">
        <f>'Baseline System Analysis'!K19</f>
        <v>198.03227919853688</v>
      </c>
      <c r="L62" s="5">
        <f>'Baseline System Analysis'!L19</f>
        <v>202.98308617850029</v>
      </c>
      <c r="M62" s="5">
        <f>'Baseline System Analysis'!M19</f>
        <v>208.05766333296279</v>
      </c>
      <c r="N62" s="5">
        <f>'Baseline System Analysis'!N19</f>
        <v>213.25910491628684</v>
      </c>
      <c r="O62" s="5">
        <f>'Baseline System Analysis'!O19</f>
        <v>218.590582539194</v>
      </c>
      <c r="P62" s="5">
        <f>'Baseline System Analysis'!P19</f>
        <v>224.05534710267384</v>
      </c>
      <c r="Q62" s="5">
        <f>'Baseline System Analysis'!Q19</f>
        <v>229.65673078024065</v>
      </c>
      <c r="R62" s="5">
        <f>'Baseline System Analysis'!R19</f>
        <v>235.39814904974665</v>
      </c>
      <c r="S62" s="5">
        <f>'Baseline System Analysis'!S19</f>
        <v>241.2831027759903</v>
      </c>
      <c r="T62" s="5">
        <f>'Baseline System Analysis'!T19</f>
        <v>247.31518034539005</v>
      </c>
      <c r="U62" s="5">
        <f>'Baseline System Analysis'!U19</f>
        <v>253.49805985402477</v>
      </c>
      <c r="V62" s="5">
        <f>'Baseline System Analysis'!V19</f>
        <v>259.83551135037538</v>
      </c>
      <c r="W62" s="5">
        <f>'Baseline System Analysis'!W19</f>
        <v>266.33139913413476</v>
      </c>
      <c r="X62" s="5">
        <f>'Baseline System Analysis'!X19</f>
        <v>272.98968411248808</v>
      </c>
      <c r="Y62" s="5">
        <f>'Baseline System Analysis'!Y19</f>
        <v>279.81442621530027</v>
      </c>
      <c r="Z62" s="5">
        <f>'Baseline System Analysis'!Z19</f>
        <v>286.80978687068273</v>
      </c>
      <c r="AA62" s="5">
        <f>'Baseline System Analysis'!AA19</f>
        <v>293.98003154244975</v>
      </c>
      <c r="AB62" s="5">
        <f>'Baseline System Analysis'!AB19</f>
        <v>301.32953233101097</v>
      </c>
      <c r="AC62" s="5">
        <f>'Baseline System Analysis'!AC19</f>
        <v>308.86277063928623</v>
      </c>
      <c r="AD62" s="5">
        <f>'Baseline System Analysis'!AD19</f>
        <v>316.58433990526834</v>
      </c>
    </row>
    <row r="63" spans="1:30" x14ac:dyDescent="0.35">
      <c r="A63" s="88" t="str">
        <f>'Baseline System Analysis'!A20</f>
        <v>Commerical</v>
      </c>
      <c r="B63" s="88" t="str">
        <f>'Baseline System Analysis'!B20</f>
        <v>Cost of Reliability (N-0)</v>
      </c>
      <c r="C63" s="88" t="str">
        <f>'Baseline System Analysis'!C20</f>
        <v>$/kWh</v>
      </c>
      <c r="D63" s="5">
        <f>'Baseline System Analysis'!D20</f>
        <v>153.83719106445315</v>
      </c>
      <c r="E63" s="5">
        <f>'Baseline System Analysis'!E20</f>
        <v>157.68312084106446</v>
      </c>
      <c r="F63" s="5">
        <f>'Baseline System Analysis'!F20</f>
        <v>161.62519886209105</v>
      </c>
      <c r="G63" s="5">
        <f>'Baseline System Analysis'!G20</f>
        <v>165.6658288336433</v>
      </c>
      <c r="H63" s="5">
        <f>'Baseline System Analysis'!H20</f>
        <v>169.80747455448437</v>
      </c>
      <c r="I63" s="5">
        <f>'Baseline System Analysis'!I20</f>
        <v>174.05266141834647</v>
      </c>
      <c r="J63" s="5">
        <f>'Baseline System Analysis'!J20</f>
        <v>178.40397795380511</v>
      </c>
      <c r="K63" s="5">
        <f>'Baseline System Analysis'!K20</f>
        <v>182.86407740265022</v>
      </c>
      <c r="L63" s="5">
        <f>'Baseline System Analysis'!L20</f>
        <v>187.43567933771646</v>
      </c>
      <c r="M63" s="5">
        <f>'Baseline System Analysis'!M20</f>
        <v>192.12157132115937</v>
      </c>
      <c r="N63" s="5">
        <f>'Baseline System Analysis'!N20</f>
        <v>196.92461060418833</v>
      </c>
      <c r="O63" s="5">
        <f>'Baseline System Analysis'!O20</f>
        <v>201.84772586929301</v>
      </c>
      <c r="P63" s="5">
        <f>'Baseline System Analysis'!P20</f>
        <v>206.89391901602534</v>
      </c>
      <c r="Q63" s="5">
        <f>'Baseline System Analysis'!Q20</f>
        <v>212.06626699142595</v>
      </c>
      <c r="R63" s="5">
        <f>'Baseline System Analysis'!R20</f>
        <v>217.36792366621157</v>
      </c>
      <c r="S63" s="5">
        <f>'Baseline System Analysis'!S20</f>
        <v>222.80212175786684</v>
      </c>
      <c r="T63" s="5">
        <f>'Baseline System Analysis'!T20</f>
        <v>228.37217480181349</v>
      </c>
      <c r="U63" s="5">
        <f>'Baseline System Analysis'!U20</f>
        <v>234.0814791718588</v>
      </c>
      <c r="V63" s="5">
        <f>'Baseline System Analysis'!V20</f>
        <v>239.93351615115526</v>
      </c>
      <c r="W63" s="5">
        <f>'Baseline System Analysis'!W20</f>
        <v>245.93185405493412</v>
      </c>
      <c r="X63" s="5">
        <f>'Baseline System Analysis'!X20</f>
        <v>252.08015040630744</v>
      </c>
      <c r="Y63" s="5">
        <f>'Baseline System Analysis'!Y20</f>
        <v>258.38215416646511</v>
      </c>
      <c r="Z63" s="5">
        <f>'Baseline System Analysis'!Z20</f>
        <v>264.8417080206267</v>
      </c>
      <c r="AA63" s="5">
        <f>'Baseline System Analysis'!AA20</f>
        <v>271.46275072114236</v>
      </c>
      <c r="AB63" s="5">
        <f>'Baseline System Analysis'!AB20</f>
        <v>278.24931948917089</v>
      </c>
      <c r="AC63" s="5">
        <f>'Baseline System Analysis'!AC20</f>
        <v>285.20555247640016</v>
      </c>
      <c r="AD63" s="5">
        <f>'Baseline System Analysis'!AD20</f>
        <v>292.33569128831016</v>
      </c>
    </row>
    <row r="65" spans="1:30" x14ac:dyDescent="0.35">
      <c r="A65" s="88" t="s">
        <v>130</v>
      </c>
      <c r="B65" s="88" t="s">
        <v>31</v>
      </c>
      <c r="C65" s="20">
        <f>NPV('Cost Assumptions'!$B$3,D65:AD65)</f>
        <v>1363590.1345869785</v>
      </c>
      <c r="D65" s="63">
        <f>'Baseline System Analysis'!D24-D34</f>
        <v>1354.9655166582397</v>
      </c>
      <c r="E65" s="63">
        <f>'Baseline System Analysis'!E24-E34</f>
        <v>3468.8297365152371</v>
      </c>
      <c r="F65" s="63">
        <f>'Baseline System Analysis'!F24-F34</f>
        <v>5582.6939563722344</v>
      </c>
      <c r="G65" s="63">
        <f>'Baseline System Analysis'!G24-G34</f>
        <v>7696.5581762292313</v>
      </c>
      <c r="H65" s="63">
        <f>'Baseline System Analysis'!H24-H34</f>
        <v>9810.4223960862291</v>
      </c>
      <c r="I65" s="63">
        <f>'Baseline System Analysis'!I24-I34</f>
        <v>11924.286615943227</v>
      </c>
      <c r="J65" s="63">
        <f>'Baseline System Analysis'!J24-J34</f>
        <v>14038.150835800225</v>
      </c>
      <c r="K65" s="63">
        <f>'Baseline System Analysis'!K24-K34</f>
        <v>20302.020367842062</v>
      </c>
      <c r="L65" s="63">
        <f>'Baseline System Analysis'!L24-L34</f>
        <v>26565.889899883899</v>
      </c>
      <c r="M65" s="63">
        <f>'Baseline System Analysis'!M24-M34</f>
        <v>32829.759431925733</v>
      </c>
      <c r="N65" s="63">
        <f>'Baseline System Analysis'!N24-N34</f>
        <v>39093.628963967574</v>
      </c>
      <c r="O65" s="63">
        <f>'Baseline System Analysis'!O24-O34</f>
        <v>78738.538578610984</v>
      </c>
      <c r="P65" s="63">
        <f>'Baseline System Analysis'!P24-P34</f>
        <v>118383.44819325439</v>
      </c>
      <c r="Q65" s="63">
        <f>'Baseline System Analysis'!Q24-Q34</f>
        <v>158028.35780789779</v>
      </c>
      <c r="R65" s="63">
        <f>'Baseline System Analysis'!R24-R34</f>
        <v>197673.26742254119</v>
      </c>
      <c r="S65" s="63">
        <f>'Baseline System Analysis'!S24-S34</f>
        <v>237318.17703718459</v>
      </c>
      <c r="T65" s="63">
        <f>'Baseline System Analysis'!T24-T34</f>
        <v>276963.08665182802</v>
      </c>
      <c r="U65" s="63">
        <f>'Baseline System Analysis'!U24-U34</f>
        <v>380936.47379795992</v>
      </c>
      <c r="V65" s="63">
        <f>'Baseline System Analysis'!V24-V34</f>
        <v>484909.86094409181</v>
      </c>
      <c r="W65" s="63">
        <f>'Baseline System Analysis'!W24-W34</f>
        <v>588883.24809022376</v>
      </c>
      <c r="X65" s="63">
        <f>'Baseline System Analysis'!X24-X34</f>
        <v>692856.63523635571</v>
      </c>
      <c r="Y65" s="63">
        <f>'Baseline System Analysis'!Y24-Y34</f>
        <v>796830.02238248754</v>
      </c>
      <c r="Z65" s="63">
        <f>'Baseline System Analysis'!Z24-Z34</f>
        <v>972770.21305320074</v>
      </c>
      <c r="AA65" s="63">
        <f>'Baseline System Analysis'!AA24-AA34</f>
        <v>1148710.4037239139</v>
      </c>
      <c r="AB65" s="63">
        <f>'Baseline System Analysis'!AB24-AB34</f>
        <v>1324650.5943946273</v>
      </c>
      <c r="AC65" s="63">
        <f>'Baseline System Analysis'!AC24-AC34</f>
        <v>1500590.7850653406</v>
      </c>
      <c r="AD65" s="63">
        <f>'Baseline System Analysis'!AD24-AD34</f>
        <v>1676530.9757360537</v>
      </c>
    </row>
    <row r="66" spans="1:30" x14ac:dyDescent="0.35">
      <c r="A66" s="88" t="s">
        <v>132</v>
      </c>
      <c r="B66" s="88" t="s">
        <v>31</v>
      </c>
      <c r="C66" s="20">
        <f>NPV('Cost Assumptions'!$B$3,D66:AD66)</f>
        <v>5658197.9399566008</v>
      </c>
      <c r="D66" s="63">
        <f>'Baseline System Analysis'!D25-D35</f>
        <v>5622.4102100812415</v>
      </c>
      <c r="E66" s="63">
        <f>'Baseline System Analysis'!E25-E35</f>
        <v>14393.85983468976</v>
      </c>
      <c r="F66" s="63">
        <f>'Baseline System Analysis'!F25-F35</f>
        <v>23165.309459298278</v>
      </c>
      <c r="G66" s="63">
        <f>'Baseline System Analysis'!G25-G35</f>
        <v>31936.759083906796</v>
      </c>
      <c r="H66" s="63">
        <f>'Baseline System Analysis'!H25-H35</f>
        <v>40708.208708515318</v>
      </c>
      <c r="I66" s="63">
        <f>'Baseline System Analysis'!I25-I35</f>
        <v>49479.658333123836</v>
      </c>
      <c r="J66" s="63">
        <f>'Baseline System Analysis'!J25-J35</f>
        <v>58251.107957732347</v>
      </c>
      <c r="K66" s="63">
        <f>'Baseline System Analysis'!K25-K35</f>
        <v>84242.945815294457</v>
      </c>
      <c r="L66" s="63">
        <f>'Baseline System Analysis'!L25-L35</f>
        <v>110234.78367285656</v>
      </c>
      <c r="M66" s="63">
        <f>'Baseline System Analysis'!M25-M35</f>
        <v>136226.62153041866</v>
      </c>
      <c r="N66" s="63">
        <f>'Baseline System Analysis'!N25-N35</f>
        <v>162218.45938798075</v>
      </c>
      <c r="O66" s="63">
        <f>'Baseline System Analysis'!O25-O35</f>
        <v>326724.45002371201</v>
      </c>
      <c r="P66" s="63">
        <f>'Baseline System Analysis'!P25-P35</f>
        <v>491230.44065944327</v>
      </c>
      <c r="Q66" s="63">
        <f>'Baseline System Analysis'!Q25-Q35</f>
        <v>655736.43129517452</v>
      </c>
      <c r="R66" s="63">
        <f>'Baseline System Analysis'!R25-R35</f>
        <v>820242.42193090578</v>
      </c>
      <c r="S66" s="63">
        <f>'Baseline System Analysis'!S25-S35</f>
        <v>984748.41256663704</v>
      </c>
      <c r="T66" s="63">
        <f>'Baseline System Analysis'!T25-T35</f>
        <v>1149254.4032023682</v>
      </c>
      <c r="U66" s="63">
        <f>'Baseline System Analysis'!U25-U35</f>
        <v>1580690.4997525578</v>
      </c>
      <c r="V66" s="63">
        <f>'Baseline System Analysis'!V25-V35</f>
        <v>2012126.5963027473</v>
      </c>
      <c r="W66" s="63">
        <f>'Baseline System Analysis'!W25-W35</f>
        <v>2443562.6928529367</v>
      </c>
      <c r="X66" s="63">
        <f>'Baseline System Analysis'!X25-X35</f>
        <v>2874998.7894031261</v>
      </c>
      <c r="Y66" s="63">
        <f>'Baseline System Analysis'!Y25-Y35</f>
        <v>3306434.885953316</v>
      </c>
      <c r="Z66" s="63">
        <f>'Baseline System Analysis'!Z25-Z35</f>
        <v>4036496.2138831578</v>
      </c>
      <c r="AA66" s="63">
        <f>'Baseline System Analysis'!AA25-AA35</f>
        <v>4766557.5418129992</v>
      </c>
      <c r="AB66" s="63">
        <f>'Baseline System Analysis'!AB25-AB35</f>
        <v>5496618.8697428405</v>
      </c>
      <c r="AC66" s="63">
        <f>'Baseline System Analysis'!AC25-AC35</f>
        <v>6226680.1976726819</v>
      </c>
      <c r="AD66" s="63">
        <f>'Baseline System Analysis'!AD25-AD35</f>
        <v>6956741.5256025251</v>
      </c>
    </row>
    <row r="67" spans="1:30" x14ac:dyDescent="0.35">
      <c r="A67" s="88" t="s">
        <v>24</v>
      </c>
      <c r="B67" s="88" t="s">
        <v>31</v>
      </c>
      <c r="C67" s="20">
        <f>NPV('Cost Assumptions'!$B$3,D67:AD67)</f>
        <v>7021788.0745435804</v>
      </c>
      <c r="D67" s="63">
        <f>SUM(D65:D66)</f>
        <v>6977.3757267394813</v>
      </c>
      <c r="E67" s="63">
        <f t="shared" ref="E67:AD67" si="26">SUM(E65:E66)</f>
        <v>17862.689571204995</v>
      </c>
      <c r="F67" s="63">
        <f t="shared" si="26"/>
        <v>28748.003415670511</v>
      </c>
      <c r="G67" s="63">
        <f t="shared" si="26"/>
        <v>39633.317260136027</v>
      </c>
      <c r="H67" s="63">
        <f t="shared" si="26"/>
        <v>50518.631104601547</v>
      </c>
      <c r="I67" s="63">
        <f t="shared" si="26"/>
        <v>61403.944949067067</v>
      </c>
      <c r="J67" s="63">
        <f t="shared" si="26"/>
        <v>72289.258793532572</v>
      </c>
      <c r="K67" s="63">
        <f t="shared" si="26"/>
        <v>104544.96618313652</v>
      </c>
      <c r="L67" s="63">
        <f t="shared" si="26"/>
        <v>136800.67357274046</v>
      </c>
      <c r="M67" s="63">
        <f t="shared" si="26"/>
        <v>169056.38096234441</v>
      </c>
      <c r="N67" s="63">
        <f t="shared" si="26"/>
        <v>201312.08835194833</v>
      </c>
      <c r="O67" s="63">
        <f t="shared" si="26"/>
        <v>405462.98860232299</v>
      </c>
      <c r="P67" s="63">
        <f t="shared" si="26"/>
        <v>609613.88885269768</v>
      </c>
      <c r="Q67" s="63">
        <f t="shared" si="26"/>
        <v>813764.78910307237</v>
      </c>
      <c r="R67" s="63">
        <f t="shared" si="26"/>
        <v>1017915.6893534469</v>
      </c>
      <c r="S67" s="63">
        <f t="shared" si="26"/>
        <v>1222066.5896038217</v>
      </c>
      <c r="T67" s="63">
        <f t="shared" si="26"/>
        <v>1426217.4898541961</v>
      </c>
      <c r="U67" s="63">
        <f t="shared" si="26"/>
        <v>1961626.9735505178</v>
      </c>
      <c r="V67" s="63">
        <f t="shared" si="26"/>
        <v>2497036.4572468391</v>
      </c>
      <c r="W67" s="63">
        <f t="shared" si="26"/>
        <v>3032445.9409431606</v>
      </c>
      <c r="X67" s="63">
        <f t="shared" si="26"/>
        <v>3567855.4246394821</v>
      </c>
      <c r="Y67" s="63">
        <f t="shared" si="26"/>
        <v>4103264.9083358035</v>
      </c>
      <c r="Z67" s="63">
        <f t="shared" si="26"/>
        <v>5009266.4269363582</v>
      </c>
      <c r="AA67" s="63">
        <f t="shared" si="26"/>
        <v>5915267.9455369134</v>
      </c>
      <c r="AB67" s="63">
        <f t="shared" si="26"/>
        <v>6821269.4641374676</v>
      </c>
      <c r="AC67" s="63">
        <f t="shared" si="26"/>
        <v>7727270.9827380227</v>
      </c>
      <c r="AD67" s="63">
        <f t="shared" si="26"/>
        <v>8633272.5013385788</v>
      </c>
    </row>
    <row r="68" spans="1:30" x14ac:dyDescent="0.35">
      <c r="A68" s="88"/>
      <c r="B68" s="88"/>
      <c r="C68" s="5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x14ac:dyDescent="0.35">
      <c r="A69" s="88" t="s">
        <v>133</v>
      </c>
      <c r="B69" s="88" t="s">
        <v>31</v>
      </c>
      <c r="C69" s="20">
        <f>NPV('Cost Assumptions'!$B$3,D69:AD69)</f>
        <v>53883044.548745431</v>
      </c>
      <c r="D69" s="63">
        <f>'Baseline System Analysis'!D28-D32</f>
        <v>160316.96625268596</v>
      </c>
      <c r="E69" s="63">
        <f>'Baseline System Analysis'!E28-E32</f>
        <v>426669.25690772623</v>
      </c>
      <c r="F69" s="63">
        <f>'Baseline System Analysis'!F28-F32</f>
        <v>622795.96524369309</v>
      </c>
      <c r="G69" s="63">
        <f>'Baseline System Analysis'!G28-G32</f>
        <v>833703.43870740035</v>
      </c>
      <c r="H69" s="63">
        <f>'Baseline System Analysis'!H28-H32</f>
        <v>1064554.7712044911</v>
      </c>
      <c r="I69" s="63">
        <f>'Baseline System Analysis'!I28-I32</f>
        <v>1155250.6032801536</v>
      </c>
      <c r="J69" s="63">
        <f>'Baseline System Analysis'!J28-J32</f>
        <v>1567814.7930424134</v>
      </c>
      <c r="K69" s="63">
        <f>'Baseline System Analysis'!K28-K32</f>
        <v>2064587.6916558424</v>
      </c>
      <c r="L69" s="63">
        <f>'Baseline System Analysis'!L28-L32</f>
        <v>2485972.1963254735</v>
      </c>
      <c r="M69" s="63">
        <f>'Baseline System Analysis'!M28-M32</f>
        <v>2907214.7827229644</v>
      </c>
      <c r="N69" s="63">
        <f>'Baseline System Analysis'!N28-N32</f>
        <v>3653487.05439856</v>
      </c>
      <c r="O69" s="63">
        <f>'Baseline System Analysis'!O28-O32</f>
        <v>4512360.7012723647</v>
      </c>
      <c r="P69" s="63">
        <f>'Baseline System Analysis'!P28-P32</f>
        <v>5845712.9395959051</v>
      </c>
      <c r="Q69" s="63">
        <f>'Baseline System Analysis'!Q28-Q32</f>
        <v>7145234.3901076168</v>
      </c>
      <c r="R69" s="63">
        <f>'Baseline System Analysis'!R28-R32</f>
        <v>9104342.6872677077</v>
      </c>
      <c r="S69" s="63">
        <f>'Baseline System Analysis'!S28-S32</f>
        <v>11402628.544698209</v>
      </c>
      <c r="T69" s="63">
        <f>'Baseline System Analysis'!T28-T32</f>
        <v>14095767.66157037</v>
      </c>
      <c r="U69" s="63">
        <f>'Baseline System Analysis'!U28-U32</f>
        <v>17191903.011561129</v>
      </c>
      <c r="V69" s="63">
        <f>'Baseline System Analysis'!V28-V32</f>
        <v>19331980.068156436</v>
      </c>
      <c r="W69" s="63">
        <f>'Baseline System Analysis'!W28-W32</f>
        <v>21895041.736738645</v>
      </c>
      <c r="X69" s="63">
        <f>'Baseline System Analysis'!X28-X32</f>
        <v>24750247.107962407</v>
      </c>
      <c r="Y69" s="63">
        <f>'Baseline System Analysis'!Y28-Y32</f>
        <v>27461746.629661933</v>
      </c>
      <c r="Z69" s="63">
        <f>'Baseline System Analysis'!Z28-Z32</f>
        <v>30381474.622337949</v>
      </c>
      <c r="AA69" s="63">
        <f>'Baseline System Analysis'!AA28-AA32</f>
        <v>33796699.178063415</v>
      </c>
      <c r="AB69" s="63">
        <f>'Baseline System Analysis'!AB28-AB32</f>
        <v>38073663.691759177</v>
      </c>
      <c r="AC69" s="63">
        <f>'Baseline System Analysis'!AC28-AC32</f>
        <v>41015140.278077111</v>
      </c>
      <c r="AD69" s="63">
        <f>'Baseline System Analysis'!AD28-AD32</f>
        <v>43828012.970639221</v>
      </c>
    </row>
    <row r="70" spans="1:30" x14ac:dyDescent="0.35">
      <c r="A70" s="88" t="s">
        <v>134</v>
      </c>
      <c r="B70" s="88" t="s">
        <v>31</v>
      </c>
      <c r="C70" s="20">
        <f>NPV('Cost Assumptions'!$B$3,D70:AD70)</f>
        <v>236992405.77409589</v>
      </c>
      <c r="D70" s="63">
        <f>'Baseline System Analysis'!D29-D33</f>
        <v>903378.82566768141</v>
      </c>
      <c r="E70" s="63">
        <f>'Baseline System Analysis'!E29-E33</f>
        <v>2253314.5961599764</v>
      </c>
      <c r="F70" s="63">
        <f>'Baseline System Analysis'!F29-F33</f>
        <v>3310509.516156707</v>
      </c>
      <c r="G70" s="63">
        <f>'Baseline System Analysis'!G29-G33</f>
        <v>4447440.2170750583</v>
      </c>
      <c r="H70" s="63">
        <f>'Baseline System Analysis'!H29-H33</f>
        <v>5587242.1815372296</v>
      </c>
      <c r="I70" s="63">
        <f>'Baseline System Analysis'!I29-I33</f>
        <v>5454561.6522228802</v>
      </c>
      <c r="J70" s="63">
        <f>'Baseline System Analysis'!J29-J33</f>
        <v>7543245.1947770724</v>
      </c>
      <c r="K70" s="63">
        <f>'Baseline System Analysis'!K29-K33</f>
        <v>10054559.779896669</v>
      </c>
      <c r="L70" s="63">
        <f>'Baseline System Analysis'!L29-L33</f>
        <v>11610814.214658689</v>
      </c>
      <c r="M70" s="63">
        <f>'Baseline System Analysis'!M29-M33</f>
        <v>12826351.057208685</v>
      </c>
      <c r="N70" s="63">
        <f>'Baseline System Analysis'!N29-N33</f>
        <v>16062284.122916382</v>
      </c>
      <c r="O70" s="63">
        <f>'Baseline System Analysis'!O29-O33</f>
        <v>19403643.120637149</v>
      </c>
      <c r="P70" s="63">
        <f>'Baseline System Analysis'!P29-P33</f>
        <v>25219740.504592769</v>
      </c>
      <c r="Q70" s="63">
        <f>'Baseline System Analysis'!Q29-Q33</f>
        <v>31071411.196852271</v>
      </c>
      <c r="R70" s="63">
        <f>'Baseline System Analysis'!R29-R33</f>
        <v>39644741.256940469</v>
      </c>
      <c r="S70" s="63">
        <f>'Baseline System Analysis'!S29-S33</f>
        <v>50251518.164887004</v>
      </c>
      <c r="T70" s="63">
        <f>'Baseline System Analysis'!T29-T33</f>
        <v>62975375.307628401</v>
      </c>
      <c r="U70" s="63">
        <f>'Baseline System Analysis'!U29-U33</f>
        <v>77967536.623126328</v>
      </c>
      <c r="V70" s="63">
        <f>'Baseline System Analysis'!V29-V33</f>
        <v>85148378.773792505</v>
      </c>
      <c r="W70" s="63">
        <f>'Baseline System Analysis'!W29-W33</f>
        <v>95147980.523098752</v>
      </c>
      <c r="X70" s="63">
        <f>'Baseline System Analysis'!X29-X33</f>
        <v>106167479.93260333</v>
      </c>
      <c r="Y70" s="63">
        <f>'Baseline System Analysis'!Y29-Y33</f>
        <v>117472919.74032474</v>
      </c>
      <c r="Z70" s="63">
        <f>'Baseline System Analysis'!Z29-Z33</f>
        <v>129216677.56247194</v>
      </c>
      <c r="AA70" s="63">
        <f>'Baseline System Analysis'!AA29-AA33</f>
        <v>143148565.41974118</v>
      </c>
      <c r="AB70" s="63">
        <f>'Baseline System Analysis'!AB29-AB33</f>
        <v>162066299.62766829</v>
      </c>
      <c r="AC70" s="63">
        <f>'Baseline System Analysis'!AC29-AC33</f>
        <v>175184370.49956381</v>
      </c>
      <c r="AD70" s="63">
        <f>'Baseline System Analysis'!AD29-AD33</f>
        <v>185272380.19441551</v>
      </c>
    </row>
    <row r="71" spans="1:30" x14ac:dyDescent="0.35">
      <c r="A71" s="88" t="s">
        <v>24</v>
      </c>
      <c r="B71" s="88" t="s">
        <v>31</v>
      </c>
      <c r="C71" s="20">
        <f>NPV('Cost Assumptions'!$B$3,D71:AD71)</f>
        <v>290875450.32284129</v>
      </c>
      <c r="D71" s="63">
        <f>SUM(D69:D70)</f>
        <v>1063695.7919203674</v>
      </c>
      <c r="E71" s="63">
        <f t="shared" ref="E71:AD71" si="27">SUM(E69:E70)</f>
        <v>2679983.8530677026</v>
      </c>
      <c r="F71" s="63">
        <f t="shared" si="27"/>
        <v>3933305.4814003999</v>
      </c>
      <c r="G71" s="63">
        <f t="shared" si="27"/>
        <v>5281143.6557824584</v>
      </c>
      <c r="H71" s="63">
        <f t="shared" si="27"/>
        <v>6651796.9527417207</v>
      </c>
      <c r="I71" s="63">
        <f t="shared" si="27"/>
        <v>6609812.2555030342</v>
      </c>
      <c r="J71" s="63">
        <f t="shared" si="27"/>
        <v>9111059.9878194854</v>
      </c>
      <c r="K71" s="63">
        <f t="shared" si="27"/>
        <v>12119147.471552512</v>
      </c>
      <c r="L71" s="63">
        <f t="shared" si="27"/>
        <v>14096786.410984162</v>
      </c>
      <c r="M71" s="63">
        <f t="shared" si="27"/>
        <v>15733565.83993165</v>
      </c>
      <c r="N71" s="63">
        <f t="shared" si="27"/>
        <v>19715771.177314941</v>
      </c>
      <c r="O71" s="63">
        <f t="shared" si="27"/>
        <v>23916003.821909513</v>
      </c>
      <c r="P71" s="63">
        <f t="shared" si="27"/>
        <v>31065453.444188673</v>
      </c>
      <c r="Q71" s="63">
        <f t="shared" si="27"/>
        <v>38216645.586959884</v>
      </c>
      <c r="R71" s="63">
        <f t="shared" si="27"/>
        <v>48749083.944208175</v>
      </c>
      <c r="S71" s="63">
        <f t="shared" si="27"/>
        <v>61654146.709585212</v>
      </c>
      <c r="T71" s="63">
        <f t="shared" si="27"/>
        <v>77071142.969198763</v>
      </c>
      <c r="U71" s="63">
        <f t="shared" si="27"/>
        <v>95159439.634687454</v>
      </c>
      <c r="V71" s="63">
        <f t="shared" si="27"/>
        <v>104480358.84194894</v>
      </c>
      <c r="W71" s="63">
        <f t="shared" si="27"/>
        <v>117043022.25983739</v>
      </c>
      <c r="X71" s="63">
        <f t="shared" si="27"/>
        <v>130917727.04056573</v>
      </c>
      <c r="Y71" s="63">
        <f t="shared" si="27"/>
        <v>144934666.36998665</v>
      </c>
      <c r="Z71" s="63">
        <f t="shared" si="27"/>
        <v>159598152.18480989</v>
      </c>
      <c r="AA71" s="63">
        <f t="shared" si="27"/>
        <v>176945264.59780461</v>
      </c>
      <c r="AB71" s="63">
        <f t="shared" si="27"/>
        <v>200139963.31942746</v>
      </c>
      <c r="AC71" s="63">
        <f t="shared" si="27"/>
        <v>216199510.77764094</v>
      </c>
      <c r="AD71" s="63">
        <f t="shared" si="27"/>
        <v>229100393.16505474</v>
      </c>
    </row>
    <row r="72" spans="1:30" x14ac:dyDescent="0.35">
      <c r="A72" s="88"/>
      <c r="B72" s="88"/>
      <c r="C72" s="5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x14ac:dyDescent="0.35">
      <c r="A73" s="88" t="s">
        <v>130</v>
      </c>
      <c r="B73" s="88" t="s">
        <v>157</v>
      </c>
      <c r="C73" s="20">
        <f>NPV('Cost Assumptions'!$B$3,D73:AD73)</f>
        <v>419338546.97495502</v>
      </c>
      <c r="D73" s="63">
        <f>ABS((D49*D60*1000*'Cost Assumptions'!$B$6)/'Cost Assumptions'!$B$14)</f>
        <v>15227769.332799079</v>
      </c>
      <c r="E73" s="63">
        <f>ABS((E49*E60*1000*'Cost Assumptions'!$B$6)/'Cost Assumptions'!$B$14)</f>
        <v>18091342.002631973</v>
      </c>
      <c r="F73" s="63">
        <f>ABS((F49*F60*1000*'Cost Assumptions'!$B$6)/'Cost Assumptions'!$B$14)</f>
        <v>21088575.950123515</v>
      </c>
      <c r="G73" s="63">
        <f>ABS((G49*G60*1000*'Cost Assumptions'!$B$6)/'Cost Assumptions'!$B$14)</f>
        <v>24224364.50623798</v>
      </c>
      <c r="H73" s="63">
        <f>ABS((H49*H60*1000*'Cost Assumptions'!$B$6)/'Cost Assumptions'!$B$14)</f>
        <v>27503762.130189344</v>
      </c>
      <c r="I73" s="63">
        <f>ABS((I49*I60*1000*'Cost Assumptions'!$B$6)/'Cost Assumptions'!$B$14)</f>
        <v>30931989.407521874</v>
      </c>
      <c r="J73" s="63">
        <f>ABS((J49*J60*1000*'Cost Assumptions'!$B$6)/'Cost Assumptions'!$B$14)</f>
        <v>34514438.19738967</v>
      </c>
      <c r="K73" s="63">
        <f>ABS((K49*K60*1000*'Cost Assumptions'!$B$6)/'Cost Assumptions'!$B$14)</f>
        <v>38256676.933371149</v>
      </c>
      <c r="L73" s="63">
        <f>ABS((L49*L60*1000*'Cost Assumptions'!$B$6)/'Cost Assumptions'!$B$14)</f>
        <v>42657177.42444896</v>
      </c>
      <c r="M73" s="63">
        <f>ABS((M49*M60*1000*'Cost Assumptions'!$B$6)/'Cost Assumptions'!$B$14)</f>
        <v>46243713.765547514</v>
      </c>
      <c r="N73" s="63">
        <f>ABS((N49*N60*1000*'Cost Assumptions'!$B$6)/'Cost Assumptions'!$B$14)</f>
        <v>50500581.547928728</v>
      </c>
      <c r="O73" s="63">
        <f>ABS((O49*O60*1000*'Cost Assumptions'!$B$6)/'Cost Assumptions'!$B$14)</f>
        <v>54941390.39832554</v>
      </c>
      <c r="P73" s="63">
        <f>ABS((P49*P60*1000*'Cost Assumptions'!$B$6)/'Cost Assumptions'!$B$14)</f>
        <v>59572676.827774741</v>
      </c>
      <c r="Q73" s="63">
        <f>ABS((Q49*Q60*1000*'Cost Assumptions'!$B$6)/'Cost Assumptions'!$B$14)</f>
        <v>64401189.209697455</v>
      </c>
      <c r="R73" s="63">
        <f>ABS((R49*R60*1000*'Cost Assumptions'!$B$6)/'Cost Assumptions'!$B$14)</f>
        <v>69433894.287698895</v>
      </c>
      <c r="S73" s="63">
        <f>ABS((S49*S60*1000*'Cost Assumptions'!$B$6)/'Cost Assumptions'!$B$14)</f>
        <v>74677983.876344413</v>
      </c>
      <c r="T73" s="63">
        <f>ABS((T49*T60*1000*'Cost Assumptions'!$B$6)/'Cost Assumptions'!$B$14)</f>
        <v>80140881.760492355</v>
      </c>
      <c r="U73" s="63">
        <f>ABS((U49*U60*1000*'Cost Assumptions'!$B$6)/'Cost Assumptions'!$B$14)</f>
        <v>85830250.798924968</v>
      </c>
      <c r="V73" s="63">
        <f>ABS((V49*V60*1000*'Cost Assumptions'!$B$6)/'Cost Assumptions'!$B$14)</f>
        <v>91754000.238178939</v>
      </c>
      <c r="W73" s="63">
        <f>ABS((W49*W60*1000*'Cost Assumptions'!$B$6)/'Cost Assumptions'!$B$14)</f>
        <v>97920293.242646262</v>
      </c>
      <c r="X73" s="63">
        <f>ABS((X49*X60*1000*'Cost Assumptions'!$B$6)/'Cost Assumptions'!$B$14)</f>
        <v>104337554.6471881</v>
      </c>
      <c r="Y73" s="63">
        <f>ABS((Y49*Y60*1000*'Cost Assumptions'!$B$6)/'Cost Assumptions'!$B$14)</f>
        <v>111014478.93868037</v>
      </c>
      <c r="Z73" s="63">
        <f>ABS((Z49*Z60*1000*'Cost Assumptions'!$B$6)/'Cost Assumptions'!$B$14)</f>
        <v>117960038.47309278</v>
      </c>
      <c r="AA73" s="63">
        <f>ABS((AA49*AA60*1000*'Cost Assumptions'!$B$6)/'Cost Assumptions'!$B$14)</f>
        <v>125183491.93488912</v>
      </c>
      <c r="AB73" s="63">
        <f>ABS((AB49*AB60*1000*'Cost Assumptions'!$B$6)/'Cost Assumptions'!$B$14)</f>
        <v>132694393.04572958</v>
      </c>
      <c r="AC73" s="63">
        <f>ABS((AC49*AC60*1000*'Cost Assumptions'!$B$6)/'Cost Assumptions'!$B$14)</f>
        <v>140502599.5296528</v>
      </c>
      <c r="AD73" s="63">
        <f>ABS((AD49*AD60*1000*'Cost Assumptions'!$B$6)/'Cost Assumptions'!$B$14)</f>
        <v>148618282.34211862</v>
      </c>
    </row>
    <row r="74" spans="1:30" x14ac:dyDescent="0.35">
      <c r="A74" s="88" t="s">
        <v>132</v>
      </c>
      <c r="B74" s="88" t="s">
        <v>157</v>
      </c>
      <c r="C74" s="20">
        <f>NPV('Cost Assumptions'!$B$3,D74:AD74)</f>
        <v>1727520712.6927087</v>
      </c>
      <c r="D74" s="63">
        <f>ABS((D49*D62*1000*'Cost Assumptions'!$B$7)/'Cost Assumptions'!$B$14)</f>
        <v>62732813.666396342</v>
      </c>
      <c r="E74" s="63">
        <f>ABS((E49*E62*1000*'Cost Assumptions'!$B$7)/'Cost Assumptions'!$B$14)</f>
        <v>74529680.744615436</v>
      </c>
      <c r="F74" s="63">
        <f>ABS((F49*F62*1000*'Cost Assumptions'!$B$7)/'Cost Assumptions'!$B$14)</f>
        <v>86877183.168203995</v>
      </c>
      <c r="G74" s="63">
        <f>ABS((G49*G62*1000*'Cost Assumptions'!$B$7)/'Cost Assumptions'!$B$14)</f>
        <v>99795479.662506595</v>
      </c>
      <c r="H74" s="63">
        <f>ABS((H49*H62*1000*'Cost Assumptions'!$B$7)/'Cost Assumptions'!$B$14)</f>
        <v>113305392.74204421</v>
      </c>
      <c r="I74" s="63">
        <f>ABS((I49*I62*1000*'Cost Assumptions'!$B$7)/'Cost Assumptions'!$B$14)</f>
        <v>127428429.30076961</v>
      </c>
      <c r="J74" s="63">
        <f>ABS((J49*J62*1000*'Cost Assumptions'!$B$7)/'Cost Assumptions'!$B$14)</f>
        <v>142186801.81696752</v>
      </c>
      <c r="K74" s="63">
        <f>ABS((K49*K62*1000*'Cost Assumptions'!$B$7)/'Cost Assumptions'!$B$14)</f>
        <v>157603450.19066229</v>
      </c>
      <c r="L74" s="63">
        <f>ABS((L49*L62*1000*'Cost Assumptions'!$B$7)/'Cost Assumptions'!$B$14)</f>
        <v>175731895.09369043</v>
      </c>
      <c r="M74" s="63">
        <f>ABS((M49*M62*1000*'Cost Assumptions'!$B$7)/'Cost Assumptions'!$B$14)</f>
        <v>190507106.81884322</v>
      </c>
      <c r="N74" s="63">
        <f>ABS((N49*N62*1000*'Cost Assumptions'!$B$7)/'Cost Assumptions'!$B$14)</f>
        <v>208043837.74498209</v>
      </c>
      <c r="O74" s="63">
        <f>ABS((O49*O62*1000*'Cost Assumptions'!$B$7)/'Cost Assumptions'!$B$14)</f>
        <v>226338338.27566615</v>
      </c>
      <c r="P74" s="63">
        <f>ABS((P49*P62*1000*'Cost Assumptions'!$B$7)/'Cost Assumptions'!$B$14)</f>
        <v>245417536.43429375</v>
      </c>
      <c r="Q74" s="63">
        <f>ABS((Q49*Q62*1000*'Cost Assumptions'!$B$7)/'Cost Assumptions'!$B$14)</f>
        <v>265309233.0394305</v>
      </c>
      <c r="R74" s="63">
        <f>ABS((R49*R62*1000*'Cost Assumptions'!$B$7)/'Cost Assumptions'!$B$14)</f>
        <v>286042128.51455259</v>
      </c>
      <c r="S74" s="63">
        <f>ABS((S49*S62*1000*'Cost Assumptions'!$B$7)/'Cost Assumptions'!$B$14)</f>
        <v>307645850.49278122</v>
      </c>
      <c r="T74" s="63">
        <f>ABS((T49*T62*1000*'Cost Assumptions'!$B$7)/'Cost Assumptions'!$B$14)</f>
        <v>330150982.23959953</v>
      </c>
      <c r="U74" s="63">
        <f>ABS((U49*U62*1000*'Cost Assumptions'!$B$7)/'Cost Assumptions'!$B$14)</f>
        <v>353589091.91720092</v>
      </c>
      <c r="V74" s="63">
        <f>ABS((V49*V62*1000*'Cost Assumptions'!$B$7)/'Cost Assumptions'!$B$14)</f>
        <v>377992762.71478254</v>
      </c>
      <c r="W74" s="63">
        <f>ABS((W49*W62*1000*'Cost Assumptions'!$B$7)/'Cost Assumptions'!$B$14)</f>
        <v>403395623.86979508</v>
      </c>
      <c r="X74" s="63">
        <f>ABS((X49*X62*1000*'Cost Assumptions'!$B$7)/'Cost Assumptions'!$B$14)</f>
        <v>429832382.60586137</v>
      </c>
      <c r="Y74" s="63">
        <f>ABS((Y49*Y62*1000*'Cost Assumptions'!$B$7)/'Cost Assumptions'!$B$14)</f>
        <v>457338857.01381242</v>
      </c>
      <c r="Z74" s="63">
        <f>ABS((Z49*Z62*1000*'Cost Assumptions'!$B$7)/'Cost Assumptions'!$B$14)</f>
        <v>485952009.90303248</v>
      </c>
      <c r="AA74" s="63">
        <f>ABS((AA49*AA62*1000*'Cost Assumptions'!$B$7)/'Cost Assumptions'!$B$14)</f>
        <v>515709983.65107971</v>
      </c>
      <c r="AB74" s="63">
        <f>ABS((AB49*AB62*1000*'Cost Assumptions'!$B$7)/'Cost Assumptions'!$B$14)</f>
        <v>546652136.08034003</v>
      </c>
      <c r="AC74" s="63">
        <f>ABS((AC49*AC62*1000*'Cost Assumptions'!$B$7)/'Cost Assumptions'!$B$14)</f>
        <v>578819077.39128137</v>
      </c>
      <c r="AD74" s="63">
        <f>ABS((AD49*AD62*1000*'Cost Assumptions'!$B$7)/'Cost Assumptions'!$B$14)</f>
        <v>612252708.18271983</v>
      </c>
    </row>
    <row r="75" spans="1:30" x14ac:dyDescent="0.35">
      <c r="A75" s="88" t="s">
        <v>24</v>
      </c>
      <c r="B75" s="88" t="s">
        <v>157</v>
      </c>
      <c r="C75" s="20">
        <f>NPV('Cost Assumptions'!$B$3,D75:AD75)</f>
        <v>2146859259.6676633</v>
      </c>
      <c r="D75" s="63">
        <f>SUM(D73:D74)</f>
        <v>77960582.999195427</v>
      </c>
      <c r="E75" s="63">
        <f t="shared" ref="E75:AD75" si="28">SUM(E73:E74)</f>
        <v>92621022.747247413</v>
      </c>
      <c r="F75" s="63">
        <f t="shared" si="28"/>
        <v>107965759.11832751</v>
      </c>
      <c r="G75" s="63">
        <f t="shared" si="28"/>
        <v>124019844.16874458</v>
      </c>
      <c r="H75" s="63">
        <f t="shared" si="28"/>
        <v>140809154.87223357</v>
      </c>
      <c r="I75" s="63">
        <f t="shared" si="28"/>
        <v>158360418.70829147</v>
      </c>
      <c r="J75" s="63">
        <f t="shared" si="28"/>
        <v>176701240.01435718</v>
      </c>
      <c r="K75" s="63">
        <f t="shared" si="28"/>
        <v>195860127.12403345</v>
      </c>
      <c r="L75" s="63">
        <f t="shared" si="28"/>
        <v>218389072.51813939</v>
      </c>
      <c r="M75" s="63">
        <f t="shared" si="28"/>
        <v>236750820.58439073</v>
      </c>
      <c r="N75" s="63">
        <f t="shared" si="28"/>
        <v>258544419.29291081</v>
      </c>
      <c r="O75" s="63">
        <f t="shared" si="28"/>
        <v>281279728.67399168</v>
      </c>
      <c r="P75" s="63">
        <f t="shared" si="28"/>
        <v>304990213.26206851</v>
      </c>
      <c r="Q75" s="63">
        <f t="shared" si="28"/>
        <v>329710422.24912798</v>
      </c>
      <c r="R75" s="63">
        <f t="shared" si="28"/>
        <v>355476022.80225146</v>
      </c>
      <c r="S75" s="63">
        <f t="shared" si="28"/>
        <v>382323834.3691256</v>
      </c>
      <c r="T75" s="63">
        <f t="shared" si="28"/>
        <v>410291864.00009191</v>
      </c>
      <c r="U75" s="63">
        <f t="shared" si="28"/>
        <v>439419342.71612591</v>
      </c>
      <c r="V75" s="63">
        <f t="shared" si="28"/>
        <v>469746762.95296144</v>
      </c>
      <c r="W75" s="63">
        <f t="shared" si="28"/>
        <v>501315917.11244136</v>
      </c>
      <c r="X75" s="63">
        <f t="shared" si="28"/>
        <v>534169937.25304949</v>
      </c>
      <c r="Y75" s="63">
        <f t="shared" si="28"/>
        <v>568353335.95249283</v>
      </c>
      <c r="Z75" s="63">
        <f t="shared" si="28"/>
        <v>603912048.37612522</v>
      </c>
      <c r="AA75" s="63">
        <f t="shared" si="28"/>
        <v>640893475.58596885</v>
      </c>
      <c r="AB75" s="63">
        <f t="shared" si="28"/>
        <v>679346529.12606955</v>
      </c>
      <c r="AC75" s="63">
        <f t="shared" si="28"/>
        <v>719321676.9209342</v>
      </c>
      <c r="AD75" s="63">
        <f t="shared" si="28"/>
        <v>760870990.52483845</v>
      </c>
    </row>
    <row r="76" spans="1:30" x14ac:dyDescent="0.35">
      <c r="A76" s="88"/>
      <c r="B76" s="88"/>
      <c r="C76" s="20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x14ac:dyDescent="0.35">
      <c r="A77" s="88" t="s">
        <v>130</v>
      </c>
      <c r="B77" s="88" t="s">
        <v>164</v>
      </c>
      <c r="C77" s="20">
        <f>NPV('Cost Assumptions'!$B$3,D77:AD77)</f>
        <v>53824253.399527296</v>
      </c>
      <c r="D77" s="63">
        <f>ABS(D50)*D61*1000*'Cost Assumptions'!$B$6*'Cost Assumptions'!$B$13</f>
        <v>4633241.9424885428</v>
      </c>
      <c r="E77" s="63">
        <f>ABS(E50)*E61*1000*'Cost Assumptions'!$B$6*'Cost Assumptions'!$B$13</f>
        <v>4770795.5861276248</v>
      </c>
      <c r="F77" s="63">
        <f>ABS(F50)*F61*1000*'Cost Assumptions'!$B$6*'Cost Assumptions'!$B$13</f>
        <v>4900302.5322432928</v>
      </c>
      <c r="G77" s="63">
        <f>ABS(G50)*G61*1000*'Cost Assumptions'!$B$6*'Cost Assumptions'!$B$13</f>
        <v>5033330.1954862308</v>
      </c>
      <c r="H77" s="63">
        <f>ABS(H50)*H61*1000*'Cost Assumptions'!$B$6*'Cost Assumptions'!$B$13</f>
        <v>5170224.1048191264</v>
      </c>
      <c r="I77" s="63">
        <f>ABS(I50)*I61*1000*'Cost Assumptions'!$B$6*'Cost Assumptions'!$B$13</f>
        <v>5312424.7655394915</v>
      </c>
      <c r="J77" s="63">
        <f>ABS(J50)*J61*1000*'Cost Assumptions'!$B$6*'Cost Assumptions'!$B$13</f>
        <v>5458064.300428275</v>
      </c>
      <c r="K77" s="63">
        <f>ABS(K50)*K61*1000*'Cost Assumptions'!$B$6*'Cost Assumptions'!$B$13</f>
        <v>5610287.0156677105</v>
      </c>
      <c r="L77" s="63">
        <f>ABS(L50)*L61*1000*'Cost Assumptions'!$B$6*'Cost Assumptions'!$B$13</f>
        <v>5766677.4025000809</v>
      </c>
      <c r="M77" s="63">
        <f>ABS(M50)*M61*1000*'Cost Assumptions'!$B$6*'Cost Assumptions'!$B$13</f>
        <v>5927594.2336371979</v>
      </c>
      <c r="N77" s="63">
        <f>ABS(N50)*N61*1000*'Cost Assumptions'!$B$6*'Cost Assumptions'!$B$13</f>
        <v>6092289.1864645956</v>
      </c>
      <c r="O77" s="63">
        <f>ABS(O50)*O61*1000*'Cost Assumptions'!$B$6*'Cost Assumptions'!$B$13</f>
        <v>6261031.1764639989</v>
      </c>
      <c r="P77" s="63">
        <f>ABS(P50)*P61*1000*'Cost Assumptions'!$B$6*'Cost Assumptions'!$B$13</f>
        <v>6433768.0071305623</v>
      </c>
      <c r="Q77" s="63">
        <f>ABS(Q50)*Q61*1000*'Cost Assumptions'!$B$6*'Cost Assumptions'!$B$13</f>
        <v>6610218.8526197467</v>
      </c>
      <c r="R77" s="63">
        <f>ABS(R50)*R61*1000*'Cost Assumptions'!$B$6*'Cost Assumptions'!$B$13</f>
        <v>6790870.6853205804</v>
      </c>
      <c r="S77" s="63">
        <f>ABS(S50)*S61*1000*'Cost Assumptions'!$B$6*'Cost Assumptions'!$B$13</f>
        <v>6976061.2469643215</v>
      </c>
      <c r="T77" s="63">
        <f>ABS(T50)*T61*1000*'Cost Assumptions'!$B$6*'Cost Assumptions'!$B$13</f>
        <v>7165917.9798478214</v>
      </c>
      <c r="U77" s="63">
        <f>ABS(U50)*U61*1000*'Cost Assumptions'!$B$6*'Cost Assumptions'!$B$13</f>
        <v>7359119.3692976683</v>
      </c>
      <c r="V77" s="63">
        <f>ABS(V50)*V61*1000*'Cost Assumptions'!$B$6*'Cost Assumptions'!$B$13</f>
        <v>7557011.1197531698</v>
      </c>
      <c r="W77" s="63">
        <f>ABS(W50)*W61*1000*'Cost Assumptions'!$B$6*'Cost Assumptions'!$B$13</f>
        <v>7759907.4022188857</v>
      </c>
      <c r="X77" s="63">
        <f>ABS(X50)*X61*1000*'Cost Assumptions'!$B$6*'Cost Assumptions'!$B$13</f>
        <v>7968184.5131656183</v>
      </c>
      <c r="Y77" s="63">
        <f>ABS(Y50)*Y61*1000*'Cost Assumptions'!$B$6*'Cost Assumptions'!$B$13</f>
        <v>8179802.9884485817</v>
      </c>
      <c r="Z77" s="63">
        <f>ABS(Z50)*Z61*1000*'Cost Assumptions'!$B$6*'Cost Assumptions'!$B$13</f>
        <v>8396713.4780204836</v>
      </c>
      <c r="AA77" s="63">
        <f>ABS(AA50)*AA61*1000*'Cost Assumptions'!$B$6*'Cost Assumptions'!$B$13</f>
        <v>8618945.0671241768</v>
      </c>
      <c r="AB77" s="63">
        <f>ABS(AB50)*AB61*1000*'Cost Assumptions'!$B$6*'Cost Assumptions'!$B$13</f>
        <v>8846699.9723727237</v>
      </c>
      <c r="AC77" s="63">
        <f>ABS(AC50)*AC61*1000*'Cost Assumptions'!$B$6*'Cost Assumptions'!$B$13</f>
        <v>9077395.4868556447</v>
      </c>
      <c r="AD77" s="63">
        <f>ABS(AD50)*AD61*1000*'Cost Assumptions'!$B$6*'Cost Assumptions'!$B$13</f>
        <v>9313234.827968223</v>
      </c>
    </row>
    <row r="78" spans="1:30" x14ac:dyDescent="0.35">
      <c r="A78" s="88" t="s">
        <v>132</v>
      </c>
      <c r="B78" s="88" t="s">
        <v>164</v>
      </c>
      <c r="C78" s="20">
        <f>NPV('Cost Assumptions'!$B$3,D78:AD78)</f>
        <v>242621001.03070566</v>
      </c>
      <c r="D78" s="63">
        <f>ABS(D50)*D63*1000*'Cost Assumptions'!$B$7*'Cost Assumptions'!$B$13</f>
        <v>20885042.097284228</v>
      </c>
      <c r="E78" s="63">
        <f>ABS(E50)*E63*1000*'Cost Assumptions'!$B$7*'Cost Assumptions'!$B$13</f>
        <v>21505086.047869295</v>
      </c>
      <c r="F78" s="63">
        <f>ABS(F50)*F63*1000*'Cost Assumptions'!$B$7*'Cost Assumptions'!$B$13</f>
        <v>22088858.286636464</v>
      </c>
      <c r="G78" s="63">
        <f>ABS(G50)*G63*1000*'Cost Assumptions'!$B$7*'Cost Assumptions'!$B$13</f>
        <v>22688500.692843255</v>
      </c>
      <c r="H78" s="63">
        <f>ABS(H50)*H63*1000*'Cost Assumptions'!$B$7*'Cost Assumptions'!$B$13</f>
        <v>23305570.790793661</v>
      </c>
      <c r="I78" s="63">
        <f>ABS(I50)*I63*1000*'Cost Assumptions'!$B$7*'Cost Assumptions'!$B$13</f>
        <v>23946561.877007335</v>
      </c>
      <c r="J78" s="63">
        <f>ABS(J50)*J63*1000*'Cost Assumptions'!$B$7*'Cost Assumptions'!$B$13</f>
        <v>24603054.211087223</v>
      </c>
      <c r="K78" s="63">
        <f>ABS(K50)*K63*1000*'Cost Assumptions'!$B$7*'Cost Assumptions'!$B$13</f>
        <v>25289221.230940916</v>
      </c>
      <c r="L78" s="63">
        <f>ABS(L50)*L63*1000*'Cost Assumptions'!$B$7*'Cost Assumptions'!$B$13</f>
        <v>25994174.663795829</v>
      </c>
      <c r="M78" s="63">
        <f>ABS(M50)*M63*1000*'Cost Assumptions'!$B$7*'Cost Assumptions'!$B$13</f>
        <v>26719531.73216752</v>
      </c>
      <c r="N78" s="63">
        <f>ABS(N50)*N63*1000*'Cost Assumptions'!$B$7*'Cost Assumptions'!$B$13</f>
        <v>27461919.258160383</v>
      </c>
      <c r="O78" s="63">
        <f>ABS(O50)*O63*1000*'Cost Assumptions'!$B$7*'Cost Assumptions'!$B$13</f>
        <v>28222549.419171181</v>
      </c>
      <c r="P78" s="63">
        <f>ABS(P50)*P63*1000*'Cost Assumptions'!$B$7*'Cost Assumptions'!$B$13</f>
        <v>29001186.931522842</v>
      </c>
      <c r="Q78" s="63">
        <f>ABS(Q50)*Q63*1000*'Cost Assumptions'!$B$7*'Cost Assumptions'!$B$13</f>
        <v>29796565.930048373</v>
      </c>
      <c r="R78" s="63">
        <f>ABS(R50)*R63*1000*'Cost Assumptions'!$B$7*'Cost Assumptions'!$B$13</f>
        <v>30610881.516788907</v>
      </c>
      <c r="S78" s="63">
        <f>ABS(S50)*S63*1000*'Cost Assumptions'!$B$7*'Cost Assumptions'!$B$13</f>
        <v>31445656.113919463</v>
      </c>
      <c r="T78" s="63">
        <f>ABS(T50)*T63*1000*'Cost Assumptions'!$B$7*'Cost Assumptions'!$B$13</f>
        <v>32301464.186958496</v>
      </c>
      <c r="U78" s="63">
        <f>ABS(U50)*U63*1000*'Cost Assumptions'!$B$7*'Cost Assumptions'!$B$13</f>
        <v>33172348.807705633</v>
      </c>
      <c r="V78" s="63">
        <f>ABS(V50)*V63*1000*'Cost Assumptions'!$B$7*'Cost Assumptions'!$B$13</f>
        <v>34064375.943406768</v>
      </c>
      <c r="W78" s="63">
        <f>ABS(W50)*W63*1000*'Cost Assumptions'!$B$7*'Cost Assumptions'!$B$13</f>
        <v>34978961.767604627</v>
      </c>
      <c r="X78" s="63">
        <f>ABS(X50)*X63*1000*'Cost Assumptions'!$B$7*'Cost Assumptions'!$B$13</f>
        <v>35917802.493821234</v>
      </c>
      <c r="Y78" s="63">
        <f>ABS(Y50)*Y63*1000*'Cost Assumptions'!$B$7*'Cost Assumptions'!$B$13</f>
        <v>36871704.927518442</v>
      </c>
      <c r="Z78" s="63">
        <f>ABS(Z50)*Z63*1000*'Cost Assumptions'!$B$7*'Cost Assumptions'!$B$13</f>
        <v>37849461.919767916</v>
      </c>
      <c r="AA78" s="63">
        <f>ABS(AA50)*AA63*1000*'Cost Assumptions'!$B$7*'Cost Assumptions'!$B$13</f>
        <v>38851204.576721437</v>
      </c>
      <c r="AB78" s="63">
        <f>ABS(AB50)*AB63*1000*'Cost Assumptions'!$B$7*'Cost Assumptions'!$B$13</f>
        <v>39877844.420490101</v>
      </c>
      <c r="AC78" s="63">
        <f>ABS(AC50)*AC63*1000*'Cost Assumptions'!$B$7*'Cost Assumptions'!$B$13</f>
        <v>40917739.507221244</v>
      </c>
      <c r="AD78" s="63">
        <f>ABS(AD50)*AD63*1000*'Cost Assumptions'!$B$7*'Cost Assumptions'!$B$13</f>
        <v>41980821.17411267</v>
      </c>
    </row>
    <row r="79" spans="1:30" ht="32.5" customHeight="1" x14ac:dyDescent="0.35">
      <c r="A79" s="3" t="s">
        <v>159</v>
      </c>
      <c r="B79" s="88" t="s">
        <v>164</v>
      </c>
      <c r="C79" s="20">
        <f>NPV('Cost Assumptions'!$B$3,D79:AD79)</f>
        <v>296445254.43023294</v>
      </c>
      <c r="D79" s="63">
        <f>SUM(D77:D78)</f>
        <v>25518284.039772771</v>
      </c>
      <c r="E79" s="63">
        <f t="shared" ref="E79:AD79" si="29">SUM(E77:E78)</f>
        <v>26275881.633996919</v>
      </c>
      <c r="F79" s="63">
        <f t="shared" si="29"/>
        <v>26989160.818879757</v>
      </c>
      <c r="G79" s="63">
        <f t="shared" si="29"/>
        <v>27721830.888329484</v>
      </c>
      <c r="H79" s="63">
        <f t="shared" si="29"/>
        <v>28475794.895612787</v>
      </c>
      <c r="I79" s="63">
        <f t="shared" si="29"/>
        <v>29258986.642546825</v>
      </c>
      <c r="J79" s="63">
        <f t="shared" si="29"/>
        <v>30061118.511515498</v>
      </c>
      <c r="K79" s="63">
        <f t="shared" si="29"/>
        <v>30899508.246608626</v>
      </c>
      <c r="L79" s="63">
        <f t="shared" si="29"/>
        <v>31760852.066295911</v>
      </c>
      <c r="M79" s="63">
        <f t="shared" si="29"/>
        <v>32647125.965804718</v>
      </c>
      <c r="N79" s="63">
        <f t="shared" si="29"/>
        <v>33554208.444624979</v>
      </c>
      <c r="O79" s="63">
        <f t="shared" si="29"/>
        <v>34483580.595635176</v>
      </c>
      <c r="P79" s="63">
        <f t="shared" si="29"/>
        <v>35434954.938653402</v>
      </c>
      <c r="Q79" s="63">
        <f t="shared" si="29"/>
        <v>36406784.782668121</v>
      </c>
      <c r="R79" s="63">
        <f t="shared" si="29"/>
        <v>37401752.202109486</v>
      </c>
      <c r="S79" s="63">
        <f t="shared" si="29"/>
        <v>38421717.360883787</v>
      </c>
      <c r="T79" s="63">
        <f t="shared" si="29"/>
        <v>39467382.166806318</v>
      </c>
      <c r="U79" s="63">
        <f t="shared" si="29"/>
        <v>40531468.177003302</v>
      </c>
      <c r="V79" s="63">
        <f t="shared" si="29"/>
        <v>41621387.063159935</v>
      </c>
      <c r="W79" s="63">
        <f t="shared" si="29"/>
        <v>42738869.169823512</v>
      </c>
      <c r="X79" s="63">
        <f t="shared" si="29"/>
        <v>43885987.006986849</v>
      </c>
      <c r="Y79" s="63">
        <f t="shared" si="29"/>
        <v>45051507.915967025</v>
      </c>
      <c r="Z79" s="63">
        <f t="shared" si="29"/>
        <v>46246175.397788398</v>
      </c>
      <c r="AA79" s="63">
        <f t="shared" si="29"/>
        <v>47470149.643845618</v>
      </c>
      <c r="AB79" s="63">
        <f t="shared" si="29"/>
        <v>48724544.392862827</v>
      </c>
      <c r="AC79" s="63">
        <f t="shared" si="29"/>
        <v>49995134.994076893</v>
      </c>
      <c r="AD79" s="63">
        <f t="shared" si="29"/>
        <v>51294056.002080895</v>
      </c>
    </row>
    <row r="80" spans="1:30" s="62" customFormat="1" ht="32.5" customHeight="1" x14ac:dyDescent="0.35">
      <c r="A80" s="3"/>
      <c r="B80" s="88"/>
      <c r="C80" s="2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2" customFormat="1" ht="29" x14ac:dyDescent="0.35">
      <c r="A81" s="3" t="s">
        <v>160</v>
      </c>
      <c r="B81" s="88" t="s">
        <v>161</v>
      </c>
      <c r="C81" s="20">
        <f>NPV('Cost Assumptions'!$B$3,D81:AD81)</f>
        <v>194597591.53534827</v>
      </c>
      <c r="D81" s="63">
        <f>('Baseline System Analysis'!D42-D36)</f>
        <v>12311289.739473401</v>
      </c>
      <c r="E81" s="63">
        <f>('Baseline System Analysis'!E42-E36)</f>
        <v>13409269.588517018</v>
      </c>
      <c r="F81" s="63">
        <f>('Baseline System Analysis'!F42-F36)</f>
        <v>14134714.150648717</v>
      </c>
      <c r="G81" s="63">
        <f>('Baseline System Analysis'!G42-G36)</f>
        <v>14916851.382227913</v>
      </c>
      <c r="H81" s="63">
        <f>('Baseline System Analysis'!H42-H36)</f>
        <v>15731562.436475236</v>
      </c>
      <c r="I81" s="63">
        <f>('Baseline System Analysis'!I42-I36)</f>
        <v>16634789.36126687</v>
      </c>
      <c r="J81" s="63">
        <f>('Baseline System Analysis'!J42-J36)</f>
        <v>17527824.603423439</v>
      </c>
      <c r="K81" s="63">
        <f>('Baseline System Analysis'!K42-K36)</f>
        <v>18655656.817591555</v>
      </c>
      <c r="L81" s="63">
        <f>('Baseline System Analysis'!L42-L36)</f>
        <v>19866924.105117623</v>
      </c>
      <c r="M81" s="63">
        <f>('Baseline System Analysis'!M42-M36)</f>
        <v>21145772.24796214</v>
      </c>
      <c r="N81" s="63">
        <f>('Baseline System Analysis'!N42-N36)</f>
        <v>22292277.158550248</v>
      </c>
      <c r="O81" s="63">
        <f>('Baseline System Analysis'!O42-O36)</f>
        <v>23578858.813295688</v>
      </c>
      <c r="P81" s="63">
        <f>('Baseline System Analysis'!P42-P36)</f>
        <v>25137103.684391238</v>
      </c>
      <c r="Q81" s="63">
        <f>('Baseline System Analysis'!Q42-Q36)</f>
        <v>26703212.135843448</v>
      </c>
      <c r="R81" s="63">
        <f>('Baseline System Analysis'!R42-R36)</f>
        <v>28119795.129845783</v>
      </c>
      <c r="S81" s="63">
        <f>('Baseline System Analysis'!S42-S36)</f>
        <v>29898263.812676497</v>
      </c>
      <c r="T81" s="63">
        <f>('Baseline System Analysis'!T42-T36)</f>
        <v>31556381.430989303</v>
      </c>
      <c r="U81" s="63">
        <f>('Baseline System Analysis'!U42-U36)</f>
        <v>33257212.228841282</v>
      </c>
      <c r="V81" s="63">
        <f>('Baseline System Analysis'!V42-V36)</f>
        <v>35072292.336960942</v>
      </c>
      <c r="W81" s="63">
        <f>('Baseline System Analysis'!W42-W36)</f>
        <v>36969902.863182783</v>
      </c>
      <c r="X81" s="63">
        <f>('Baseline System Analysis'!X42-X36)</f>
        <v>38761139.089388698</v>
      </c>
      <c r="Y81" s="63">
        <f>('Baseline System Analysis'!Y42-Y36)</f>
        <v>40658406.436625317</v>
      </c>
      <c r="Z81" s="63">
        <f>('Baseline System Analysis'!Z42-Z36)</f>
        <v>42616968.434894785</v>
      </c>
      <c r="AA81" s="63">
        <f>('Baseline System Analysis'!AA42-AA36)</f>
        <v>44630620.875841111</v>
      </c>
      <c r="AB81" s="63">
        <f>('Baseline System Analysis'!AB42-AB36)</f>
        <v>46598925.676338114</v>
      </c>
      <c r="AC81" s="63">
        <f>('Baseline System Analysis'!AC42-AC36)</f>
        <v>48552854.247511007</v>
      </c>
      <c r="AD81" s="63">
        <f>('Baseline System Analysis'!AD42-AD36)</f>
        <v>50492072.481269397</v>
      </c>
    </row>
    <row r="82" spans="1:30" x14ac:dyDescent="0.35">
      <c r="A82" s="88"/>
      <c r="B82" s="88"/>
      <c r="C82" s="88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ht="20" thickBot="1" x14ac:dyDescent="0.5">
      <c r="A83" s="142" t="s">
        <v>74</v>
      </c>
      <c r="B83" s="142"/>
      <c r="C83" s="20">
        <f>NPV('Cost Assumptions'!$B$3,D83:AD83)/1000000</f>
        <v>2935.7993440306304</v>
      </c>
      <c r="D83" s="63">
        <f>SUM(D67,D71,D75,D79,D81)</f>
        <v>116860829.9460887</v>
      </c>
      <c r="E83" s="63">
        <f t="shared" ref="E83:AD83" si="30">SUM(E67,E71,E75,E79,E81)</f>
        <v>135004020.51240027</v>
      </c>
      <c r="F83" s="63">
        <f t="shared" si="30"/>
        <v>153051687.57267207</v>
      </c>
      <c r="G83" s="63">
        <f t="shared" si="30"/>
        <v>171979303.41234457</v>
      </c>
      <c r="H83" s="63">
        <f t="shared" si="30"/>
        <v>191718827.78816792</v>
      </c>
      <c r="I83" s="63">
        <f t="shared" si="30"/>
        <v>210925410.91255727</v>
      </c>
      <c r="J83" s="63">
        <f t="shared" si="30"/>
        <v>233473532.37590915</v>
      </c>
      <c r="K83" s="63">
        <f t="shared" si="30"/>
        <v>257638984.62596926</v>
      </c>
      <c r="L83" s="63">
        <f t="shared" si="30"/>
        <v>284250435.77410984</v>
      </c>
      <c r="M83" s="63">
        <f t="shared" si="30"/>
        <v>306446341.01905155</v>
      </c>
      <c r="N83" s="63">
        <f t="shared" si="30"/>
        <v>334307988.16175294</v>
      </c>
      <c r="O83" s="63">
        <f t="shared" si="30"/>
        <v>363663634.89343435</v>
      </c>
      <c r="P83" s="63">
        <f t="shared" si="30"/>
        <v>397237339.21815455</v>
      </c>
      <c r="Q83" s="63">
        <f t="shared" si="30"/>
        <v>431850829.54370254</v>
      </c>
      <c r="R83" s="63">
        <f t="shared" si="30"/>
        <v>470764569.76776832</v>
      </c>
      <c r="S83" s="63">
        <f t="shared" si="30"/>
        <v>513520028.8418749</v>
      </c>
      <c r="T83" s="63">
        <f t="shared" si="30"/>
        <v>559812988.05694056</v>
      </c>
      <c r="U83" s="63">
        <f t="shared" si="30"/>
        <v>610329089.73020852</v>
      </c>
      <c r="V83" s="63">
        <f t="shared" si="30"/>
        <v>653417837.65227807</v>
      </c>
      <c r="W83" s="63">
        <f t="shared" si="30"/>
        <v>701100157.34622824</v>
      </c>
      <c r="X83" s="63">
        <f t="shared" si="30"/>
        <v>751302645.81463027</v>
      </c>
      <c r="Y83" s="63">
        <f t="shared" si="30"/>
        <v>803101181.58340764</v>
      </c>
      <c r="Z83" s="63">
        <f t="shared" si="30"/>
        <v>857382610.82055461</v>
      </c>
      <c r="AA83" s="63">
        <f t="shared" si="30"/>
        <v>915854778.64899707</v>
      </c>
      <c r="AB83" s="63">
        <f t="shared" si="30"/>
        <v>981631231.97883534</v>
      </c>
      <c r="AC83" s="63">
        <f t="shared" si="30"/>
        <v>1041796447.922901</v>
      </c>
      <c r="AD83" s="63">
        <f t="shared" si="30"/>
        <v>1100390784.674582</v>
      </c>
    </row>
    <row r="84" spans="1:30" s="62" customFormat="1" ht="20.5" thickTop="1" thickBot="1" x14ac:dyDescent="0.5">
      <c r="A84" s="142" t="s">
        <v>162</v>
      </c>
      <c r="B84" s="142"/>
      <c r="C84" s="20">
        <f>NPV('Cost Assumptions'!$B$3,D84:AD84)/1000000</f>
        <v>2939.1217643520777</v>
      </c>
      <c r="D84" s="63">
        <f>D83+D43</f>
        <v>117090816.34608869</v>
      </c>
      <c r="E84" s="63">
        <f t="shared" ref="E84:AD84" si="31">E83+E43</f>
        <v>135248352.95566949</v>
      </c>
      <c r="F84" s="63">
        <f t="shared" si="31"/>
        <v>153310939.61987397</v>
      </c>
      <c r="G84" s="63">
        <f t="shared" si="31"/>
        <v>172254068.33589876</v>
      </c>
      <c r="H84" s="63">
        <f t="shared" si="31"/>
        <v>192009719.19936249</v>
      </c>
      <c r="I84" s="63">
        <f t="shared" si="31"/>
        <v>211233063.40769702</v>
      </c>
      <c r="J84" s="63">
        <f t="shared" si="31"/>
        <v>233798602.20205936</v>
      </c>
      <c r="K84" s="63">
        <f t="shared" si="31"/>
        <v>257978836.93862712</v>
      </c>
      <c r="L84" s="63">
        <f t="shared" si="31"/>
        <v>284605606.52895933</v>
      </c>
      <c r="M84" s="63">
        <f t="shared" si="31"/>
        <v>306817383.7305069</v>
      </c>
      <c r="N84" s="63">
        <f t="shared" si="31"/>
        <v>334695474.44592267</v>
      </c>
      <c r="O84" s="63">
        <f t="shared" si="31"/>
        <v>364068155.02725947</v>
      </c>
      <c r="P84" s="63">
        <f t="shared" si="31"/>
        <v>397659502.71519029</v>
      </c>
      <c r="Q84" s="63">
        <f t="shared" si="31"/>
        <v>432291265.74702573</v>
      </c>
      <c r="R84" s="63">
        <f t="shared" si="31"/>
        <v>471223928.46050769</v>
      </c>
      <c r="S84" s="63">
        <f t="shared" si="31"/>
        <v>513998980.87587422</v>
      </c>
      <c r="T84" s="63">
        <f t="shared" si="31"/>
        <v>560312226.00007987</v>
      </c>
      <c r="U84" s="63">
        <f t="shared" si="31"/>
        <v>610849328.53292346</v>
      </c>
      <c r="V84" s="63">
        <f t="shared" si="31"/>
        <v>653959815.3338331</v>
      </c>
      <c r="W84" s="63">
        <f t="shared" si="31"/>
        <v>701664635.70131361</v>
      </c>
      <c r="X84" s="63">
        <f t="shared" si="31"/>
        <v>751890411.14087152</v>
      </c>
      <c r="Y84" s="63">
        <f t="shared" si="31"/>
        <v>803713045.4303906</v>
      </c>
      <c r="Z84" s="63">
        <f t="shared" si="31"/>
        <v>858019410.76098752</v>
      </c>
      <c r="AA84" s="63">
        <f t="shared" si="31"/>
        <v>916517379.07264805</v>
      </c>
      <c r="AB84" s="63">
        <f t="shared" si="31"/>
        <v>982320524.90990257</v>
      </c>
      <c r="AC84" s="63">
        <f t="shared" si="31"/>
        <v>1042513353.8614905</v>
      </c>
      <c r="AD84" s="63">
        <f t="shared" si="31"/>
        <v>1101136253.4629879</v>
      </c>
    </row>
    <row r="85" spans="1:30" ht="15" thickTop="1" x14ac:dyDescent="0.3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</row>
    <row r="86" spans="1:30" ht="20" thickBot="1" x14ac:dyDescent="0.5">
      <c r="A86" s="142" t="s">
        <v>163</v>
      </c>
      <c r="B86" s="142"/>
      <c r="C86" s="20">
        <f>Summary!$D$8</f>
        <v>469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15" thickTop="1" x14ac:dyDescent="0.3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20" thickBot="1" x14ac:dyDescent="0.5">
      <c r="A88" s="142" t="s">
        <v>7</v>
      </c>
      <c r="B88" s="142"/>
      <c r="C88" s="53">
        <f>C84/C86</f>
        <v>6.2667841457400373</v>
      </c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15" thickTop="1" x14ac:dyDescent="0.3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</sheetData>
  <mergeCells count="8">
    <mergeCell ref="A86:B86"/>
    <mergeCell ref="A88:B88"/>
    <mergeCell ref="A84:B84"/>
    <mergeCell ref="B18:B31"/>
    <mergeCell ref="B2:B15"/>
    <mergeCell ref="B40:AD40"/>
    <mergeCell ref="A58:AD59"/>
    <mergeCell ref="A83:B83"/>
  </mergeCells>
  <phoneticPr fontId="17" type="noConversion"/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97"/>
  <sheetViews>
    <sheetView zoomScale="73" zoomScaleNormal="73" workbookViewId="0"/>
  </sheetViews>
  <sheetFormatPr defaultRowHeight="14.5" x14ac:dyDescent="0.35"/>
  <cols>
    <col min="1" max="1" width="19.81640625" customWidth="1"/>
    <col min="2" max="2" width="29.453125" customWidth="1"/>
    <col min="3" max="3" width="19.26953125" customWidth="1"/>
    <col min="4" max="4" width="15.1796875" bestFit="1" customWidth="1"/>
    <col min="5" max="6" width="15.7265625" bestFit="1" customWidth="1"/>
    <col min="7" max="7" width="16.1796875" bestFit="1" customWidth="1"/>
    <col min="8" max="14" width="14.81640625" bestFit="1" customWidth="1"/>
    <col min="15" max="16" width="19.26953125" customWidth="1"/>
    <col min="17" max="17" width="22.1796875" customWidth="1"/>
    <col min="18" max="18" width="22.453125" customWidth="1"/>
    <col min="19" max="19" width="16.26953125" customWidth="1"/>
    <col min="20" max="20" width="14.81640625" bestFit="1" customWidth="1"/>
    <col min="21" max="21" width="21.1796875" customWidth="1"/>
    <col min="22" max="22" width="19.7265625" customWidth="1"/>
    <col min="23" max="23" width="16.54296875" bestFit="1" customWidth="1"/>
    <col min="24" max="24" width="16.81640625" bestFit="1" customWidth="1"/>
    <col min="25" max="30" width="16.26953125" bestFit="1" customWidth="1"/>
  </cols>
  <sheetData>
    <row r="1" spans="1:30" ht="20" thickBot="1" x14ac:dyDescent="0.5">
      <c r="A1" s="117"/>
      <c r="B1" s="128"/>
      <c r="C1" s="117" t="s">
        <v>118</v>
      </c>
      <c r="D1" s="117">
        <v>2022</v>
      </c>
      <c r="E1" s="117">
        <v>2023</v>
      </c>
      <c r="F1" s="117">
        <v>2024</v>
      </c>
      <c r="G1" s="117">
        <v>2025</v>
      </c>
      <c r="H1" s="117">
        <v>2026</v>
      </c>
      <c r="I1" s="117">
        <v>2027</v>
      </c>
      <c r="J1" s="117">
        <v>2028</v>
      </c>
      <c r="K1" s="117">
        <v>2029</v>
      </c>
      <c r="L1" s="117">
        <v>2030</v>
      </c>
      <c r="M1" s="117">
        <v>2031</v>
      </c>
      <c r="N1" s="117">
        <v>2032</v>
      </c>
      <c r="O1" s="117">
        <v>2033</v>
      </c>
      <c r="P1" s="117">
        <v>2034</v>
      </c>
      <c r="Q1" s="117">
        <v>2035</v>
      </c>
      <c r="R1" s="117">
        <v>2036</v>
      </c>
      <c r="S1" s="117">
        <v>2037</v>
      </c>
      <c r="T1" s="117">
        <v>2038</v>
      </c>
      <c r="U1" s="117">
        <v>2039</v>
      </c>
      <c r="V1" s="117">
        <v>2040</v>
      </c>
      <c r="W1" s="117">
        <v>2041</v>
      </c>
      <c r="X1" s="117">
        <v>2042</v>
      </c>
      <c r="Y1" s="117">
        <v>2043</v>
      </c>
      <c r="Z1" s="117">
        <v>2044</v>
      </c>
      <c r="AA1" s="117">
        <v>2045</v>
      </c>
      <c r="AB1" s="117">
        <v>2046</v>
      </c>
      <c r="AC1" s="117">
        <v>2047</v>
      </c>
      <c r="AD1" s="117">
        <v>2048</v>
      </c>
    </row>
    <row r="2" spans="1:30" ht="15" thickTop="1" x14ac:dyDescent="0.35">
      <c r="A2" s="88"/>
      <c r="B2" s="163" t="s">
        <v>26</v>
      </c>
      <c r="C2" s="88" t="s">
        <v>120</v>
      </c>
      <c r="D2" s="63">
        <f>'Baseline System Analysis'!D2</f>
        <v>49666.999999999534</v>
      </c>
      <c r="E2" s="63">
        <f>'Baseline System Analysis'!E2</f>
        <v>50103.790384614935</v>
      </c>
      <c r="F2" s="63">
        <f>'Baseline System Analysis'!F2</f>
        <v>50540.580769230335</v>
      </c>
      <c r="G2" s="63">
        <f>'Baseline System Analysis'!G2</f>
        <v>50977.371153845736</v>
      </c>
      <c r="H2" s="63">
        <f>'Baseline System Analysis'!H2</f>
        <v>51414.161538461136</v>
      </c>
      <c r="I2" s="63">
        <f>'Baseline System Analysis'!I2</f>
        <v>51850.951923076536</v>
      </c>
      <c r="J2" s="63">
        <f>'Baseline System Analysis'!J2</f>
        <v>52287.742307691937</v>
      </c>
      <c r="K2" s="63">
        <f>'Baseline System Analysis'!K2</f>
        <v>52724.532692307337</v>
      </c>
      <c r="L2" s="63">
        <f>'Baseline System Analysis'!L2</f>
        <v>53161.323076922738</v>
      </c>
      <c r="M2" s="63">
        <f>'Baseline System Analysis'!M2</f>
        <v>53598.113461538138</v>
      </c>
      <c r="N2" s="63">
        <f>'Baseline System Analysis'!N2</f>
        <v>54034.903846153538</v>
      </c>
      <c r="O2" s="63">
        <f>'Baseline System Analysis'!O2</f>
        <v>54471.694230768939</v>
      </c>
      <c r="P2" s="63">
        <f>'Baseline System Analysis'!P2</f>
        <v>54908.484615384339</v>
      </c>
      <c r="Q2" s="63">
        <f>'Baseline System Analysis'!Q2</f>
        <v>55345.27499999974</v>
      </c>
      <c r="R2" s="63">
        <f>'Baseline System Analysis'!R2</f>
        <v>55782.06538461514</v>
      </c>
      <c r="S2" s="63">
        <f>'Baseline System Analysis'!S2</f>
        <v>56218.85576923054</v>
      </c>
      <c r="T2" s="63">
        <f>'Baseline System Analysis'!T2</f>
        <v>56655.646153845941</v>
      </c>
      <c r="U2" s="63">
        <f>'Baseline System Analysis'!U2</f>
        <v>57092.436538461341</v>
      </c>
      <c r="V2" s="63">
        <f>'Baseline System Analysis'!V2</f>
        <v>57529.226923076742</v>
      </c>
      <c r="W2" s="63">
        <f>'Baseline System Analysis'!W2</f>
        <v>57966.017307692142</v>
      </c>
      <c r="X2" s="63">
        <f>'Baseline System Analysis'!X2</f>
        <v>58402.807692307542</v>
      </c>
      <c r="Y2" s="63">
        <f>'Baseline System Analysis'!Y2</f>
        <v>58839.598076922943</v>
      </c>
      <c r="Z2" s="63">
        <f>'Baseline System Analysis'!Z2</f>
        <v>59276.388461538343</v>
      </c>
      <c r="AA2" s="63">
        <f>'Baseline System Analysis'!AA2</f>
        <v>59713.178846153744</v>
      </c>
      <c r="AB2" s="63">
        <f>'Baseline System Analysis'!AB2</f>
        <v>60149.969230769144</v>
      </c>
      <c r="AC2" s="63">
        <f>'Baseline System Analysis'!AC2</f>
        <v>60586.759615384544</v>
      </c>
      <c r="AD2" s="63">
        <f>'Baseline System Analysis'!AD2</f>
        <v>61023.550000000017</v>
      </c>
    </row>
    <row r="3" spans="1:30" x14ac:dyDescent="0.35">
      <c r="A3" s="88" t="s">
        <v>30</v>
      </c>
      <c r="B3" s="165"/>
      <c r="C3" s="88" t="s">
        <v>31</v>
      </c>
      <c r="D3" s="63">
        <f>'Baseline System Analysis'!D3</f>
        <v>10</v>
      </c>
      <c r="E3" s="63">
        <f>'Baseline System Analysis'!E3</f>
        <v>20.5</v>
      </c>
      <c r="F3" s="63">
        <f>'Baseline System Analysis'!F3</f>
        <v>29.879999999999995</v>
      </c>
      <c r="G3" s="63">
        <f>'Baseline System Analysis'!G3</f>
        <v>39.259999999999991</v>
      </c>
      <c r="H3" s="63">
        <f>'Baseline System Analysis'!H3</f>
        <v>48.639999999999986</v>
      </c>
      <c r="I3" s="63">
        <f>'Baseline System Analysis'!I3</f>
        <v>58.019999999999982</v>
      </c>
      <c r="J3" s="63">
        <f>'Baseline System Analysis'!J3</f>
        <v>67.399999999999977</v>
      </c>
      <c r="K3" s="63">
        <f>'Baseline System Analysis'!K3</f>
        <v>91.449999999999989</v>
      </c>
      <c r="L3" s="63">
        <f>'Baseline System Analysis'!L3</f>
        <v>115.5</v>
      </c>
      <c r="M3" s="63">
        <f>'Baseline System Analysis'!M3</f>
        <v>139.55000000000001</v>
      </c>
      <c r="N3" s="63">
        <f>'Baseline System Analysis'!N3</f>
        <v>163.6</v>
      </c>
      <c r="O3" s="63">
        <f>'Baseline System Analysis'!O3</f>
        <v>249.4666666666667</v>
      </c>
      <c r="P3" s="63">
        <f>'Baseline System Analysis'!P3</f>
        <v>335.33333333333337</v>
      </c>
      <c r="Q3" s="63">
        <f>'Baseline System Analysis'!Q3</f>
        <v>421.20000000000005</v>
      </c>
      <c r="R3" s="63">
        <f>'Baseline System Analysis'!R3</f>
        <v>507.06666666666672</v>
      </c>
      <c r="S3" s="63">
        <f>'Baseline System Analysis'!S3</f>
        <v>592.93333333333339</v>
      </c>
      <c r="T3" s="63">
        <f>'Baseline System Analysis'!T3</f>
        <v>678.80000000000018</v>
      </c>
      <c r="U3" s="63">
        <f>'Baseline System Analysis'!U3</f>
        <v>893.22000000000014</v>
      </c>
      <c r="V3" s="63">
        <f>'Baseline System Analysis'!V3</f>
        <v>1107.6400000000001</v>
      </c>
      <c r="W3" s="63">
        <f>'Baseline System Analysis'!W3</f>
        <v>1322.0600000000002</v>
      </c>
      <c r="X3" s="63">
        <f>'Baseline System Analysis'!X3</f>
        <v>1536.4800000000002</v>
      </c>
      <c r="Y3" s="63">
        <f>'Baseline System Analysis'!Y3</f>
        <v>1595.6</v>
      </c>
      <c r="Z3" s="63">
        <f>'Baseline System Analysis'!Z3</f>
        <v>1841.08</v>
      </c>
      <c r="AA3" s="63">
        <f>'Baseline System Analysis'!AA3</f>
        <v>2086.56</v>
      </c>
      <c r="AB3" s="63">
        <f>'Baseline System Analysis'!AB3</f>
        <v>2332.04</v>
      </c>
      <c r="AC3" s="63">
        <f>'Baseline System Analysis'!AC3</f>
        <v>2577.52</v>
      </c>
      <c r="AD3" s="63">
        <f>'Baseline System Analysis'!AD3</f>
        <v>2823</v>
      </c>
    </row>
    <row r="4" spans="1:30" x14ac:dyDescent="0.35">
      <c r="A4" s="88" t="s">
        <v>30</v>
      </c>
      <c r="B4" s="165"/>
      <c r="C4" s="88" t="s">
        <v>32</v>
      </c>
      <c r="D4" s="63">
        <f>'Baseline System Analysis'!D4</f>
        <v>2</v>
      </c>
      <c r="E4" s="63">
        <f>'Baseline System Analysis'!E4</f>
        <v>3</v>
      </c>
      <c r="F4" s="63">
        <f>'Baseline System Analysis'!F4</f>
        <v>4.6799999999999953</v>
      </c>
      <c r="G4" s="63">
        <f>'Baseline System Analysis'!G4</f>
        <v>6.3599999999999905</v>
      </c>
      <c r="H4" s="63">
        <f>'Baseline System Analysis'!H4</f>
        <v>8.0399999999999867</v>
      </c>
      <c r="I4" s="63">
        <f>'Baseline System Analysis'!I4</f>
        <v>9.7199999999999829</v>
      </c>
      <c r="J4" s="63">
        <f>'Baseline System Analysis'!J4</f>
        <v>11.399999999999977</v>
      </c>
      <c r="K4" s="63">
        <f>'Baseline System Analysis'!K4</f>
        <v>13.199999999999989</v>
      </c>
      <c r="L4" s="63">
        <f>'Baseline System Analysis'!L4</f>
        <v>15</v>
      </c>
      <c r="M4" s="63">
        <f>'Baseline System Analysis'!M4</f>
        <v>16.800000000000011</v>
      </c>
      <c r="N4" s="63">
        <f>'Baseline System Analysis'!N4</f>
        <v>18.600000000000023</v>
      </c>
      <c r="O4" s="63">
        <f>'Baseline System Analysis'!O4</f>
        <v>21.350000000000023</v>
      </c>
      <c r="P4" s="63">
        <f>'Baseline System Analysis'!P4</f>
        <v>24.100000000000023</v>
      </c>
      <c r="Q4" s="63">
        <f>'Baseline System Analysis'!Q4</f>
        <v>26.850000000000023</v>
      </c>
      <c r="R4" s="63">
        <f>'Baseline System Analysis'!R4</f>
        <v>29.600000000000023</v>
      </c>
      <c r="S4" s="63">
        <f>'Baseline System Analysis'!S4</f>
        <v>32.350000000000023</v>
      </c>
      <c r="T4" s="63">
        <f>'Baseline System Analysis'!T4</f>
        <v>35.100000000000023</v>
      </c>
      <c r="U4" s="63">
        <f>'Baseline System Analysis'!U4</f>
        <v>37.140000000000015</v>
      </c>
      <c r="V4" s="63">
        <f>'Baseline System Analysis'!V4</f>
        <v>39.180000000000007</v>
      </c>
      <c r="W4" s="63">
        <f>'Baseline System Analysis'!W4</f>
        <v>41.22</v>
      </c>
      <c r="X4" s="63">
        <f>'Baseline System Analysis'!X4</f>
        <v>43.259999999999991</v>
      </c>
      <c r="Y4" s="63">
        <f>'Baseline System Analysis'!Y4</f>
        <v>45.3</v>
      </c>
      <c r="Z4" s="63">
        <f>'Baseline System Analysis'!Z4</f>
        <v>49.92</v>
      </c>
      <c r="AA4" s="63">
        <f>'Baseline System Analysis'!AA4</f>
        <v>54.540000000000006</v>
      </c>
      <c r="AB4" s="63">
        <f>'Baseline System Analysis'!AB4</f>
        <v>59.160000000000011</v>
      </c>
      <c r="AC4" s="63">
        <f>'Baseline System Analysis'!AC4</f>
        <v>63.780000000000015</v>
      </c>
      <c r="AD4" s="63">
        <f>'Baseline System Analysis'!AD4</f>
        <v>68.400000000000006</v>
      </c>
    </row>
    <row r="5" spans="1:30" x14ac:dyDescent="0.35">
      <c r="A5" s="88" t="s">
        <v>30</v>
      </c>
      <c r="B5" s="165"/>
      <c r="C5" s="88" t="s">
        <v>33</v>
      </c>
      <c r="D5" s="63">
        <f>'Baseline System Analysis'!D5</f>
        <v>8.4812112193331513E-2</v>
      </c>
      <c r="E5" s="63">
        <f>'Baseline System Analysis'!E5</f>
        <v>0.24283371212350299</v>
      </c>
      <c r="F5" s="63">
        <f>'Baseline System Analysis'!F5</f>
        <v>0.34046276046663143</v>
      </c>
      <c r="G5" s="63">
        <f>'Baseline System Analysis'!G5</f>
        <v>0.43809180880975984</v>
      </c>
      <c r="H5" s="63">
        <f>'Baseline System Analysis'!H5</f>
        <v>0.53572085715288831</v>
      </c>
      <c r="I5" s="63">
        <f>'Baseline System Analysis'!I5</f>
        <v>0.63334990549601677</v>
      </c>
      <c r="J5" s="63">
        <f>'Baseline System Analysis'!J5</f>
        <v>0.73097895383914513</v>
      </c>
      <c r="K5" s="63">
        <f>'Baseline System Analysis'!K5</f>
        <v>1.1654530565649843</v>
      </c>
      <c r="L5" s="63">
        <f>'Baseline System Analysis'!L5</f>
        <v>1.5999271592908235</v>
      </c>
      <c r="M5" s="63">
        <f>'Baseline System Analysis'!M5</f>
        <v>2.0344012620166625</v>
      </c>
      <c r="N5" s="63">
        <f>'Baseline System Analysis'!N5</f>
        <v>2.4688753647425017</v>
      </c>
      <c r="O5" s="63">
        <f>'Baseline System Analysis'!O5</f>
        <v>6.1188246067013257</v>
      </c>
      <c r="P5" s="63">
        <f>'Baseline System Analysis'!P5</f>
        <v>9.7687738486601496</v>
      </c>
      <c r="Q5" s="63">
        <f>'Baseline System Analysis'!Q5</f>
        <v>13.418723090618974</v>
      </c>
      <c r="R5" s="63">
        <f>'Baseline System Analysis'!R5</f>
        <v>17.068672332577798</v>
      </c>
      <c r="S5" s="63">
        <f>'Baseline System Analysis'!S5</f>
        <v>20.718621574536623</v>
      </c>
      <c r="T5" s="63">
        <f>'Baseline System Analysis'!T5</f>
        <v>24.368570816495449</v>
      </c>
      <c r="U5" s="63">
        <f>'Baseline System Analysis'!U5</f>
        <v>38.177554292324203</v>
      </c>
      <c r="V5" s="63">
        <f>'Baseline System Analysis'!V5</f>
        <v>51.986537768152957</v>
      </c>
      <c r="W5" s="63">
        <f>'Baseline System Analysis'!W5</f>
        <v>65.79552124398171</v>
      </c>
      <c r="X5" s="63">
        <f>'Baseline System Analysis'!X5</f>
        <v>79.604504719810464</v>
      </c>
      <c r="Y5" s="63">
        <f>'Baseline System Analysis'!Y5</f>
        <v>93.413488195639218</v>
      </c>
      <c r="Z5" s="63">
        <f>'Baseline System Analysis'!Z5</f>
        <v>125.5073617484412</v>
      </c>
      <c r="AA5" s="63">
        <f>'Baseline System Analysis'!AA5</f>
        <v>157.60123530124318</v>
      </c>
      <c r="AB5" s="63">
        <f>'Baseline System Analysis'!AB5</f>
        <v>189.69510885404515</v>
      </c>
      <c r="AC5" s="63">
        <f>'Baseline System Analysis'!AC5</f>
        <v>221.78898240684714</v>
      </c>
      <c r="AD5" s="63">
        <f>'Baseline System Analysis'!AD5</f>
        <v>253.88285595964913</v>
      </c>
    </row>
    <row r="6" spans="1:30" x14ac:dyDescent="0.35">
      <c r="A6" s="88" t="s">
        <v>30</v>
      </c>
      <c r="B6" s="165"/>
      <c r="C6" s="88" t="s">
        <v>34</v>
      </c>
      <c r="D6" s="63">
        <f>'Baseline System Analysis'!D6</f>
        <v>6.0580080138093939E-3</v>
      </c>
      <c r="E6" s="63">
        <f>'Baseline System Analysis'!E6</f>
        <v>1.7771756236396739E-2</v>
      </c>
      <c r="F6" s="63">
        <f>'Baseline System Analysis'!F6</f>
        <v>2.504677784712513E-2</v>
      </c>
      <c r="G6" s="63">
        <f>'Baseline System Analysis'!G6</f>
        <v>3.2321799457853517E-2</v>
      </c>
      <c r="H6" s="63">
        <f>'Baseline System Analysis'!H6</f>
        <v>3.9596821068581908E-2</v>
      </c>
      <c r="I6" s="63">
        <f>'Baseline System Analysis'!I6</f>
        <v>4.6871842679310299E-2</v>
      </c>
      <c r="J6" s="63">
        <f>'Baseline System Analysis'!J6</f>
        <v>5.414686429003869E-2</v>
      </c>
      <c r="K6" s="63">
        <f>'Baseline System Analysis'!K6</f>
        <v>7.3798800432577555E-2</v>
      </c>
      <c r="L6" s="63">
        <f>'Baseline System Analysis'!L6</f>
        <v>9.3450736575116419E-2</v>
      </c>
      <c r="M6" s="63">
        <f>'Baseline System Analysis'!M6</f>
        <v>0.11310267271765528</v>
      </c>
      <c r="N6" s="63">
        <f>'Baseline System Analysis'!N6</f>
        <v>0.13275460886019416</v>
      </c>
      <c r="O6" s="63">
        <f>'Baseline System Analysis'!O6</f>
        <v>0.20937705636327303</v>
      </c>
      <c r="P6" s="63">
        <f>'Baseline System Analysis'!P6</f>
        <v>0.28599950386635192</v>
      </c>
      <c r="Q6" s="63">
        <f>'Baseline System Analysis'!Q6</f>
        <v>0.36262195136943082</v>
      </c>
      <c r="R6" s="63">
        <f>'Baseline System Analysis'!R6</f>
        <v>0.43924439887250971</v>
      </c>
      <c r="S6" s="63">
        <f>'Baseline System Analysis'!S6</f>
        <v>0.51586684637558855</v>
      </c>
      <c r="T6" s="63">
        <f>'Baseline System Analysis'!T6</f>
        <v>0.59248929387866744</v>
      </c>
      <c r="U6" s="63">
        <f>'Baseline System Analysis'!U6</f>
        <v>0.75647401896257604</v>
      </c>
      <c r="V6" s="63">
        <f>'Baseline System Analysis'!V6</f>
        <v>0.92045874404648464</v>
      </c>
      <c r="W6" s="63">
        <f>'Baseline System Analysis'!W6</f>
        <v>1.0844434691303932</v>
      </c>
      <c r="X6" s="63">
        <f>'Baseline System Analysis'!X6</f>
        <v>1.2484281942143018</v>
      </c>
      <c r="Y6" s="63">
        <f>'Baseline System Analysis'!Y6</f>
        <v>1.4124129192982104</v>
      </c>
      <c r="Z6" s="63">
        <f>'Baseline System Analysis'!Z6</f>
        <v>1.6368955320956846</v>
      </c>
      <c r="AA6" s="63">
        <f>'Baseline System Analysis'!AA6</f>
        <v>1.8613781448931588</v>
      </c>
      <c r="AB6" s="63">
        <f>'Baseline System Analysis'!AB6</f>
        <v>2.0858607576906327</v>
      </c>
      <c r="AC6" s="63">
        <f>'Baseline System Analysis'!AC6</f>
        <v>2.3103433704881069</v>
      </c>
      <c r="AD6" s="63">
        <f>'Baseline System Analysis'!AD6</f>
        <v>2.5348259832855811</v>
      </c>
    </row>
    <row r="7" spans="1:30" x14ac:dyDescent="0.35">
      <c r="A7" s="88" t="s">
        <v>30</v>
      </c>
      <c r="B7" s="165"/>
      <c r="C7" s="88" t="s">
        <v>35</v>
      </c>
      <c r="D7" s="63">
        <f>'Baseline System Analysis'!D7</f>
        <v>14</v>
      </c>
      <c r="E7" s="63">
        <f>'Baseline System Analysis'!E7</f>
        <v>21</v>
      </c>
      <c r="F7" s="63">
        <f>'Baseline System Analysis'!F7</f>
        <v>23.2</v>
      </c>
      <c r="G7" s="63">
        <f>'Baseline System Analysis'!G7</f>
        <v>25.4</v>
      </c>
      <c r="H7" s="63">
        <f>'Baseline System Analysis'!H7</f>
        <v>27.599999999999998</v>
      </c>
      <c r="I7" s="63">
        <f>'Baseline System Analysis'!I7</f>
        <v>29.799999999999997</v>
      </c>
      <c r="J7" s="63">
        <f>'Baseline System Analysis'!J7</f>
        <v>32</v>
      </c>
      <c r="K7" s="63">
        <f>'Baseline System Analysis'!K7</f>
        <v>35.75</v>
      </c>
      <c r="L7" s="63">
        <f>'Baseline System Analysis'!L7</f>
        <v>39.5</v>
      </c>
      <c r="M7" s="63">
        <f>'Baseline System Analysis'!M7</f>
        <v>43.25</v>
      </c>
      <c r="N7" s="63">
        <f>'Baseline System Analysis'!N7</f>
        <v>47</v>
      </c>
      <c r="O7" s="63">
        <f>'Baseline System Analysis'!O7</f>
        <v>53.833333333333336</v>
      </c>
      <c r="P7" s="63">
        <f>'Baseline System Analysis'!P7</f>
        <v>60.666666666666671</v>
      </c>
      <c r="Q7" s="63">
        <f>'Baseline System Analysis'!Q7</f>
        <v>67.5</v>
      </c>
      <c r="R7" s="63">
        <f>'Baseline System Analysis'!R7</f>
        <v>74.333333333333329</v>
      </c>
      <c r="S7" s="63">
        <f>'Baseline System Analysis'!S7</f>
        <v>81.166666666666657</v>
      </c>
      <c r="T7" s="63">
        <f>'Baseline System Analysis'!T7</f>
        <v>88</v>
      </c>
      <c r="U7" s="63">
        <f>'Baseline System Analysis'!U7</f>
        <v>94.4</v>
      </c>
      <c r="V7" s="63">
        <f>'Baseline System Analysis'!V7</f>
        <v>100.80000000000001</v>
      </c>
      <c r="W7" s="63">
        <f>'Baseline System Analysis'!W7</f>
        <v>107.20000000000002</v>
      </c>
      <c r="X7" s="63">
        <f>'Baseline System Analysis'!X7</f>
        <v>113.60000000000002</v>
      </c>
      <c r="Y7" s="63">
        <f>'Baseline System Analysis'!Y7</f>
        <v>120</v>
      </c>
      <c r="Z7" s="63">
        <f>'Baseline System Analysis'!Z7</f>
        <v>126.6</v>
      </c>
      <c r="AA7" s="63">
        <f>'Baseline System Analysis'!AA7</f>
        <v>133.19999999999999</v>
      </c>
      <c r="AB7" s="63">
        <f>'Baseline System Analysis'!AB7</f>
        <v>139.79999999999998</v>
      </c>
      <c r="AC7" s="63">
        <f>'Baseline System Analysis'!AC7</f>
        <v>146.39999999999998</v>
      </c>
      <c r="AD7" s="63">
        <f>'Baseline System Analysis'!AD7</f>
        <v>153</v>
      </c>
    </row>
    <row r="8" spans="1:30" x14ac:dyDescent="0.35">
      <c r="A8" s="88" t="s">
        <v>39</v>
      </c>
      <c r="B8" s="165"/>
      <c r="C8" s="88" t="s">
        <v>31</v>
      </c>
      <c r="D8" s="63">
        <f>'Baseline System Analysis'!D8</f>
        <v>22.2</v>
      </c>
      <c r="E8" s="63">
        <f>'Baseline System Analysis'!E8</f>
        <v>65.8</v>
      </c>
      <c r="F8" s="63">
        <f>'Baseline System Analysis'!F8</f>
        <v>102.72</v>
      </c>
      <c r="G8" s="63">
        <f>'Baseline System Analysis'!G8</f>
        <v>139.63999999999999</v>
      </c>
      <c r="H8" s="63">
        <f>'Baseline System Analysis'!H8</f>
        <v>176.56</v>
      </c>
      <c r="I8" s="63">
        <f>'Baseline System Analysis'!I8</f>
        <v>213.48000000000002</v>
      </c>
      <c r="J8" s="63">
        <f>'Baseline System Analysis'!J8</f>
        <v>250.4</v>
      </c>
      <c r="K8" s="63">
        <f>'Baseline System Analysis'!K8</f>
        <v>348.67500000000001</v>
      </c>
      <c r="L8" s="63">
        <f>'Baseline System Analysis'!L8</f>
        <v>446.95000000000005</v>
      </c>
      <c r="M8" s="63">
        <f>'Baseline System Analysis'!M8</f>
        <v>545.22500000000002</v>
      </c>
      <c r="N8" s="63">
        <f>'Baseline System Analysis'!N8</f>
        <v>643.5</v>
      </c>
      <c r="O8" s="63">
        <f>'Baseline System Analysis'!O8</f>
        <v>904.91666666666674</v>
      </c>
      <c r="P8" s="63">
        <f>'Baseline System Analysis'!P8</f>
        <v>1166.3333333333335</v>
      </c>
      <c r="Q8" s="63">
        <f>'Baseline System Analysis'!Q8</f>
        <v>1427.7500000000002</v>
      </c>
      <c r="R8" s="63">
        <f>'Baseline System Analysis'!R8</f>
        <v>1689.166666666667</v>
      </c>
      <c r="S8" s="63">
        <f>'Baseline System Analysis'!S8</f>
        <v>1950.5833333333337</v>
      </c>
      <c r="T8" s="63">
        <f>'Baseline System Analysis'!T8</f>
        <v>2212</v>
      </c>
      <c r="U8" s="63">
        <f>'Baseline System Analysis'!U8</f>
        <v>2606.48</v>
      </c>
      <c r="V8" s="63">
        <f>'Baseline System Analysis'!V8</f>
        <v>3000.96</v>
      </c>
      <c r="W8" s="63">
        <f>'Baseline System Analysis'!W8</f>
        <v>3395.44</v>
      </c>
      <c r="X8" s="63">
        <f>'Baseline System Analysis'!X8</f>
        <v>3789.92</v>
      </c>
      <c r="Y8" s="63">
        <f>'Baseline System Analysis'!Y8</f>
        <v>4184.4000000000005</v>
      </c>
      <c r="Z8" s="63">
        <f>'Baseline System Analysis'!Z8</f>
        <v>4609.4400000000005</v>
      </c>
      <c r="AA8" s="63">
        <f>'Baseline System Analysis'!AA8</f>
        <v>5034.4800000000005</v>
      </c>
      <c r="AB8" s="63">
        <f>'Baseline System Analysis'!AB8</f>
        <v>5459.52</v>
      </c>
      <c r="AC8" s="63">
        <f>'Baseline System Analysis'!AC8</f>
        <v>5884.56</v>
      </c>
      <c r="AD8" s="63">
        <f>'Baseline System Analysis'!AD8</f>
        <v>6309.5999999999985</v>
      </c>
    </row>
    <row r="9" spans="1:30" x14ac:dyDescent="0.35">
      <c r="A9" s="88" t="s">
        <v>39</v>
      </c>
      <c r="B9" s="165"/>
      <c r="C9" s="88" t="s">
        <v>32</v>
      </c>
      <c r="D9" s="63">
        <f>'Baseline System Analysis'!D9</f>
        <v>13</v>
      </c>
      <c r="E9" s="63">
        <f>'Baseline System Analysis'!E9</f>
        <v>27</v>
      </c>
      <c r="F9" s="63">
        <f>'Baseline System Analysis'!F9</f>
        <v>34.519999999999982</v>
      </c>
      <c r="G9" s="63">
        <f>'Baseline System Analysis'!G9</f>
        <v>42.039999999999964</v>
      </c>
      <c r="H9" s="63">
        <f>'Baseline System Analysis'!H9</f>
        <v>49.559999999999945</v>
      </c>
      <c r="I9" s="63">
        <f>'Baseline System Analysis'!I9</f>
        <v>57.079999999999927</v>
      </c>
      <c r="J9" s="63">
        <f>'Baseline System Analysis'!J9</f>
        <v>64.599999999999909</v>
      </c>
      <c r="K9" s="63">
        <f>'Baseline System Analysis'!K9</f>
        <v>75.024999999999935</v>
      </c>
      <c r="L9" s="63">
        <f>'Baseline System Analysis'!L9</f>
        <v>85.44999999999996</v>
      </c>
      <c r="M9" s="63">
        <f>'Baseline System Analysis'!M9</f>
        <v>95.874999999999986</v>
      </c>
      <c r="N9" s="63">
        <f>'Baseline System Analysis'!N9</f>
        <v>106.3</v>
      </c>
      <c r="O9" s="63">
        <f>'Baseline System Analysis'!O9</f>
        <v>120.25</v>
      </c>
      <c r="P9" s="63">
        <f>'Baseline System Analysis'!P9</f>
        <v>134.19999999999999</v>
      </c>
      <c r="Q9" s="63">
        <f>'Baseline System Analysis'!Q9</f>
        <v>148.14999999999998</v>
      </c>
      <c r="R9" s="63">
        <f>'Baseline System Analysis'!R9</f>
        <v>162.09999999999997</v>
      </c>
      <c r="S9" s="63">
        <f>'Baseline System Analysis'!S9</f>
        <v>176.04999999999995</v>
      </c>
      <c r="T9" s="63">
        <f>'Baseline System Analysis'!T9</f>
        <v>190</v>
      </c>
      <c r="U9" s="63">
        <f>'Baseline System Analysis'!U9</f>
        <v>201.2</v>
      </c>
      <c r="V9" s="63">
        <f>'Baseline System Analysis'!V9</f>
        <v>212.39999999999998</v>
      </c>
      <c r="W9" s="63">
        <f>'Baseline System Analysis'!W9</f>
        <v>223.59999999999997</v>
      </c>
      <c r="X9" s="63">
        <f>'Baseline System Analysis'!X9</f>
        <v>234.79999999999995</v>
      </c>
      <c r="Y9" s="63">
        <f>'Baseline System Analysis'!Y9</f>
        <v>246</v>
      </c>
      <c r="Z9" s="63">
        <f>'Baseline System Analysis'!Z9</f>
        <v>254.48000000000002</v>
      </c>
      <c r="AA9" s="63">
        <f>'Baseline System Analysis'!AA9</f>
        <v>262.96000000000004</v>
      </c>
      <c r="AB9" s="63">
        <f>'Baseline System Analysis'!AB9</f>
        <v>271.44000000000005</v>
      </c>
      <c r="AC9" s="63">
        <f>'Baseline System Analysis'!AC9</f>
        <v>279.92000000000007</v>
      </c>
      <c r="AD9" s="63">
        <f>'Baseline System Analysis'!AD9</f>
        <v>288.40000000000009</v>
      </c>
    </row>
    <row r="10" spans="1:30" x14ac:dyDescent="0.35">
      <c r="A10" s="88" t="s">
        <v>39</v>
      </c>
      <c r="B10" s="165"/>
      <c r="C10" s="88" t="s">
        <v>33</v>
      </c>
      <c r="D10" s="63">
        <f>'Baseline System Analysis'!D10</f>
        <v>4.7253529883901121E-2</v>
      </c>
      <c r="E10" s="63">
        <f>'Baseline System Analysis'!E10</f>
        <v>0.28011551949195379</v>
      </c>
      <c r="F10" s="63">
        <f>'Baseline System Analysis'!F10</f>
        <v>0.59718244793816533</v>
      </c>
      <c r="G10" s="63">
        <f>'Baseline System Analysis'!G10</f>
        <v>0.91424937638437687</v>
      </c>
      <c r="H10" s="63">
        <f>'Baseline System Analysis'!H10</f>
        <v>1.2313163048305884</v>
      </c>
      <c r="I10" s="63">
        <f>'Baseline System Analysis'!I10</f>
        <v>1.5483832332767999</v>
      </c>
      <c r="J10" s="63">
        <f>'Baseline System Analysis'!J10</f>
        <v>1.8654501617230115</v>
      </c>
      <c r="K10" s="63">
        <f>'Baseline System Analysis'!K10</f>
        <v>3.796086780774603</v>
      </c>
      <c r="L10" s="63">
        <f>'Baseline System Analysis'!L10</f>
        <v>5.726723399826195</v>
      </c>
      <c r="M10" s="63">
        <f>'Baseline System Analysis'!M10</f>
        <v>7.6573600188777871</v>
      </c>
      <c r="N10" s="63">
        <f>'Baseline System Analysis'!N10</f>
        <v>9.5879966379293773</v>
      </c>
      <c r="O10" s="63">
        <f>'Baseline System Analysis'!O10</f>
        <v>22.507331657050738</v>
      </c>
      <c r="P10" s="63">
        <f>'Baseline System Analysis'!P10</f>
        <v>35.426666676172097</v>
      </c>
      <c r="Q10" s="63">
        <f>'Baseline System Analysis'!Q10</f>
        <v>48.346001695293459</v>
      </c>
      <c r="R10" s="63">
        <f>'Baseline System Analysis'!R10</f>
        <v>61.265336714414822</v>
      </c>
      <c r="S10" s="63">
        <f>'Baseline System Analysis'!S10</f>
        <v>74.184671733536177</v>
      </c>
      <c r="T10" s="63">
        <f>'Baseline System Analysis'!T10</f>
        <v>87.10400675265754</v>
      </c>
      <c r="U10" s="63">
        <f>'Baseline System Analysis'!U10</f>
        <v>116.88846005819971</v>
      </c>
      <c r="V10" s="63">
        <f>'Baseline System Analysis'!V10</f>
        <v>146.67291336374188</v>
      </c>
      <c r="W10" s="63">
        <f>'Baseline System Analysis'!W10</f>
        <v>176.45736666928406</v>
      </c>
      <c r="X10" s="63">
        <f>'Baseline System Analysis'!X10</f>
        <v>206.24181997482623</v>
      </c>
      <c r="Y10" s="63">
        <f>'Baseline System Analysis'!Y10</f>
        <v>236.02627328036843</v>
      </c>
      <c r="Z10" s="63">
        <f>'Baseline System Analysis'!Z10</f>
        <v>292.23370851605404</v>
      </c>
      <c r="AA10" s="63">
        <f>'Baseline System Analysis'!AA10</f>
        <v>348.44114375173962</v>
      </c>
      <c r="AB10" s="63">
        <f>'Baseline System Analysis'!AB10</f>
        <v>404.6485789874252</v>
      </c>
      <c r="AC10" s="63">
        <f>'Baseline System Analysis'!AC10</f>
        <v>460.85601422311078</v>
      </c>
      <c r="AD10" s="63">
        <f>'Baseline System Analysis'!AD10</f>
        <v>517.06344945879641</v>
      </c>
    </row>
    <row r="11" spans="1:30" x14ac:dyDescent="0.35">
      <c r="A11" s="88" t="s">
        <v>39</v>
      </c>
      <c r="B11" s="165"/>
      <c r="C11" s="88" t="s">
        <v>34</v>
      </c>
      <c r="D11" s="63">
        <f>'Baseline System Analysis'!D11</f>
        <v>2.3626764941950561E-2</v>
      </c>
      <c r="E11" s="63">
        <f>'Baseline System Analysis'!E11</f>
        <v>7.0028879872988448E-2</v>
      </c>
      <c r="F11" s="63">
        <f>'Baseline System Analysis'!F11</f>
        <v>0.10932167994761965</v>
      </c>
      <c r="G11" s="63">
        <f>'Baseline System Analysis'!G11</f>
        <v>0.14861448002225086</v>
      </c>
      <c r="H11" s="63">
        <f>'Baseline System Analysis'!H11</f>
        <v>0.18790728009688207</v>
      </c>
      <c r="I11" s="63">
        <f>'Baseline System Analysis'!I11</f>
        <v>0.22720008017151327</v>
      </c>
      <c r="J11" s="63">
        <f>'Baseline System Analysis'!J11</f>
        <v>0.26649288024614448</v>
      </c>
      <c r="K11" s="63">
        <f>'Baseline System Analysis'!K11</f>
        <v>0.37108388586191865</v>
      </c>
      <c r="L11" s="63">
        <f>'Baseline System Analysis'!L11</f>
        <v>0.47567489147769282</v>
      </c>
      <c r="M11" s="63">
        <f>'Baseline System Analysis'!M11</f>
        <v>0.58026589709346699</v>
      </c>
      <c r="N11" s="63">
        <f>'Baseline System Analysis'!N11</f>
        <v>0.68485690270924116</v>
      </c>
      <c r="O11" s="63">
        <f>'Baseline System Analysis'!O11</f>
        <v>0.96307447636877097</v>
      </c>
      <c r="P11" s="63">
        <f>'Baseline System Analysis'!P11</f>
        <v>1.2412920500283007</v>
      </c>
      <c r="Q11" s="63">
        <f>'Baseline System Analysis'!Q11</f>
        <v>1.5195096236878305</v>
      </c>
      <c r="R11" s="63">
        <f>'Baseline System Analysis'!R11</f>
        <v>1.7977271973473603</v>
      </c>
      <c r="S11" s="63">
        <f>'Baseline System Analysis'!S11</f>
        <v>2.0759447710068901</v>
      </c>
      <c r="T11" s="63">
        <f>'Baseline System Analysis'!T11</f>
        <v>2.3541623446664199</v>
      </c>
      <c r="U11" s="63">
        <f>'Baseline System Analysis'!U11</f>
        <v>2.7739950579232056</v>
      </c>
      <c r="V11" s="63">
        <f>'Baseline System Analysis'!V11</f>
        <v>3.1938277711799912</v>
      </c>
      <c r="W11" s="63">
        <f>'Baseline System Analysis'!W11</f>
        <v>3.6136604844367768</v>
      </c>
      <c r="X11" s="63">
        <f>'Baseline System Analysis'!X11</f>
        <v>4.0334931976935628</v>
      </c>
      <c r="Y11" s="63">
        <f>'Baseline System Analysis'!Y11</f>
        <v>4.4533259109503485</v>
      </c>
      <c r="Z11" s="63">
        <f>'Baseline System Analysis'!Z11</f>
        <v>4.9056826754065028</v>
      </c>
      <c r="AA11" s="63">
        <f>'Baseline System Analysis'!AA11</f>
        <v>5.3580394398626572</v>
      </c>
      <c r="AB11" s="63">
        <f>'Baseline System Analysis'!AB11</f>
        <v>5.8103962043188115</v>
      </c>
      <c r="AC11" s="63">
        <f>'Baseline System Analysis'!AC11</f>
        <v>6.2627529687749659</v>
      </c>
      <c r="AD11" s="63">
        <f>'Baseline System Analysis'!AD11</f>
        <v>6.715109733231122</v>
      </c>
    </row>
    <row r="12" spans="1:30" x14ac:dyDescent="0.35">
      <c r="A12" s="88" t="s">
        <v>39</v>
      </c>
      <c r="B12" s="165"/>
      <c r="C12" s="88" t="s">
        <v>35</v>
      </c>
      <c r="D12" s="63">
        <f>'Baseline System Analysis'!D12</f>
        <v>2</v>
      </c>
      <c r="E12" s="63">
        <f>'Baseline System Analysis'!E12</f>
        <v>4</v>
      </c>
      <c r="F12" s="63">
        <f>'Baseline System Analysis'!F12</f>
        <v>4.5999999999999996</v>
      </c>
      <c r="G12" s="63">
        <f>'Baseline System Analysis'!G12</f>
        <v>5.1999999999999993</v>
      </c>
      <c r="H12" s="63">
        <f>'Baseline System Analysis'!H12</f>
        <v>5.7999999999999989</v>
      </c>
      <c r="I12" s="63">
        <f>'Baseline System Analysis'!I12</f>
        <v>6.3999999999999986</v>
      </c>
      <c r="J12" s="63">
        <f>'Baseline System Analysis'!J12</f>
        <v>7</v>
      </c>
      <c r="K12" s="63">
        <f>'Baseline System Analysis'!K12</f>
        <v>8.75</v>
      </c>
      <c r="L12" s="63">
        <f>'Baseline System Analysis'!L12</f>
        <v>10.5</v>
      </c>
      <c r="M12" s="63">
        <f>'Baseline System Analysis'!M12</f>
        <v>12.25</v>
      </c>
      <c r="N12" s="63">
        <f>'Baseline System Analysis'!N12</f>
        <v>14</v>
      </c>
      <c r="O12" s="63">
        <f>'Baseline System Analysis'!O12</f>
        <v>17.833333333333332</v>
      </c>
      <c r="P12" s="63">
        <f>'Baseline System Analysis'!P12</f>
        <v>21.666666666666664</v>
      </c>
      <c r="Q12" s="63">
        <f>'Baseline System Analysis'!Q12</f>
        <v>25.499999999999996</v>
      </c>
      <c r="R12" s="63">
        <f>'Baseline System Analysis'!R12</f>
        <v>29.333333333333329</v>
      </c>
      <c r="S12" s="63">
        <f>'Baseline System Analysis'!S12</f>
        <v>33.166666666666664</v>
      </c>
      <c r="T12" s="63">
        <f>'Baseline System Analysis'!T12</f>
        <v>37</v>
      </c>
      <c r="U12" s="63">
        <f>'Baseline System Analysis'!U12</f>
        <v>40.200000000000003</v>
      </c>
      <c r="V12" s="63">
        <f>'Baseline System Analysis'!V12</f>
        <v>43.400000000000006</v>
      </c>
      <c r="W12" s="63">
        <f>'Baseline System Analysis'!W12</f>
        <v>46.600000000000009</v>
      </c>
      <c r="X12" s="63">
        <f>'Baseline System Analysis'!X12</f>
        <v>49.800000000000011</v>
      </c>
      <c r="Y12" s="63">
        <f>'Baseline System Analysis'!Y12</f>
        <v>53</v>
      </c>
      <c r="Z12" s="63">
        <f>'Baseline System Analysis'!Z12</f>
        <v>57.8</v>
      </c>
      <c r="AA12" s="63">
        <f>'Baseline System Analysis'!AA12</f>
        <v>62.599999999999994</v>
      </c>
      <c r="AB12" s="63">
        <f>'Baseline System Analysis'!AB12</f>
        <v>67.399999999999991</v>
      </c>
      <c r="AC12" s="63">
        <f>'Baseline System Analysis'!AC12</f>
        <v>72.199999999999989</v>
      </c>
      <c r="AD12" s="63">
        <f>'Baseline System Analysis'!AD12</f>
        <v>77</v>
      </c>
    </row>
    <row r="13" spans="1:30" s="62" customFormat="1" x14ac:dyDescent="0.35">
      <c r="A13" s="88" t="s">
        <v>30</v>
      </c>
      <c r="B13" s="165"/>
      <c r="C13" s="88" t="s">
        <v>121</v>
      </c>
      <c r="D13" s="63">
        <f>'Baseline System Analysis'!D13</f>
        <v>5445.825674993449</v>
      </c>
      <c r="E13" s="63">
        <f>'Baseline System Analysis'!E13</f>
        <v>7241.293555071361</v>
      </c>
      <c r="F13" s="63">
        <f>'Baseline System Analysis'!F13</f>
        <v>9036.7614351492721</v>
      </c>
      <c r="G13" s="63">
        <f>'Baseline System Analysis'!G13</f>
        <v>10832.229315227183</v>
      </c>
      <c r="H13" s="63">
        <f>'Baseline System Analysis'!H13</f>
        <v>12627.697195305094</v>
      </c>
      <c r="I13" s="63">
        <f>'Baseline System Analysis'!I13</f>
        <v>14423.165075383005</v>
      </c>
      <c r="J13" s="63">
        <f>'Baseline System Analysis'!J13</f>
        <v>16218.632955460916</v>
      </c>
      <c r="K13" s="63">
        <f>'Baseline System Analysis'!K13</f>
        <v>18014.100835538829</v>
      </c>
      <c r="L13" s="63">
        <f>'Baseline System Analysis'!L13</f>
        <v>19909.568715616701</v>
      </c>
      <c r="M13" s="63">
        <f>'Baseline System Analysis'!M13</f>
        <v>21605.036595694652</v>
      </c>
      <c r="N13" s="63">
        <f>'Baseline System Analysis'!N13</f>
        <v>23400.504475772563</v>
      </c>
      <c r="O13" s="63">
        <f>'Baseline System Analysis'!O13</f>
        <v>25195.972355850474</v>
      </c>
      <c r="P13" s="63">
        <f>'Baseline System Analysis'!P13</f>
        <v>26991.440235928385</v>
      </c>
      <c r="Q13" s="63">
        <f>'Baseline System Analysis'!Q13</f>
        <v>28786.908116006296</v>
      </c>
      <c r="R13" s="63">
        <f>'Baseline System Analysis'!R13</f>
        <v>30582.375996084207</v>
      </c>
      <c r="S13" s="63">
        <f>'Baseline System Analysis'!S13</f>
        <v>32377.843876162118</v>
      </c>
      <c r="T13" s="63">
        <f>'Baseline System Analysis'!T13</f>
        <v>34173.311756240029</v>
      </c>
      <c r="U13" s="63">
        <f>'Baseline System Analysis'!U13</f>
        <v>35968.779636317944</v>
      </c>
      <c r="V13" s="63">
        <f>'Baseline System Analysis'!V13</f>
        <v>37764.247516395859</v>
      </c>
      <c r="W13" s="63">
        <f>'Baseline System Analysis'!W13</f>
        <v>39559.715396473774</v>
      </c>
      <c r="X13" s="63">
        <f>'Baseline System Analysis'!X13</f>
        <v>41355.183276551688</v>
      </c>
      <c r="Y13" s="63">
        <f>'Baseline System Analysis'!Y13</f>
        <v>43150.651156629603</v>
      </c>
      <c r="Z13" s="63">
        <f>'Baseline System Analysis'!Z13</f>
        <v>44946.119036707518</v>
      </c>
      <c r="AA13" s="63">
        <f>'Baseline System Analysis'!AA13</f>
        <v>46741.586916785433</v>
      </c>
      <c r="AB13" s="63">
        <f>'Baseline System Analysis'!AB13</f>
        <v>48537.054796863347</v>
      </c>
      <c r="AC13" s="63">
        <f>'Baseline System Analysis'!AC13</f>
        <v>50332.522676941262</v>
      </c>
      <c r="AD13" s="63">
        <f>'Baseline System Analysis'!AD13</f>
        <v>52127.990557019155</v>
      </c>
    </row>
    <row r="14" spans="1:30" s="62" customFormat="1" x14ac:dyDescent="0.35">
      <c r="A14" s="88" t="s">
        <v>30</v>
      </c>
      <c r="B14" s="165"/>
      <c r="C14" s="88" t="s">
        <v>122</v>
      </c>
      <c r="D14" s="63">
        <f>'Baseline System Analysis'!D14</f>
        <v>192864.66620394157</v>
      </c>
      <c r="E14" s="63">
        <f>'Baseline System Analysis'!E14</f>
        <v>195239.2419650236</v>
      </c>
      <c r="F14" s="63">
        <f>'Baseline System Analysis'!F14</f>
        <v>196366.76544203321</v>
      </c>
      <c r="G14" s="63">
        <f>'Baseline System Analysis'!G14</f>
        <v>197525.37556068008</v>
      </c>
      <c r="H14" s="63">
        <f>'Baseline System Analysis'!H14</f>
        <v>198743.92387830256</v>
      </c>
      <c r="I14" s="63">
        <f>'Baseline System Analysis'!I14</f>
        <v>200140.93841202525</v>
      </c>
      <c r="J14" s="63">
        <f>'Baseline System Analysis'!J14</f>
        <v>201537.7102617296</v>
      </c>
      <c r="K14" s="63">
        <f>'Baseline System Analysis'!K14</f>
        <v>203264.35975945235</v>
      </c>
      <c r="L14" s="63">
        <f>'Baseline System Analysis'!L14</f>
        <v>205020.85839510098</v>
      </c>
      <c r="M14" s="63">
        <f>'Baseline System Analysis'!M14</f>
        <v>206857.30160898238</v>
      </c>
      <c r="N14" s="63">
        <f>'Baseline System Analysis'!N14</f>
        <v>208717.85370976047</v>
      </c>
      <c r="O14" s="63">
        <f>'Baseline System Analysis'!O14</f>
        <v>210603.18149647751</v>
      </c>
      <c r="P14" s="63">
        <f>'Baseline System Analysis'!P14</f>
        <v>212516.40688715709</v>
      </c>
      <c r="Q14" s="63">
        <f>'Baseline System Analysis'!Q14</f>
        <v>214384.67967973242</v>
      </c>
      <c r="R14" s="63">
        <f>'Baseline System Analysis'!R14</f>
        <v>216269.29220061237</v>
      </c>
      <c r="S14" s="63">
        <f>'Baseline System Analysis'!S14</f>
        <v>218166.20327483438</v>
      </c>
      <c r="T14" s="63">
        <f>'Baseline System Analysis'!T14</f>
        <v>220084.66189887849</v>
      </c>
      <c r="U14" s="63">
        <f>'Baseline System Analysis'!U14</f>
        <v>221841.85132365467</v>
      </c>
      <c r="V14" s="63">
        <f>'Baseline System Analysis'!V14</f>
        <v>223594.26978343775</v>
      </c>
      <c r="W14" s="63">
        <f>'Baseline System Analysis'!W14</f>
        <v>225336.52091265519</v>
      </c>
      <c r="X14" s="63">
        <f>'Baseline System Analysis'!X14</f>
        <v>227080.15135791432</v>
      </c>
      <c r="Y14" s="63">
        <f>'Baseline System Analysis'!Y14</f>
        <v>228568.34604359462</v>
      </c>
      <c r="Z14" s="63">
        <f>'Baseline System Analysis'!Z14</f>
        <v>230020.42486390745</v>
      </c>
      <c r="AA14" s="63">
        <f>'Baseline System Analysis'!AA14</f>
        <v>231425.48689332735</v>
      </c>
      <c r="AB14" s="63">
        <f>'Baseline System Analysis'!AB14</f>
        <v>232792.66409110834</v>
      </c>
      <c r="AC14" s="63">
        <f>'Baseline System Analysis'!AC14</f>
        <v>233827.47214176381</v>
      </c>
      <c r="AD14" s="63">
        <f>'Baseline System Analysis'!AD14</f>
        <v>234770.96970999555</v>
      </c>
    </row>
    <row r="15" spans="1:30" s="62" customFormat="1" x14ac:dyDescent="0.35">
      <c r="A15" s="88" t="s">
        <v>30</v>
      </c>
      <c r="B15" s="165"/>
      <c r="C15" s="88" t="s">
        <v>123</v>
      </c>
      <c r="D15" s="63">
        <f>'Baseline System Analysis'!D15</f>
        <v>57814.1637958055</v>
      </c>
      <c r="E15" s="63">
        <f>'Baseline System Analysis'!E15</f>
        <v>62191.746894023359</v>
      </c>
      <c r="F15" s="63">
        <f>'Baseline System Analysis'!F15</f>
        <v>64361.105239567863</v>
      </c>
      <c r="G15" s="63">
        <f>'Baseline System Analysis'!G15</f>
        <v>66628.501001105484</v>
      </c>
      <c r="H15" s="63">
        <f>'Baseline System Analysis'!H15</f>
        <v>69068.22672153436</v>
      </c>
      <c r="I15" s="63">
        <f>'Baseline System Analysis'!I15</f>
        <v>71918.961016641551</v>
      </c>
      <c r="J15" s="63">
        <f>'Baseline System Analysis'!J15</f>
        <v>74820.679205256296</v>
      </c>
      <c r="K15" s="63">
        <f>'Baseline System Analysis'!K15</f>
        <v>78496.839307291273</v>
      </c>
      <c r="L15" s="63">
        <f>'Baseline System Analysis'!L15</f>
        <v>82309.216023114539</v>
      </c>
      <c r="M15" s="63">
        <f>'Baseline System Analysis'!M15</f>
        <v>86348.347303552597</v>
      </c>
      <c r="N15" s="63">
        <f>'Baseline System Analysis'!N15</f>
        <v>90544.748479623348</v>
      </c>
      <c r="O15" s="63">
        <f>'Baseline System Analysis'!O15</f>
        <v>94913.207014780099</v>
      </c>
      <c r="P15" s="63">
        <f>'Baseline System Analysis'!P15</f>
        <v>99465.734517678065</v>
      </c>
      <c r="Q15" s="63">
        <f>'Baseline System Analysis'!Q15</f>
        <v>104037.4077761966</v>
      </c>
      <c r="R15" s="63">
        <f>'Baseline System Analysis'!R15</f>
        <v>108760.58254466523</v>
      </c>
      <c r="S15" s="63">
        <f>'Baseline System Analysis'!S15</f>
        <v>113603.99735013851</v>
      </c>
      <c r="T15" s="63">
        <f>'Baseline System Analysis'!T15</f>
        <v>118575.88302083251</v>
      </c>
      <c r="U15" s="63">
        <f>'Baseline System Analysis'!U15</f>
        <v>123222.71504670107</v>
      </c>
      <c r="V15" s="63">
        <f>'Baseline System Analysis'!V15</f>
        <v>127939.138389695</v>
      </c>
      <c r="W15" s="63">
        <f>'Baseline System Analysis'!W15</f>
        <v>132690.69490386776</v>
      </c>
      <c r="X15" s="63">
        <f>'Baseline System Analysis'!X15</f>
        <v>137509.22210787912</v>
      </c>
      <c r="Y15" s="63">
        <f>'Baseline System Analysis'!Y15</f>
        <v>141696.54673158468</v>
      </c>
      <c r="Z15" s="63">
        <f>'Baseline System Analysis'!Z15</f>
        <v>145839.42464600256</v>
      </c>
      <c r="AA15" s="63">
        <f>'Baseline System Analysis'!AA15</f>
        <v>149897.77416606247</v>
      </c>
      <c r="AB15" s="63">
        <f>'Baseline System Analysis'!AB15</f>
        <v>153895.16437342393</v>
      </c>
      <c r="AC15" s="63">
        <f>'Baseline System Analysis'!AC15</f>
        <v>156987.02044081831</v>
      </c>
      <c r="AD15" s="63">
        <f>'Baseline System Analysis'!AD15</f>
        <v>159822.5063154228</v>
      </c>
    </row>
    <row r="16" spans="1:30" s="62" customFormat="1" x14ac:dyDescent="0.35">
      <c r="A16" s="88"/>
      <c r="B16" s="88"/>
      <c r="C16" s="88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1:30" ht="20" thickBot="1" x14ac:dyDescent="0.5">
      <c r="A17" s="117"/>
      <c r="B17" s="128"/>
      <c r="C17" s="117" t="s">
        <v>118</v>
      </c>
      <c r="D17" s="117">
        <v>2022</v>
      </c>
      <c r="E17" s="117">
        <v>2023</v>
      </c>
      <c r="F17" s="117">
        <v>2024</v>
      </c>
      <c r="G17" s="117">
        <v>2025</v>
      </c>
      <c r="H17" s="117">
        <v>2026</v>
      </c>
      <c r="I17" s="117">
        <v>2027</v>
      </c>
      <c r="J17" s="117">
        <v>2028</v>
      </c>
      <c r="K17" s="117">
        <v>2029</v>
      </c>
      <c r="L17" s="117">
        <v>2030</v>
      </c>
      <c r="M17" s="117">
        <v>2031</v>
      </c>
      <c r="N17" s="117">
        <v>2032</v>
      </c>
      <c r="O17" s="117">
        <v>2033</v>
      </c>
      <c r="P17" s="117">
        <v>2034</v>
      </c>
      <c r="Q17" s="117">
        <v>2035</v>
      </c>
      <c r="R17" s="117">
        <v>2036</v>
      </c>
      <c r="S17" s="117">
        <v>2037</v>
      </c>
      <c r="T17" s="117">
        <v>2038</v>
      </c>
      <c r="U17" s="117">
        <v>2039</v>
      </c>
      <c r="V17" s="117">
        <v>2040</v>
      </c>
      <c r="W17" s="117">
        <v>2041</v>
      </c>
      <c r="X17" s="117">
        <v>2042</v>
      </c>
      <c r="Y17" s="117">
        <v>2043</v>
      </c>
      <c r="Z17" s="117">
        <v>2044</v>
      </c>
      <c r="AA17" s="117">
        <v>2045</v>
      </c>
      <c r="AB17" s="117">
        <v>2046</v>
      </c>
      <c r="AC17" s="117">
        <v>2047</v>
      </c>
      <c r="AD17" s="117">
        <v>2048</v>
      </c>
    </row>
    <row r="18" spans="1:30" ht="49.75" customHeight="1" thickTop="1" x14ac:dyDescent="0.35">
      <c r="A18" s="88"/>
      <c r="B18" s="168" t="s">
        <v>12</v>
      </c>
      <c r="C18" s="88" t="s">
        <v>120</v>
      </c>
      <c r="D18" s="63">
        <v>49328.200000000405</v>
      </c>
      <c r="E18" s="5">
        <f>D18+(($AD18-$D$18)/(COLUMN($AD18)-COLUMN($D$18)))</f>
        <v>49736.291346154219</v>
      </c>
      <c r="F18" s="5">
        <f>E18+(($AD18-$D$18)/(COLUMN($AD18)-COLUMN($D$18)))</f>
        <v>50144.382692308034</v>
      </c>
      <c r="G18" s="5">
        <f t="shared" ref="G18:AC18" si="0">F18+(($AD18-$D$18)/(COLUMN($AD18)-COLUMN($D$18)))</f>
        <v>50552.474038461849</v>
      </c>
      <c r="H18" s="5">
        <f t="shared" si="0"/>
        <v>50960.565384615664</v>
      </c>
      <c r="I18" s="5">
        <f t="shared" si="0"/>
        <v>51368.656730769479</v>
      </c>
      <c r="J18" s="5">
        <f t="shared" si="0"/>
        <v>51776.748076923293</v>
      </c>
      <c r="K18" s="5">
        <f t="shared" si="0"/>
        <v>52184.839423077108</v>
      </c>
      <c r="L18" s="5">
        <f t="shared" si="0"/>
        <v>52592.930769230923</v>
      </c>
      <c r="M18" s="5">
        <f t="shared" si="0"/>
        <v>53001.022115384738</v>
      </c>
      <c r="N18" s="5">
        <f t="shared" si="0"/>
        <v>53409.113461538553</v>
      </c>
      <c r="O18" s="5">
        <f t="shared" si="0"/>
        <v>53817.204807692367</v>
      </c>
      <c r="P18" s="5">
        <f t="shared" si="0"/>
        <v>54225.296153846182</v>
      </c>
      <c r="Q18" s="5">
        <f t="shared" si="0"/>
        <v>54633.387499999997</v>
      </c>
      <c r="R18" s="5">
        <f t="shared" si="0"/>
        <v>55041.478846153812</v>
      </c>
      <c r="S18" s="5">
        <f t="shared" si="0"/>
        <v>55449.570192307627</v>
      </c>
      <c r="T18" s="5">
        <f t="shared" si="0"/>
        <v>55857.661538461442</v>
      </c>
      <c r="U18" s="5">
        <f t="shared" si="0"/>
        <v>56265.752884615256</v>
      </c>
      <c r="V18" s="5">
        <f t="shared" si="0"/>
        <v>56673.844230769071</v>
      </c>
      <c r="W18" s="5">
        <f t="shared" si="0"/>
        <v>57081.935576922886</v>
      </c>
      <c r="X18" s="5">
        <f t="shared" si="0"/>
        <v>57490.026923076701</v>
      </c>
      <c r="Y18" s="5">
        <f t="shared" si="0"/>
        <v>57898.118269230516</v>
      </c>
      <c r="Z18" s="5">
        <f t="shared" si="0"/>
        <v>58306.20961538433</v>
      </c>
      <c r="AA18" s="5">
        <f t="shared" si="0"/>
        <v>58714.300961538145</v>
      </c>
      <c r="AB18" s="5">
        <f t="shared" si="0"/>
        <v>59122.39230769196</v>
      </c>
      <c r="AC18" s="5">
        <f t="shared" si="0"/>
        <v>59530.483653845775</v>
      </c>
      <c r="AD18" s="63">
        <v>59938.574999999575</v>
      </c>
    </row>
    <row r="19" spans="1:30" x14ac:dyDescent="0.35">
      <c r="A19" s="88" t="s">
        <v>30</v>
      </c>
      <c r="B19" s="169"/>
      <c r="C19" s="88" t="s">
        <v>31</v>
      </c>
      <c r="D19" s="63">
        <v>5.7999999999999829</v>
      </c>
      <c r="E19" s="63">
        <f>D19+(($J19-$D19)/(COLUMN($J19)-COLUMN($D19)))</f>
        <v>14.48333333333332</v>
      </c>
      <c r="F19" s="63">
        <f t="shared" ref="F19:I19" si="1">E19+(($J19-$D19)/(COLUMN($J19)-COLUMN($D19)))</f>
        <v>23.166666666666657</v>
      </c>
      <c r="G19" s="63">
        <f t="shared" si="1"/>
        <v>31.849999999999994</v>
      </c>
      <c r="H19" s="63">
        <f t="shared" si="1"/>
        <v>40.533333333333331</v>
      </c>
      <c r="I19" s="63">
        <f t="shared" si="1"/>
        <v>49.216666666666669</v>
      </c>
      <c r="J19" s="63">
        <v>57.900000000000006</v>
      </c>
      <c r="K19" s="63">
        <f>J19+(($O19-$J19)/(COLUMN($O19)-COLUMN($J19)))</f>
        <v>84.699999999999989</v>
      </c>
      <c r="L19" s="63">
        <f t="shared" ref="L19:N19" si="2">K19+(($O19-$J19)/(COLUMN($O19)-COLUMN($J19)))</f>
        <v>111.49999999999997</v>
      </c>
      <c r="M19" s="63">
        <f t="shared" si="2"/>
        <v>138.29999999999995</v>
      </c>
      <c r="N19" s="63">
        <f t="shared" si="2"/>
        <v>165.09999999999994</v>
      </c>
      <c r="O19" s="63">
        <v>191.89999999999995</v>
      </c>
      <c r="P19" s="63">
        <f>O19+(($T19-$O19)/(COLUMN($T19)-COLUMN($O19)))</f>
        <v>275.55999999999995</v>
      </c>
      <c r="Q19" s="63">
        <f t="shared" ref="Q19:S19" si="3">P19+(($T19-$O19)/(COLUMN($T19)-COLUMN($O19)))</f>
        <v>359.21999999999997</v>
      </c>
      <c r="R19" s="63">
        <f t="shared" si="3"/>
        <v>442.88</v>
      </c>
      <c r="S19" s="63">
        <f t="shared" si="3"/>
        <v>526.54</v>
      </c>
      <c r="T19" s="63">
        <v>610.20000000000005</v>
      </c>
      <c r="U19" s="63">
        <f>T19+(($Y19-$T19)/(COLUMN($Y19)-COLUMN($T19)))</f>
        <v>771.40000000000009</v>
      </c>
      <c r="V19" s="63">
        <f t="shared" ref="V19:X19" si="4">U19+(($Y19-$T19)/(COLUMN($Y19)-COLUMN($T19)))</f>
        <v>932.60000000000014</v>
      </c>
      <c r="W19" s="63">
        <f t="shared" si="4"/>
        <v>1093.8000000000002</v>
      </c>
      <c r="X19" s="63">
        <f t="shared" si="4"/>
        <v>1255.0000000000002</v>
      </c>
      <c r="Y19" s="63">
        <v>1416.2000000000005</v>
      </c>
      <c r="Z19" s="63">
        <f>Y19+(($AD19-$Y19)/(COLUMN($AD19)-COLUMN($Y19)))</f>
        <v>1633.0200000000004</v>
      </c>
      <c r="AA19" s="63">
        <f t="shared" ref="AA19:AC19" si="5">Z19+(($AD19-$Y19)/(COLUMN($AD19)-COLUMN($Y19)))</f>
        <v>1849.8400000000004</v>
      </c>
      <c r="AB19" s="63">
        <f t="shared" si="5"/>
        <v>2066.6600000000003</v>
      </c>
      <c r="AC19" s="63">
        <f t="shared" si="5"/>
        <v>2283.48</v>
      </c>
      <c r="AD19" s="63">
        <v>2500.2999999999997</v>
      </c>
    </row>
    <row r="20" spans="1:30" x14ac:dyDescent="0.35">
      <c r="A20" s="88" t="s">
        <v>30</v>
      </c>
      <c r="B20" s="169"/>
      <c r="C20" s="88" t="s">
        <v>32</v>
      </c>
      <c r="D20" s="63">
        <v>3</v>
      </c>
      <c r="E20" s="63">
        <f t="shared" ref="E20:I20" si="6">D20+(($J20-$D20)/(COLUMN($J20)-COLUMN($D20)))</f>
        <v>4.916666666666667</v>
      </c>
      <c r="F20" s="63">
        <f t="shared" si="6"/>
        <v>6.8333333333333339</v>
      </c>
      <c r="G20" s="63">
        <f t="shared" si="6"/>
        <v>8.75</v>
      </c>
      <c r="H20" s="63">
        <f t="shared" si="6"/>
        <v>10.666666666666666</v>
      </c>
      <c r="I20" s="63">
        <f t="shared" si="6"/>
        <v>12.583333333333332</v>
      </c>
      <c r="J20" s="63">
        <v>14.5</v>
      </c>
      <c r="K20" s="63">
        <f t="shared" ref="K20:N20" si="7">J20+(($O20-$J20)/(COLUMN($O20)-COLUMN($J20)))</f>
        <v>17.139999999999997</v>
      </c>
      <c r="L20" s="63">
        <f t="shared" si="7"/>
        <v>19.779999999999994</v>
      </c>
      <c r="M20" s="63">
        <f t="shared" si="7"/>
        <v>22.419999999999991</v>
      </c>
      <c r="N20" s="63">
        <f t="shared" si="7"/>
        <v>25.059999999999988</v>
      </c>
      <c r="O20" s="63">
        <v>27.699999999999989</v>
      </c>
      <c r="P20" s="63">
        <f t="shared" ref="P20:S20" si="8">O20+(($T20-$O20)/(COLUMN($T20)-COLUMN($O20)))</f>
        <v>29.779999999999994</v>
      </c>
      <c r="Q20" s="63">
        <f t="shared" si="8"/>
        <v>31.86</v>
      </c>
      <c r="R20" s="63">
        <f t="shared" si="8"/>
        <v>33.940000000000005</v>
      </c>
      <c r="S20" s="63">
        <f t="shared" si="8"/>
        <v>36.02000000000001</v>
      </c>
      <c r="T20" s="63">
        <v>38.100000000000023</v>
      </c>
      <c r="U20" s="63">
        <f t="shared" ref="U20:X20" si="9">T20+(($Y20-$T20)/(COLUMN($Y20)-COLUMN($T20)))</f>
        <v>40.500000000000021</v>
      </c>
      <c r="V20" s="63">
        <f t="shared" si="9"/>
        <v>42.90000000000002</v>
      </c>
      <c r="W20" s="63">
        <f t="shared" si="9"/>
        <v>45.300000000000018</v>
      </c>
      <c r="X20" s="63">
        <f t="shared" si="9"/>
        <v>47.700000000000017</v>
      </c>
      <c r="Y20" s="63">
        <v>50.100000000000023</v>
      </c>
      <c r="Z20" s="63">
        <f t="shared" ref="Z20:AC20" si="10">Y20+(($AD20-$Y20)/(COLUMN($AD20)-COLUMN($Y20)))</f>
        <v>57.42</v>
      </c>
      <c r="AA20" s="63">
        <f t="shared" si="10"/>
        <v>64.739999999999981</v>
      </c>
      <c r="AB20" s="63">
        <f t="shared" si="10"/>
        <v>72.05999999999996</v>
      </c>
      <c r="AC20" s="63">
        <f t="shared" si="10"/>
        <v>79.379999999999939</v>
      </c>
      <c r="AD20" s="63">
        <v>86.699999999999932</v>
      </c>
    </row>
    <row r="21" spans="1:30" x14ac:dyDescent="0.35">
      <c r="A21" s="88" t="s">
        <v>30</v>
      </c>
      <c r="B21" s="169"/>
      <c r="C21" s="88" t="s">
        <v>33</v>
      </c>
      <c r="D21" s="63">
        <v>1.589413014335395E-2</v>
      </c>
      <c r="E21" s="63">
        <f t="shared" ref="E21:I21" si="11">D21+(($J21-$D21)/(COLUMN($J21)-COLUMN($D21)))</f>
        <v>8.3763892766986259E-2</v>
      </c>
      <c r="F21" s="63">
        <f t="shared" si="11"/>
        <v>0.15163365539061857</v>
      </c>
      <c r="G21" s="63">
        <f t="shared" si="11"/>
        <v>0.21950341801425088</v>
      </c>
      <c r="H21" s="63">
        <f t="shared" si="11"/>
        <v>0.2873731806378832</v>
      </c>
      <c r="I21" s="63">
        <f t="shared" si="11"/>
        <v>0.35524294326151551</v>
      </c>
      <c r="J21" s="63">
        <v>0.42311270588514782</v>
      </c>
      <c r="K21" s="63">
        <f t="shared" ref="K21:N21" si="12">J21+(($O21-$J21)/(COLUMN($O21)-COLUMN($J21)))</f>
        <v>4.0742243827800433</v>
      </c>
      <c r="L21" s="63">
        <f t="shared" si="12"/>
        <v>7.7253360596749392</v>
      </c>
      <c r="M21" s="63">
        <f t="shared" si="12"/>
        <v>11.376447736569835</v>
      </c>
      <c r="N21" s="63">
        <f t="shared" si="12"/>
        <v>15.027559413464731</v>
      </c>
      <c r="O21" s="63">
        <v>18.678671090359629</v>
      </c>
      <c r="P21" s="63">
        <f t="shared" ref="P21:S21" si="13">O21+(($T21-$O21)/(COLUMN($T21)-COLUMN($O21)))</f>
        <v>19.166675554615288</v>
      </c>
      <c r="Q21" s="63">
        <f t="shared" si="13"/>
        <v>19.654680018870948</v>
      </c>
      <c r="R21" s="63">
        <f t="shared" si="13"/>
        <v>20.142684483126608</v>
      </c>
      <c r="S21" s="63">
        <f t="shared" si="13"/>
        <v>20.630688947382268</v>
      </c>
      <c r="T21" s="63">
        <v>21.118693411637931</v>
      </c>
      <c r="U21" s="63">
        <f t="shared" ref="U21:X21" si="14">T21+(($Y21-$T21)/(COLUMN($Y21)-COLUMN($T21)))</f>
        <v>31.289777596078338</v>
      </c>
      <c r="V21" s="63">
        <f t="shared" si="14"/>
        <v>41.460861780518741</v>
      </c>
      <c r="W21" s="63">
        <f t="shared" si="14"/>
        <v>51.631945964959144</v>
      </c>
      <c r="X21" s="63">
        <f t="shared" si="14"/>
        <v>61.803030149399547</v>
      </c>
      <c r="Y21" s="63">
        <v>71.974114333839964</v>
      </c>
      <c r="Z21" s="63">
        <f t="shared" ref="Z21:AC21" si="15">Y21+(($AD21-$Y21)/(COLUMN($AD21)-COLUMN($Y21)))</f>
        <v>93.62949364187422</v>
      </c>
      <c r="AA21" s="63">
        <f t="shared" si="15"/>
        <v>115.28487294990848</v>
      </c>
      <c r="AB21" s="63">
        <f t="shared" si="15"/>
        <v>136.94025225794272</v>
      </c>
      <c r="AC21" s="63">
        <f t="shared" si="15"/>
        <v>158.59563156597696</v>
      </c>
      <c r="AD21" s="63">
        <v>180.25101087401123</v>
      </c>
    </row>
    <row r="22" spans="1:30" x14ac:dyDescent="0.35">
      <c r="A22" s="88" t="s">
        <v>30</v>
      </c>
      <c r="B22" s="169"/>
      <c r="C22" s="88" t="s">
        <v>34</v>
      </c>
      <c r="D22" s="63">
        <v>5.2980433811179832E-3</v>
      </c>
      <c r="E22" s="63">
        <f t="shared" ref="E22:I22" si="16">D22+(($J22-$D22)/(COLUMN($J22)-COLUMN($D22)))</f>
        <v>1.3229884190205566E-2</v>
      </c>
      <c r="F22" s="63">
        <f t="shared" si="16"/>
        <v>2.1161724999293148E-2</v>
      </c>
      <c r="G22" s="63">
        <f t="shared" si="16"/>
        <v>2.9093565808380732E-2</v>
      </c>
      <c r="H22" s="63">
        <f t="shared" si="16"/>
        <v>3.7025406617468316E-2</v>
      </c>
      <c r="I22" s="63">
        <f t="shared" si="16"/>
        <v>4.4957247426555901E-2</v>
      </c>
      <c r="J22" s="63">
        <v>5.2889088235643478E-2</v>
      </c>
      <c r="K22" s="63">
        <f t="shared" ref="K22:N22" si="17">J22+(($O22-$J22)/(COLUMN($O22)-COLUMN($J22)))</f>
        <v>7.7393395266596554E-2</v>
      </c>
      <c r="L22" s="63">
        <f t="shared" si="17"/>
        <v>0.10189770229754963</v>
      </c>
      <c r="M22" s="63">
        <f t="shared" si="17"/>
        <v>0.12640200932850271</v>
      </c>
      <c r="N22" s="63">
        <f t="shared" si="17"/>
        <v>0.15090631635945578</v>
      </c>
      <c r="O22" s="63">
        <v>0.17541062339040886</v>
      </c>
      <c r="P22" s="63">
        <f t="shared" ref="P22:S22" si="18">O22+(($T22-$O22)/(COLUMN($T22)-COLUMN($O22)))</f>
        <v>0.25310745981317923</v>
      </c>
      <c r="Q22" s="63">
        <f t="shared" si="18"/>
        <v>0.33080429623594959</v>
      </c>
      <c r="R22" s="63">
        <f t="shared" si="18"/>
        <v>0.40850113265871996</v>
      </c>
      <c r="S22" s="63">
        <f t="shared" si="18"/>
        <v>0.48619796908149032</v>
      </c>
      <c r="T22" s="63">
        <v>0.56389480550426063</v>
      </c>
      <c r="U22" s="63">
        <f t="shared" ref="U22:X22" si="19">T22+(($Y22-$T22)/(COLUMN($Y22)-COLUMN($T22)))</f>
        <v>0.71313682592311523</v>
      </c>
      <c r="V22" s="63">
        <f t="shared" si="19"/>
        <v>0.86237884634196982</v>
      </c>
      <c r="W22" s="63">
        <f t="shared" si="19"/>
        <v>1.0116208667608244</v>
      </c>
      <c r="X22" s="63">
        <f t="shared" si="19"/>
        <v>1.1608628871796789</v>
      </c>
      <c r="Y22" s="63">
        <v>1.3101049075985336</v>
      </c>
      <c r="Z22" s="63">
        <f t="shared" ref="Z22:AC22" si="20">Y22+(($AD22-$Y22)/(COLUMN($AD22)-COLUMN($Y22)))</f>
        <v>1.5112153977046026</v>
      </c>
      <c r="AA22" s="63">
        <f t="shared" si="20"/>
        <v>1.7123258878106715</v>
      </c>
      <c r="AB22" s="63">
        <f t="shared" si="20"/>
        <v>1.9134363779167405</v>
      </c>
      <c r="AC22" s="63">
        <f t="shared" si="20"/>
        <v>2.1145468680228094</v>
      </c>
      <c r="AD22" s="63">
        <v>2.315657358128878</v>
      </c>
    </row>
    <row r="23" spans="1:30" ht="13.9" customHeight="1" x14ac:dyDescent="0.35">
      <c r="A23" s="88" t="s">
        <v>30</v>
      </c>
      <c r="B23" s="169"/>
      <c r="C23" s="88" t="s">
        <v>35</v>
      </c>
      <c r="D23" s="63">
        <v>3</v>
      </c>
      <c r="E23" s="63">
        <f t="shared" ref="E23:I23" si="21">D23+(($J23-$D23)/(COLUMN($J23)-COLUMN($D23)))</f>
        <v>3.8333333333333335</v>
      </c>
      <c r="F23" s="63">
        <f t="shared" si="21"/>
        <v>4.666666666666667</v>
      </c>
      <c r="G23" s="63">
        <f t="shared" si="21"/>
        <v>5.5</v>
      </c>
      <c r="H23" s="63">
        <f t="shared" si="21"/>
        <v>6.333333333333333</v>
      </c>
      <c r="I23" s="63">
        <f t="shared" si="21"/>
        <v>7.1666666666666661</v>
      </c>
      <c r="J23" s="63">
        <v>8</v>
      </c>
      <c r="K23" s="63">
        <f t="shared" ref="K23:N23" si="22">J23+(($O23-$J23)/(COLUMN($O23)-COLUMN($J23)))</f>
        <v>10.199999999999999</v>
      </c>
      <c r="L23" s="63">
        <f t="shared" si="22"/>
        <v>12.399999999999999</v>
      </c>
      <c r="M23" s="63">
        <f t="shared" si="22"/>
        <v>14.599999999999998</v>
      </c>
      <c r="N23" s="63">
        <f t="shared" si="22"/>
        <v>16.799999999999997</v>
      </c>
      <c r="O23" s="63">
        <v>19</v>
      </c>
      <c r="P23" s="63">
        <f t="shared" ref="P23:S23" si="23">O23+(($T23-$O23)/(COLUMN($T23)-COLUMN($O23)))</f>
        <v>23</v>
      </c>
      <c r="Q23" s="63">
        <f t="shared" si="23"/>
        <v>27</v>
      </c>
      <c r="R23" s="63">
        <f t="shared" si="23"/>
        <v>31</v>
      </c>
      <c r="S23" s="63">
        <f t="shared" si="23"/>
        <v>35</v>
      </c>
      <c r="T23" s="63">
        <v>39</v>
      </c>
      <c r="U23" s="63">
        <f t="shared" ref="U23:X23" si="24">T23+(($Y23-$T23)/(COLUMN($Y23)-COLUMN($T23)))</f>
        <v>43.6</v>
      </c>
      <c r="V23" s="63">
        <f t="shared" si="24"/>
        <v>48.2</v>
      </c>
      <c r="W23" s="63">
        <f t="shared" si="24"/>
        <v>52.800000000000004</v>
      </c>
      <c r="X23" s="63">
        <f t="shared" si="24"/>
        <v>57.400000000000006</v>
      </c>
      <c r="Y23" s="63">
        <v>62</v>
      </c>
      <c r="Z23" s="63">
        <f t="shared" ref="Z23:AC23" si="25">Y23+(($AD23-$Y23)/(COLUMN($AD23)-COLUMN($Y23)))</f>
        <v>67.400000000000006</v>
      </c>
      <c r="AA23" s="63">
        <f t="shared" si="25"/>
        <v>72.800000000000011</v>
      </c>
      <c r="AB23" s="63">
        <f t="shared" si="25"/>
        <v>78.200000000000017</v>
      </c>
      <c r="AC23" s="63">
        <f t="shared" si="25"/>
        <v>83.600000000000023</v>
      </c>
      <c r="AD23" s="63">
        <v>89</v>
      </c>
    </row>
    <row r="24" spans="1:30" x14ac:dyDescent="0.35">
      <c r="A24" s="88" t="s">
        <v>30</v>
      </c>
      <c r="B24" s="169"/>
      <c r="C24" s="88" t="s">
        <v>121</v>
      </c>
      <c r="D24" s="63">
        <v>3808.3606649666053</v>
      </c>
      <c r="E24" s="63">
        <v>5063.9625989576198</v>
      </c>
      <c r="F24" s="63">
        <v>6319.5645329486342</v>
      </c>
      <c r="G24" s="63">
        <v>7575.1664669396487</v>
      </c>
      <c r="H24" s="63">
        <v>8830.7684009306613</v>
      </c>
      <c r="I24" s="63">
        <v>10086.370334921676</v>
      </c>
      <c r="J24" s="63">
        <v>11341.97226891269</v>
      </c>
      <c r="K24" s="63">
        <v>12597.574202903706</v>
      </c>
      <c r="L24" s="63">
        <v>13853.176136894721</v>
      </c>
      <c r="M24" s="63">
        <v>15108.778070885735</v>
      </c>
      <c r="N24" s="63">
        <v>16364.38000487675</v>
      </c>
      <c r="O24" s="63">
        <v>17619.981938867764</v>
      </c>
      <c r="P24" s="63">
        <v>18875.583872858777</v>
      </c>
      <c r="Q24" s="63">
        <v>20131.185806849793</v>
      </c>
      <c r="R24" s="63">
        <v>21386.787740840809</v>
      </c>
      <c r="S24" s="63">
        <v>22642.389674831822</v>
      </c>
      <c r="T24" s="63">
        <v>23897.991608822835</v>
      </c>
      <c r="U24" s="63">
        <v>25153.593542813855</v>
      </c>
      <c r="V24" s="63">
        <v>26409.195476804874</v>
      </c>
      <c r="W24" s="63">
        <v>27664.797410795891</v>
      </c>
      <c r="X24" s="63">
        <v>28920.399344786907</v>
      </c>
      <c r="Y24" s="63">
        <v>30176.001278777927</v>
      </c>
      <c r="Z24" s="63">
        <v>31431.603212768947</v>
      </c>
      <c r="AA24" s="63">
        <v>32687.205146759963</v>
      </c>
      <c r="AB24" s="63">
        <v>33942.807080750979</v>
      </c>
      <c r="AC24" s="63">
        <v>35198.409014741999</v>
      </c>
      <c r="AD24" s="63">
        <v>36454.01094873299</v>
      </c>
    </row>
    <row r="25" spans="1:30" x14ac:dyDescent="0.35">
      <c r="A25" s="88" t="s">
        <v>30</v>
      </c>
      <c r="B25" s="169"/>
      <c r="C25" s="88" t="s">
        <v>122</v>
      </c>
      <c r="D25" s="63">
        <v>192864.66620394157</v>
      </c>
      <c r="E25" s="63">
        <v>195239.2419650236</v>
      </c>
      <c r="F25" s="63">
        <v>196366.76544203321</v>
      </c>
      <c r="G25" s="63">
        <v>197525.37556068008</v>
      </c>
      <c r="H25" s="63">
        <v>198743.92387830256</v>
      </c>
      <c r="I25" s="63">
        <v>200140.93841202525</v>
      </c>
      <c r="J25" s="63">
        <v>201537.7102617296</v>
      </c>
      <c r="K25" s="63">
        <v>203264.35975945235</v>
      </c>
      <c r="L25" s="63">
        <v>205020.85839510098</v>
      </c>
      <c r="M25" s="63">
        <v>206857.30160898238</v>
      </c>
      <c r="N25" s="63">
        <v>208717.85370976047</v>
      </c>
      <c r="O25" s="63">
        <v>210603.18149647751</v>
      </c>
      <c r="P25" s="63">
        <v>212516.40688715709</v>
      </c>
      <c r="Q25" s="63">
        <v>214384.67967973242</v>
      </c>
      <c r="R25" s="63">
        <v>216269.29220061237</v>
      </c>
      <c r="S25" s="63">
        <v>218166.20327483438</v>
      </c>
      <c r="T25" s="63">
        <v>220084.66189887849</v>
      </c>
      <c r="U25" s="63">
        <v>221841.85132365467</v>
      </c>
      <c r="V25" s="63">
        <v>223594.26978343775</v>
      </c>
      <c r="W25" s="63">
        <v>225336.52091265519</v>
      </c>
      <c r="X25" s="63">
        <v>227080.15135791432</v>
      </c>
      <c r="Y25" s="63">
        <v>228568.34604359462</v>
      </c>
      <c r="Z25" s="63">
        <v>230020.42486390745</v>
      </c>
      <c r="AA25" s="63">
        <v>231425.48689332735</v>
      </c>
      <c r="AB25" s="63">
        <v>232792.66409110834</v>
      </c>
      <c r="AC25" s="63">
        <v>233827.47214176381</v>
      </c>
      <c r="AD25" s="63">
        <v>234770.96970999555</v>
      </c>
    </row>
    <row r="26" spans="1:30" s="82" customFormat="1" x14ac:dyDescent="0.35">
      <c r="A26" s="88" t="s">
        <v>30</v>
      </c>
      <c r="B26" s="169"/>
      <c r="C26" s="88" t="s">
        <v>123</v>
      </c>
      <c r="D26" s="63">
        <v>15863.893130854603</v>
      </c>
      <c r="E26" s="63">
        <v>17648.235031002652</v>
      </c>
      <c r="F26" s="63">
        <v>18532.236689999794</v>
      </c>
      <c r="G26" s="63">
        <v>19475.112681928011</v>
      </c>
      <c r="H26" s="63">
        <v>20493.71854997455</v>
      </c>
      <c r="I26" s="63">
        <v>21703.204276026223</v>
      </c>
      <c r="J26" s="63">
        <v>22946.050699999509</v>
      </c>
      <c r="K26" s="63">
        <v>24548.26486804448</v>
      </c>
      <c r="L26" s="63">
        <v>26220.989372549484</v>
      </c>
      <c r="M26" s="63">
        <v>28058.997685781676</v>
      </c>
      <c r="N26" s="63">
        <v>29994.707022833591</v>
      </c>
      <c r="O26" s="63">
        <v>32011.425891947838</v>
      </c>
      <c r="P26" s="63">
        <v>34129.673408907925</v>
      </c>
      <c r="Q26" s="63">
        <v>36251.576659394232</v>
      </c>
      <c r="R26" s="63">
        <v>38482.292306296302</v>
      </c>
      <c r="S26" s="63">
        <v>40781.781464548454</v>
      </c>
      <c r="T26" s="63">
        <v>43190.558793671822</v>
      </c>
      <c r="U26" s="63">
        <v>45461.093625999209</v>
      </c>
      <c r="V26" s="63">
        <v>47797.3220414936</v>
      </c>
      <c r="W26" s="63">
        <v>50173.624201748113</v>
      </c>
      <c r="X26" s="63">
        <v>52592.349260380004</v>
      </c>
      <c r="Y26" s="63">
        <v>54727.119526493792</v>
      </c>
      <c r="Z26" s="63">
        <v>56855.98510471324</v>
      </c>
      <c r="AA26" s="63">
        <v>58972.670120360293</v>
      </c>
      <c r="AB26" s="63">
        <v>61079.371371193629</v>
      </c>
      <c r="AC26" s="63">
        <v>62711.988881723832</v>
      </c>
      <c r="AD26" s="63">
        <v>64234.559659609338</v>
      </c>
    </row>
    <row r="27" spans="1:30" s="82" customFormat="1" x14ac:dyDescent="0.35">
      <c r="A27" s="88" t="s">
        <v>39</v>
      </c>
      <c r="B27" s="169"/>
      <c r="C27" s="88" t="s">
        <v>165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4.4000000000000004</v>
      </c>
      <c r="Z27" s="63">
        <f>Y27+(($AD27-$Y27)/(COLUMN($AD27)-COLUMN($Y27)))</f>
        <v>26.799999999999997</v>
      </c>
      <c r="AA27" s="63">
        <f t="shared" ref="AA27" si="26">Z27+(($AD27-$Y27)/(COLUMN($AD27)-COLUMN($Y27)))</f>
        <v>49.199999999999996</v>
      </c>
      <c r="AB27" s="63">
        <f t="shared" ref="AB27" si="27">AA27+(($AD27-$Y27)/(COLUMN($AD27)-COLUMN($Y27)))</f>
        <v>71.599999999999994</v>
      </c>
      <c r="AC27" s="63">
        <f t="shared" ref="AA27:AC28" si="28">AB27+(($AD27-$Y27)/(COLUMN($AD27)-COLUMN($Y27)))</f>
        <v>94</v>
      </c>
      <c r="AD27" s="63">
        <v>116.4</v>
      </c>
    </row>
    <row r="28" spans="1:30" x14ac:dyDescent="0.35">
      <c r="A28" s="88" t="s">
        <v>39</v>
      </c>
      <c r="B28" s="169"/>
      <c r="C28" s="88" t="s">
        <v>166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f>V28+(($Y28-$V28)/(COLUMN($Y28)-COLUMN($V28)))</f>
        <v>26.066666666666666</v>
      </c>
      <c r="X28" s="63">
        <f>W28+(($Y28-$V28)/(COLUMN($Y28)-COLUMN($V28)))</f>
        <v>52.133333333333333</v>
      </c>
      <c r="Y28" s="63">
        <f>78.2</f>
        <v>78.2</v>
      </c>
      <c r="Z28" s="63">
        <f>Y28+(($AD28-$Y28)/(COLUMN($AD28)-COLUMN($Y28)))</f>
        <v>209.60000000000002</v>
      </c>
      <c r="AA28" s="63">
        <f t="shared" si="28"/>
        <v>341</v>
      </c>
      <c r="AB28" s="63">
        <f t="shared" si="28"/>
        <v>472.4</v>
      </c>
      <c r="AC28" s="63">
        <f t="shared" si="28"/>
        <v>603.79999999999995</v>
      </c>
      <c r="AD28" s="63">
        <f>735.2</f>
        <v>735.2</v>
      </c>
    </row>
    <row r="29" spans="1:30" x14ac:dyDescent="0.35">
      <c r="A29" s="88" t="s">
        <v>39</v>
      </c>
      <c r="B29" s="169"/>
      <c r="C29" s="88" t="s">
        <v>32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f t="shared" ref="W29:X29" si="29">V29+(($Y29-$V29)/(COLUMN($Y29)-COLUMN($V29)))</f>
        <v>10.333333333333334</v>
      </c>
      <c r="X29" s="63">
        <f t="shared" si="29"/>
        <v>20.666666666666668</v>
      </c>
      <c r="Y29" s="63">
        <f>1+30</f>
        <v>31</v>
      </c>
      <c r="Z29" s="63">
        <f t="shared" ref="Z29:AC29" si="30">Y29+(($AD29-$Y29)/(COLUMN($AD29)-COLUMN($Y29)))</f>
        <v>49.04</v>
      </c>
      <c r="AA29" s="63">
        <f t="shared" si="30"/>
        <v>67.08</v>
      </c>
      <c r="AB29" s="63">
        <f t="shared" si="30"/>
        <v>85.12</v>
      </c>
      <c r="AC29" s="63">
        <f t="shared" si="30"/>
        <v>103.16</v>
      </c>
      <c r="AD29" s="63">
        <f>38+83.2</f>
        <v>121.2</v>
      </c>
    </row>
    <row r="30" spans="1:30" x14ac:dyDescent="0.35">
      <c r="A30" s="88" t="s">
        <v>39</v>
      </c>
      <c r="B30" s="169"/>
      <c r="C30" s="88" t="s">
        <v>33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f t="shared" ref="W30:X30" si="31">V30+(($Y30-$V30)/(COLUMN($Y30)-COLUMN($V30)))</f>
        <v>1.2747860694861269E-3</v>
      </c>
      <c r="X30" s="63">
        <f t="shared" si="31"/>
        <v>2.5495721389722538E-3</v>
      </c>
      <c r="Y30" s="63">
        <v>3.8243582084583807E-3</v>
      </c>
      <c r="Z30" s="63">
        <f t="shared" ref="Z30:AC30" si="32">Y30+(($AD30-$Y30)/(COLUMN($AD30)-COLUMN($Y30)))</f>
        <v>0.45808714602932982</v>
      </c>
      <c r="AA30" s="63">
        <f t="shared" si="32"/>
        <v>0.91234993385020124</v>
      </c>
      <c r="AB30" s="63">
        <f t="shared" si="32"/>
        <v>1.3666127216710726</v>
      </c>
      <c r="AC30" s="63">
        <f t="shared" si="32"/>
        <v>1.820875509491944</v>
      </c>
      <c r="AD30" s="63">
        <v>2.2751382973128154</v>
      </c>
    </row>
    <row r="31" spans="1:30" x14ac:dyDescent="0.35">
      <c r="A31" s="88" t="s">
        <v>39</v>
      </c>
      <c r="B31" s="169"/>
      <c r="C31" s="88" t="s">
        <v>34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f t="shared" ref="W31:X31" si="33">V31+(($Y31-$V31)/(COLUMN($Y31)-COLUMN($V31)))</f>
        <v>1.2747860694861269E-3</v>
      </c>
      <c r="X31" s="63">
        <f t="shared" si="33"/>
        <v>2.5495721389722538E-3</v>
      </c>
      <c r="Y31" s="63">
        <v>3.8243582084583807E-3</v>
      </c>
      <c r="Z31" s="63">
        <f t="shared" ref="Z31:AC31" si="34">Y31+(($AD31-$Y31)/(COLUMN($AD31)-COLUMN($Y31)))</f>
        <v>2.3293818178791552E-2</v>
      </c>
      <c r="AA31" s="63">
        <f t="shared" si="34"/>
        <v>4.2763278149124728E-2</v>
      </c>
      <c r="AB31" s="63">
        <f t="shared" si="34"/>
        <v>6.2232738119457898E-2</v>
      </c>
      <c r="AC31" s="63">
        <f t="shared" si="34"/>
        <v>8.1702198089791067E-2</v>
      </c>
      <c r="AD31" s="63">
        <v>0.10117165806012424</v>
      </c>
    </row>
    <row r="32" spans="1:30" x14ac:dyDescent="0.35">
      <c r="A32" s="88" t="s">
        <v>39</v>
      </c>
      <c r="B32" s="169"/>
      <c r="C32" s="88" t="s">
        <v>35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f t="shared" ref="W32:X32" si="35">V32+(($Y32-$V32)/(COLUMN($Y32)-COLUMN($V32)))</f>
        <v>2</v>
      </c>
      <c r="X32" s="63">
        <f t="shared" si="35"/>
        <v>4</v>
      </c>
      <c r="Y32" s="63">
        <f>1+5</f>
        <v>6</v>
      </c>
      <c r="Z32" s="63">
        <f t="shared" ref="Z32:AC32" si="36">Y32+(($AD32-$Y32)/(COLUMN($AD32)-COLUMN($Y32)))</f>
        <v>9.1999999999999993</v>
      </c>
      <c r="AA32" s="63">
        <f t="shared" si="36"/>
        <v>12.399999999999999</v>
      </c>
      <c r="AB32" s="63">
        <f t="shared" si="36"/>
        <v>15.599999999999998</v>
      </c>
      <c r="AC32" s="63">
        <f t="shared" si="36"/>
        <v>18.799999999999997</v>
      </c>
      <c r="AD32" s="63">
        <f>4+18</f>
        <v>22</v>
      </c>
    </row>
    <row r="33" spans="1:30" x14ac:dyDescent="0.35">
      <c r="A33" s="88" t="s">
        <v>143</v>
      </c>
      <c r="B33" s="88" t="s">
        <v>124</v>
      </c>
      <c r="C33" s="88" t="s">
        <v>144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59315.904999085193</v>
      </c>
      <c r="X33" s="63">
        <v>215985.08325130524</v>
      </c>
      <c r="Y33" s="63">
        <v>842897.87364180246</v>
      </c>
      <c r="Z33" s="63">
        <v>1420524.3615676444</v>
      </c>
      <c r="AA33" s="63">
        <v>2208179.56408364</v>
      </c>
      <c r="AB33" s="63">
        <v>3333262.9075025637</v>
      </c>
      <c r="AC33" s="63">
        <v>4180514.5423809481</v>
      </c>
      <c r="AD33" s="63">
        <v>5338329.9674661169</v>
      </c>
    </row>
    <row r="34" spans="1:30" x14ac:dyDescent="0.35">
      <c r="A34" s="88" t="s">
        <v>143</v>
      </c>
      <c r="B34" s="88" t="s">
        <v>145</v>
      </c>
      <c r="C34" s="88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354851.50347217603</v>
      </c>
      <c r="X34" s="63">
        <v>1221424.7031225055</v>
      </c>
      <c r="Y34" s="63">
        <v>4808318.5082079619</v>
      </c>
      <c r="Z34" s="63">
        <v>7459492.2881714832</v>
      </c>
      <c r="AA34" s="63">
        <v>10493819.228427751</v>
      </c>
      <c r="AB34" s="63">
        <v>15170482.739059972</v>
      </c>
      <c r="AC34" s="63">
        <v>18177707.676465467</v>
      </c>
      <c r="AD34" s="63">
        <v>23215601.683428694</v>
      </c>
    </row>
    <row r="35" spans="1:30" x14ac:dyDescent="0.35">
      <c r="A35" s="88" t="s">
        <v>146</v>
      </c>
      <c r="B35" s="88" t="s">
        <v>124</v>
      </c>
      <c r="C35" s="88" t="s">
        <v>144</v>
      </c>
      <c r="D35" s="63">
        <v>1269.4984609921005</v>
      </c>
      <c r="E35" s="19">
        <f>D35+($J35-$D35)/(COLUMN($J35)-COLUMN($D35))</f>
        <v>3507.3998571021511</v>
      </c>
      <c r="F35" s="19">
        <f t="shared" ref="F35:I35" si="37">E35+($J35-$D35)/(COLUMN($J35)-COLUMN($D35))</f>
        <v>5745.301253212202</v>
      </c>
      <c r="G35" s="19">
        <f t="shared" si="37"/>
        <v>7983.2026493222529</v>
      </c>
      <c r="H35" s="19">
        <f t="shared" si="37"/>
        <v>10221.104045432305</v>
      </c>
      <c r="I35" s="19">
        <f t="shared" si="37"/>
        <v>12459.005441542355</v>
      </c>
      <c r="J35" s="63">
        <v>14696.906837652406</v>
      </c>
      <c r="K35" s="19">
        <f>J35+($O35-$J35)/(COLUMN($O35)-COLUMN($J35))</f>
        <v>22693.654967461</v>
      </c>
      <c r="L35" s="19">
        <f t="shared" ref="L35:N35" si="38">K35+($O35-$J35)/(COLUMN($O35)-COLUMN($J35))</f>
        <v>30690.403097269591</v>
      </c>
      <c r="M35" s="19">
        <f t="shared" si="38"/>
        <v>38687.151227078182</v>
      </c>
      <c r="N35" s="19">
        <f t="shared" si="38"/>
        <v>46683.899356886774</v>
      </c>
      <c r="O35" s="63">
        <v>54680.647486695365</v>
      </c>
      <c r="P35" s="19">
        <f>O35+($T35-$O35)/(COLUMN($T35)-COLUMN($O35))</f>
        <v>88479.904052097627</v>
      </c>
      <c r="Q35" s="19">
        <f t="shared" ref="Q35:S35" si="39">P35+($T35-$O35)/(COLUMN($T35)-COLUMN($O35))</f>
        <v>122279.16061749989</v>
      </c>
      <c r="R35" s="19">
        <f t="shared" si="39"/>
        <v>156078.41718290217</v>
      </c>
      <c r="S35" s="19">
        <f t="shared" si="39"/>
        <v>189877.67374830443</v>
      </c>
      <c r="T35" s="63">
        <v>223676.93031370669</v>
      </c>
      <c r="U35" s="19">
        <f>T35+($Y35-$T35)/(COLUMN($Y35)-COLUMN($T35))</f>
        <v>305841.01248605695</v>
      </c>
      <c r="V35" s="19">
        <f t="shared" ref="V35:X35" si="40">U35+($Y35-$T35)/(COLUMN($Y35)-COLUMN($T35))</f>
        <v>388005.09465840721</v>
      </c>
      <c r="W35" s="19">
        <f t="shared" si="40"/>
        <v>470169.17683075747</v>
      </c>
      <c r="X35" s="19">
        <f t="shared" si="40"/>
        <v>552333.25900310779</v>
      </c>
      <c r="Y35" s="63">
        <v>634497.34117545804</v>
      </c>
      <c r="Z35" s="19">
        <f>Y35+($AD35-$Y35)/(COLUMN($AD35)-COLUMN($Y35))</f>
        <v>764402.98752623517</v>
      </c>
      <c r="AA35" s="19">
        <f t="shared" ref="AA35:AA36" si="41">Z35+($AD35-$Y35)/(COLUMN($AD35)-COLUMN($Y35))</f>
        <v>894308.6338770123</v>
      </c>
      <c r="AB35" s="19">
        <f>AA35+($AD35-$Y35)/(COLUMN($AD35)-COLUMN($Y35))</f>
        <v>1024214.2802277894</v>
      </c>
      <c r="AC35" s="19">
        <f t="shared" ref="AC35:AC36" si="42">AB35+($AD35-$Y35)/(COLUMN($AD35)-COLUMN($Y35))</f>
        <v>1154119.9265785664</v>
      </c>
      <c r="AD35" s="63">
        <v>1284025.5729293437</v>
      </c>
    </row>
    <row r="36" spans="1:30" x14ac:dyDescent="0.35">
      <c r="A36" s="88" t="s">
        <v>146</v>
      </c>
      <c r="B36" s="88" t="s">
        <v>145</v>
      </c>
      <c r="C36" s="88" t="s">
        <v>144</v>
      </c>
      <c r="D36" s="63">
        <v>5267.7658737530246</v>
      </c>
      <c r="E36" s="19">
        <f>D36+($J36-$D36)/(COLUMN($J36)-COLUMN($D36))</f>
        <v>14553.906003485823</v>
      </c>
      <c r="F36" s="19">
        <f t="shared" ref="F36:I36" si="43">E36+($J36-$D36)/(COLUMN($J36)-COLUMN($D36))</f>
        <v>23840.046133218624</v>
      </c>
      <c r="G36" s="19">
        <f t="shared" si="43"/>
        <v>33126.186262951422</v>
      </c>
      <c r="H36" s="19">
        <f t="shared" si="43"/>
        <v>42412.326392684219</v>
      </c>
      <c r="I36" s="19">
        <f t="shared" si="43"/>
        <v>51698.466522417017</v>
      </c>
      <c r="J36" s="63">
        <v>60984.606652149814</v>
      </c>
      <c r="K36" s="19">
        <f>J36+($O36-$J36)/(COLUMN($O36)-COLUMN($J36))</f>
        <v>94166.99969442554</v>
      </c>
      <c r="L36" s="19">
        <f t="shared" ref="L36:N36" si="44">K36+($O36-$J36)/(COLUMN($O36)-COLUMN($J36))</f>
        <v>127349.39273670127</v>
      </c>
      <c r="M36" s="19">
        <f t="shared" si="44"/>
        <v>160531.78577897698</v>
      </c>
      <c r="N36" s="19">
        <f t="shared" si="44"/>
        <v>193714.17882125272</v>
      </c>
      <c r="O36" s="63">
        <v>226896.57186352843</v>
      </c>
      <c r="P36" s="19">
        <f>O36+($T36-$O36)/(COLUMN($T36)-COLUMN($O36))</f>
        <v>367146.10801050987</v>
      </c>
      <c r="Q36" s="19">
        <f t="shared" ref="Q36:S36" si="45">P36+($T36-$O36)/(COLUMN($T36)-COLUMN($O36))</f>
        <v>507395.64415749128</v>
      </c>
      <c r="R36" s="19">
        <f t="shared" si="45"/>
        <v>647645.18030447268</v>
      </c>
      <c r="S36" s="19">
        <f t="shared" si="45"/>
        <v>787894.71645145409</v>
      </c>
      <c r="T36" s="63">
        <v>928144.2525984355</v>
      </c>
      <c r="U36" s="19">
        <f>T36+($Y36-$T36)/(COLUMN($Y36)-COLUMN($T36))</f>
        <v>1269082.9472207988</v>
      </c>
      <c r="V36" s="19">
        <f t="shared" ref="V36:X36" si="46">U36+($Y36-$T36)/(COLUMN($Y36)-COLUMN($T36))</f>
        <v>1610021.641843162</v>
      </c>
      <c r="W36" s="19">
        <f t="shared" si="46"/>
        <v>1950960.3364655254</v>
      </c>
      <c r="X36" s="19">
        <f t="shared" si="46"/>
        <v>2291899.0310878889</v>
      </c>
      <c r="Y36" s="63">
        <v>2632837.7257102523</v>
      </c>
      <c r="Z36" s="19">
        <f>Y36+($AD36-$Y36)/(COLUMN($AD36)-COLUMN($Y36))</f>
        <v>3171879.3643426215</v>
      </c>
      <c r="AA36" s="19">
        <f t="shared" si="41"/>
        <v>3710921.0029749908</v>
      </c>
      <c r="AB36" s="19">
        <f>AA36+($AD36-$Y36)/(COLUMN($AD36)-COLUMN($Y36))</f>
        <v>4249962.64160736</v>
      </c>
      <c r="AC36" s="19">
        <f t="shared" si="42"/>
        <v>4789004.2802397292</v>
      </c>
      <c r="AD36" s="63">
        <v>5328045.9188720975</v>
      </c>
    </row>
    <row r="37" spans="1:30" ht="29" x14ac:dyDescent="0.35">
      <c r="A37" s="3" t="s">
        <v>147</v>
      </c>
      <c r="B37" s="3" t="s">
        <v>148</v>
      </c>
      <c r="C37" s="88" t="s">
        <v>144</v>
      </c>
      <c r="D37" s="63">
        <v>4851900.5486829933</v>
      </c>
      <c r="E37" s="63">
        <v>5548844.3300555516</v>
      </c>
      <c r="F37" s="63">
        <v>5954616.7726334753</v>
      </c>
      <c r="G37" s="63">
        <v>6363779.4526433833</v>
      </c>
      <c r="H37" s="63">
        <v>6862697.0831286758</v>
      </c>
      <c r="I37" s="63">
        <v>7430779.6337906746</v>
      </c>
      <c r="J37" s="63">
        <v>7958090.1696787169</v>
      </c>
      <c r="K37" s="63">
        <v>8741153.0658613946</v>
      </c>
      <c r="L37" s="63">
        <v>9549664.1025375165</v>
      </c>
      <c r="M37" s="63">
        <v>10292607.096280362</v>
      </c>
      <c r="N37" s="63">
        <v>11249460.561061727</v>
      </c>
      <c r="O37" s="63">
        <v>12276853.639271129</v>
      </c>
      <c r="P37" s="63">
        <v>13383547.522738636</v>
      </c>
      <c r="Q37" s="63">
        <v>14497043.817288639</v>
      </c>
      <c r="R37" s="63">
        <v>15635893.67975487</v>
      </c>
      <c r="S37" s="63">
        <v>16957354.939872339</v>
      </c>
      <c r="T37" s="63">
        <v>18318405.619574133</v>
      </c>
      <c r="U37" s="63">
        <v>19745850.774965178</v>
      </c>
      <c r="V37" s="63">
        <v>21095026.297130056</v>
      </c>
      <c r="W37" s="63">
        <v>22704288.873824503</v>
      </c>
      <c r="X37" s="63">
        <v>24150941.08390535</v>
      </c>
      <c r="Y37" s="63">
        <v>25640390.025576863</v>
      </c>
      <c r="Z37" s="63">
        <v>27294530.676883005</v>
      </c>
      <c r="AA37" s="63">
        <v>28943497.249719981</v>
      </c>
      <c r="AB37" s="63">
        <v>30674535.32627473</v>
      </c>
      <c r="AC37" s="63">
        <v>32278079.823059451</v>
      </c>
      <c r="AD37" s="63">
        <v>33822039.209754735</v>
      </c>
    </row>
    <row r="38" spans="1:30" x14ac:dyDescent="0.35">
      <c r="A38" s="88"/>
      <c r="B38" s="88"/>
      <c r="C38" s="8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x14ac:dyDescent="0.35">
      <c r="A39" s="88"/>
      <c r="B39" s="88"/>
      <c r="C39" s="88" t="s">
        <v>149</v>
      </c>
      <c r="D39" s="63">
        <f>'Cost Assumptions'!$B$4</f>
        <v>40</v>
      </c>
      <c r="E39" s="63">
        <f>D39*'Cost Assumptions'!$B$5</f>
        <v>41</v>
      </c>
      <c r="F39" s="63">
        <f>E39*'Cost Assumptions'!$B$5</f>
        <v>42.024999999999999</v>
      </c>
      <c r="G39" s="63">
        <f>F39*'Cost Assumptions'!$B$5</f>
        <v>43.075624999999995</v>
      </c>
      <c r="H39" s="10">
        <f>G39*'Cost Assumptions'!$B$5</f>
        <v>44.152515624999992</v>
      </c>
      <c r="I39" s="10">
        <f>H39*'Cost Assumptions'!$B$5</f>
        <v>45.256328515624986</v>
      </c>
      <c r="J39" s="10">
        <f>I39*'Cost Assumptions'!$B$5</f>
        <v>46.387736728515605</v>
      </c>
      <c r="K39" s="10">
        <f>J39*'Cost Assumptions'!$B$5</f>
        <v>47.547430146728495</v>
      </c>
      <c r="L39" s="10">
        <f>K39*'Cost Assumptions'!$B$5</f>
        <v>48.736115900396705</v>
      </c>
      <c r="M39" s="10">
        <f>L39*'Cost Assumptions'!$B$5</f>
        <v>49.954518797906616</v>
      </c>
      <c r="N39" s="10">
        <f>M39*'Cost Assumptions'!$B$5</f>
        <v>51.203381767854275</v>
      </c>
      <c r="O39" s="10">
        <f>N39*'Cost Assumptions'!$B$5</f>
        <v>52.483466312050624</v>
      </c>
      <c r="P39" s="10">
        <f>O39*'Cost Assumptions'!$B$5</f>
        <v>53.795552969851883</v>
      </c>
      <c r="Q39" s="10">
        <f>P39*'Cost Assumptions'!$B$5</f>
        <v>55.140441794098173</v>
      </c>
      <c r="R39" s="10">
        <f>Q39*'Cost Assumptions'!$B$5</f>
        <v>56.518952838950625</v>
      </c>
      <c r="S39" s="10">
        <f>R39*'Cost Assumptions'!$B$5</f>
        <v>57.931926659924386</v>
      </c>
      <c r="T39" s="10">
        <f>S39*'Cost Assumptions'!$B$5</f>
        <v>59.380224826422491</v>
      </c>
      <c r="U39" s="10">
        <f>T39*'Cost Assumptions'!$B$5</f>
        <v>60.864730447083048</v>
      </c>
      <c r="V39" s="10">
        <f>U39*'Cost Assumptions'!$B$5</f>
        <v>62.386348708260115</v>
      </c>
      <c r="W39" s="10">
        <f>V39*'Cost Assumptions'!$B$5</f>
        <v>63.946007425966613</v>
      </c>
      <c r="X39" s="10">
        <f>W39*'Cost Assumptions'!$B$5</f>
        <v>65.544657611615776</v>
      </c>
      <c r="Y39" s="10">
        <f>X39*'Cost Assumptions'!$B$5</f>
        <v>67.183274051906167</v>
      </c>
      <c r="Z39" s="10">
        <f>Y39*'Cost Assumptions'!$B$5</f>
        <v>68.862855903203823</v>
      </c>
      <c r="AA39" s="10">
        <f>Z39*'Cost Assumptions'!$B$5</f>
        <v>70.584427300783915</v>
      </c>
      <c r="AB39" s="10">
        <f>AA39*'Cost Assumptions'!$B$5</f>
        <v>72.349037983303504</v>
      </c>
      <c r="AC39" s="10">
        <f>AB39*'Cost Assumptions'!$B$5</f>
        <v>74.157763932886084</v>
      </c>
      <c r="AD39" s="10">
        <f>AC39*'Cost Assumptions'!$B$5</f>
        <v>76.011708031208229</v>
      </c>
    </row>
    <row r="40" spans="1:30" x14ac:dyDescent="0.35">
      <c r="A40" s="88"/>
      <c r="B40" s="88"/>
      <c r="C40" s="88"/>
      <c r="D40" s="88"/>
      <c r="E40" s="88"/>
      <c r="F40" s="88"/>
      <c r="G40" s="63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 ht="23.5" x14ac:dyDescent="0.55000000000000004">
      <c r="A41" s="88"/>
      <c r="B41" s="167" t="s">
        <v>150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</row>
    <row r="42" spans="1:30" ht="20" thickBot="1" x14ac:dyDescent="0.5">
      <c r="A42" s="117"/>
      <c r="B42" s="128" t="s">
        <v>151</v>
      </c>
      <c r="C42" s="117" t="s">
        <v>118</v>
      </c>
      <c r="D42" s="117">
        <v>2022</v>
      </c>
      <c r="E42" s="117">
        <v>2023</v>
      </c>
      <c r="F42" s="117">
        <v>2024</v>
      </c>
      <c r="G42" s="117">
        <v>2025</v>
      </c>
      <c r="H42" s="117">
        <v>2026</v>
      </c>
      <c r="I42" s="117">
        <v>2027</v>
      </c>
      <c r="J42" s="117">
        <v>2028</v>
      </c>
      <c r="K42" s="117">
        <v>2029</v>
      </c>
      <c r="L42" s="117">
        <v>2030</v>
      </c>
      <c r="M42" s="117">
        <v>2031</v>
      </c>
      <c r="N42" s="117">
        <v>2032</v>
      </c>
      <c r="O42" s="117">
        <v>2033</v>
      </c>
      <c r="P42" s="117">
        <v>2034</v>
      </c>
      <c r="Q42" s="117">
        <v>2035</v>
      </c>
      <c r="R42" s="117">
        <v>2036</v>
      </c>
      <c r="S42" s="117">
        <v>2037</v>
      </c>
      <c r="T42" s="117">
        <v>2038</v>
      </c>
      <c r="U42" s="117">
        <v>2039</v>
      </c>
      <c r="V42" s="117">
        <v>2040</v>
      </c>
      <c r="W42" s="117">
        <v>2041</v>
      </c>
      <c r="X42" s="117">
        <v>2042</v>
      </c>
      <c r="Y42" s="117">
        <v>2043</v>
      </c>
      <c r="Z42" s="117">
        <v>2044</v>
      </c>
      <c r="AA42" s="117">
        <v>2045</v>
      </c>
      <c r="AB42" s="117">
        <v>2046</v>
      </c>
      <c r="AC42" s="117">
        <v>2047</v>
      </c>
      <c r="AD42" s="117">
        <v>2048</v>
      </c>
    </row>
    <row r="43" spans="1:30" ht="15" thickTop="1" x14ac:dyDescent="0.35">
      <c r="A43" s="5">
        <f>SUM(D43:AD43)</f>
        <v>19220.962499993133</v>
      </c>
      <c r="B43" s="11">
        <f>NPV('Cost Assumptions'!$B$3,'Valley S to Valley N to Vista'!D43:'Valley S to Valley N to Vista'!AD43)</f>
        <v>5189.5094573972383</v>
      </c>
      <c r="C43" s="88" t="s">
        <v>120</v>
      </c>
      <c r="D43" s="63">
        <f t="shared" ref="D43:AD43" si="47">D2-D18</f>
        <v>338.7999999991298</v>
      </c>
      <c r="E43" s="63">
        <f t="shared" si="47"/>
        <v>367.49903846071538</v>
      </c>
      <c r="F43" s="63">
        <f t="shared" si="47"/>
        <v>396.19807692230097</v>
      </c>
      <c r="G43" s="63">
        <f t="shared" si="47"/>
        <v>424.89711538388656</v>
      </c>
      <c r="H43" s="63">
        <f t="shared" si="47"/>
        <v>453.59615384547214</v>
      </c>
      <c r="I43" s="63">
        <f t="shared" si="47"/>
        <v>482.29519230705773</v>
      </c>
      <c r="J43" s="63">
        <f t="shared" si="47"/>
        <v>510.99423076864332</v>
      </c>
      <c r="K43" s="63">
        <f t="shared" si="47"/>
        <v>539.69326923022891</v>
      </c>
      <c r="L43" s="63">
        <f t="shared" si="47"/>
        <v>568.39230769181449</v>
      </c>
      <c r="M43" s="63">
        <f t="shared" si="47"/>
        <v>597.09134615340008</v>
      </c>
      <c r="N43" s="63">
        <f t="shared" si="47"/>
        <v>625.79038461498567</v>
      </c>
      <c r="O43" s="63">
        <f t="shared" si="47"/>
        <v>654.48942307657126</v>
      </c>
      <c r="P43" s="63">
        <f t="shared" si="47"/>
        <v>683.18846153815684</v>
      </c>
      <c r="Q43" s="63">
        <f t="shared" si="47"/>
        <v>711.88749999974243</v>
      </c>
      <c r="R43" s="63">
        <f t="shared" si="47"/>
        <v>740.58653846132802</v>
      </c>
      <c r="S43" s="63">
        <f t="shared" si="47"/>
        <v>769.28557692291361</v>
      </c>
      <c r="T43" s="63">
        <f t="shared" si="47"/>
        <v>797.98461538449919</v>
      </c>
      <c r="U43" s="63">
        <f t="shared" si="47"/>
        <v>826.68365384608478</v>
      </c>
      <c r="V43" s="63">
        <f t="shared" si="47"/>
        <v>855.38269230767037</v>
      </c>
      <c r="W43" s="63">
        <f t="shared" si="47"/>
        <v>884.08173076925596</v>
      </c>
      <c r="X43" s="63">
        <f t="shared" si="47"/>
        <v>912.78076923084154</v>
      </c>
      <c r="Y43" s="63">
        <f t="shared" si="47"/>
        <v>941.47980769242713</v>
      </c>
      <c r="Z43" s="63">
        <f t="shared" si="47"/>
        <v>970.17884615401272</v>
      </c>
      <c r="AA43" s="63">
        <f t="shared" si="47"/>
        <v>998.8778846155983</v>
      </c>
      <c r="AB43" s="63">
        <f t="shared" si="47"/>
        <v>1027.5769230771839</v>
      </c>
      <c r="AC43" s="63">
        <f t="shared" si="47"/>
        <v>1056.2759615387695</v>
      </c>
      <c r="AD43" s="63">
        <f t="shared" si="47"/>
        <v>1084.9750000004424</v>
      </c>
    </row>
    <row r="44" spans="1:30" x14ac:dyDescent="0.35">
      <c r="A44" s="5"/>
      <c r="B44" s="11">
        <f>NPV('Cost Assumptions'!$B$3,'Valley S to Valley N to Vista'!D44:'Valley S to Valley N to Vista'!AD44)</f>
        <v>270551.44109136565</v>
      </c>
      <c r="C44" s="88" t="s">
        <v>152</v>
      </c>
      <c r="D44" s="63">
        <f>D43*D39</f>
        <v>13551.999999965192</v>
      </c>
      <c r="E44" s="63">
        <f>E43*E39</f>
        <v>15067.460576889331</v>
      </c>
      <c r="F44" s="63">
        <f>F43*F39</f>
        <v>16650.224182659698</v>
      </c>
      <c r="G44" s="63">
        <f>G43*G39</f>
        <v>18302.708805858027</v>
      </c>
      <c r="H44" s="63">
        <f t="shared" ref="H44:AD44" si="48">H43*H39</f>
        <v>20027.411270102108</v>
      </c>
      <c r="I44" s="63">
        <f t="shared" si="48"/>
        <v>21826.909664554732</v>
      </c>
      <c r="J44" s="63">
        <f t="shared" si="48"/>
        <v>23703.865846686174</v>
      </c>
      <c r="K44" s="63">
        <f t="shared" si="48"/>
        <v>25661.028019383844</v>
      </c>
      <c r="L44" s="63">
        <f t="shared" si="48"/>
        <v>27701.233384562216</v>
      </c>
      <c r="M44" s="63">
        <f t="shared" si="48"/>
        <v>29827.410875487389</v>
      </c>
      <c r="N44" s="63">
        <f t="shared" si="48"/>
        <v>32042.58397009347</v>
      </c>
      <c r="O44" s="63">
        <f t="shared" si="48"/>
        <v>34349.873587632675</v>
      </c>
      <c r="P44" s="63">
        <f t="shared" si="48"/>
        <v>36752.501071067534</v>
      </c>
      <c r="Q44" s="63">
        <f t="shared" si="48"/>
        <v>39253.791257681863</v>
      </c>
      <c r="R44" s="63">
        <f t="shared" si="48"/>
        <v>41857.175640457492</v>
      </c>
      <c r="S44" s="63">
        <f t="shared" si="48"/>
        <v>44566.195622835854</v>
      </c>
      <c r="T44" s="63">
        <f t="shared" si="48"/>
        <v>47384.505869557841</v>
      </c>
      <c r="U44" s="63">
        <f t="shared" si="48"/>
        <v>50315.877756351656</v>
      </c>
      <c r="V44" s="63">
        <f t="shared" si="48"/>
        <v>53364.20292131669</v>
      </c>
      <c r="W44" s="63">
        <f t="shared" si="48"/>
        <v>56533.496920932259</v>
      </c>
      <c r="X44" s="63">
        <f t="shared" si="48"/>
        <v>59827.902993702781</v>
      </c>
      <c r="Y44" s="63">
        <f t="shared" si="48"/>
        <v>63251.695934536248</v>
      </c>
      <c r="Z44" s="63">
        <f t="shared" si="48"/>
        <v>66809.286083040322</v>
      </c>
      <c r="AA44" s="63">
        <f t="shared" si="48"/>
        <v>70505.223429010526</v>
      </c>
      <c r="AB44" s="63">
        <f t="shared" si="48"/>
        <v>74344.201838477326</v>
      </c>
      <c r="AC44" s="63">
        <f t="shared" si="48"/>
        <v>78331.063403774329</v>
      </c>
      <c r="AD44" s="63">
        <f t="shared" si="48"/>
        <v>82470.802921193768</v>
      </c>
    </row>
    <row r="45" spans="1:30" x14ac:dyDescent="0.35">
      <c r="A45" s="5">
        <f>SUM(D45:AD45)/1000</f>
        <v>2.7526499999999992</v>
      </c>
      <c r="B45" s="11">
        <f>NPV('Cost Assumptions'!$B$3,'Valley S to Valley N to Vista'!D45:'Valley S to Valley N to Vista'!AD45)</f>
        <v>399.52411549923175</v>
      </c>
      <c r="C45" s="88" t="s">
        <v>31</v>
      </c>
      <c r="D45" s="63">
        <f t="shared" ref="D45:AD45" si="49">D3-D19</f>
        <v>4.2000000000000171</v>
      </c>
      <c r="E45" s="63">
        <f t="shared" si="49"/>
        <v>6.0166666666666799</v>
      </c>
      <c r="F45" s="63">
        <f t="shared" si="49"/>
        <v>6.7133333333333383</v>
      </c>
      <c r="G45" s="63">
        <f t="shared" si="49"/>
        <v>7.4099999999999966</v>
      </c>
      <c r="H45" s="63">
        <f t="shared" si="49"/>
        <v>8.1066666666666549</v>
      </c>
      <c r="I45" s="63">
        <f t="shared" si="49"/>
        <v>8.8033333333333132</v>
      </c>
      <c r="J45" s="63">
        <f t="shared" si="49"/>
        <v>9.4999999999999716</v>
      </c>
      <c r="K45" s="63">
        <f t="shared" si="49"/>
        <v>6.75</v>
      </c>
      <c r="L45" s="63">
        <f t="shared" si="49"/>
        <v>4.0000000000000284</v>
      </c>
      <c r="M45" s="63">
        <f t="shared" si="49"/>
        <v>1.2500000000000568</v>
      </c>
      <c r="N45" s="63">
        <f t="shared" si="49"/>
        <v>-1.4999999999999432</v>
      </c>
      <c r="O45" s="63">
        <f t="shared" si="49"/>
        <v>57.566666666666748</v>
      </c>
      <c r="P45" s="63">
        <f t="shared" si="49"/>
        <v>59.773333333333426</v>
      </c>
      <c r="Q45" s="63">
        <f t="shared" si="49"/>
        <v>61.980000000000075</v>
      </c>
      <c r="R45" s="63">
        <f t="shared" si="49"/>
        <v>64.186666666666724</v>
      </c>
      <c r="S45" s="63">
        <f t="shared" si="49"/>
        <v>66.39333333333343</v>
      </c>
      <c r="T45" s="63">
        <f t="shared" si="49"/>
        <v>68.600000000000136</v>
      </c>
      <c r="U45" s="63">
        <f t="shared" si="49"/>
        <v>121.82000000000005</v>
      </c>
      <c r="V45" s="63">
        <f t="shared" si="49"/>
        <v>175.03999999999996</v>
      </c>
      <c r="W45" s="63">
        <f t="shared" si="49"/>
        <v>228.26</v>
      </c>
      <c r="X45" s="63">
        <f t="shared" si="49"/>
        <v>281.48</v>
      </c>
      <c r="Y45" s="63">
        <f t="shared" si="49"/>
        <v>179.39999999999941</v>
      </c>
      <c r="Z45" s="63">
        <f t="shared" si="49"/>
        <v>208.05999999999949</v>
      </c>
      <c r="AA45" s="63">
        <f t="shared" si="49"/>
        <v>236.71999999999957</v>
      </c>
      <c r="AB45" s="63">
        <f t="shared" si="49"/>
        <v>265.37999999999965</v>
      </c>
      <c r="AC45" s="63">
        <f t="shared" si="49"/>
        <v>294.03999999999996</v>
      </c>
      <c r="AD45" s="63">
        <f t="shared" si="49"/>
        <v>322.70000000000027</v>
      </c>
    </row>
    <row r="46" spans="1:30" x14ac:dyDescent="0.35">
      <c r="A46" s="5">
        <f t="shared" ref="A46:A57" si="50">SUM(D46:AD46)/1000</f>
        <v>-0.14979999999999977</v>
      </c>
      <c r="B46" s="11">
        <f>NPV('Cost Assumptions'!$B$3,'Valley S to Valley N to Vista'!D46:'Valley S to Valley N to Vista'!AD46)</f>
        <v>-35.07387381283089</v>
      </c>
      <c r="C46" s="88" t="s">
        <v>32</v>
      </c>
      <c r="D46" s="63">
        <f t="shared" ref="D46:AD46" si="51">D4-D20</f>
        <v>-1</v>
      </c>
      <c r="E46" s="63">
        <f t="shared" si="51"/>
        <v>-1.916666666666667</v>
      </c>
      <c r="F46" s="63">
        <f t="shared" si="51"/>
        <v>-2.1533333333333387</v>
      </c>
      <c r="G46" s="63">
        <f t="shared" si="51"/>
        <v>-2.3900000000000095</v>
      </c>
      <c r="H46" s="63">
        <f t="shared" si="51"/>
        <v>-2.6266666666666794</v>
      </c>
      <c r="I46" s="63">
        <f t="shared" si="51"/>
        <v>-2.8633333333333493</v>
      </c>
      <c r="J46" s="63">
        <f t="shared" si="51"/>
        <v>-3.1000000000000227</v>
      </c>
      <c r="K46" s="63">
        <f t="shared" si="51"/>
        <v>-3.9400000000000084</v>
      </c>
      <c r="L46" s="63">
        <f t="shared" si="51"/>
        <v>-4.779999999999994</v>
      </c>
      <c r="M46" s="63">
        <f t="shared" si="51"/>
        <v>-5.6199999999999797</v>
      </c>
      <c r="N46" s="63">
        <f t="shared" si="51"/>
        <v>-6.4599999999999653</v>
      </c>
      <c r="O46" s="63">
        <f t="shared" si="51"/>
        <v>-6.3499999999999659</v>
      </c>
      <c r="P46" s="63">
        <f t="shared" si="51"/>
        <v>-5.6799999999999713</v>
      </c>
      <c r="Q46" s="63">
        <f t="shared" si="51"/>
        <v>-5.0099999999999767</v>
      </c>
      <c r="R46" s="63">
        <f t="shared" si="51"/>
        <v>-4.3399999999999821</v>
      </c>
      <c r="S46" s="63">
        <f t="shared" si="51"/>
        <v>-3.6699999999999875</v>
      </c>
      <c r="T46" s="63">
        <f t="shared" si="51"/>
        <v>-3</v>
      </c>
      <c r="U46" s="63">
        <f t="shared" si="51"/>
        <v>-3.3600000000000065</v>
      </c>
      <c r="V46" s="63">
        <f t="shared" si="51"/>
        <v>-3.7200000000000131</v>
      </c>
      <c r="W46" s="63">
        <f t="shared" si="51"/>
        <v>-4.0800000000000196</v>
      </c>
      <c r="X46" s="63">
        <f t="shared" si="51"/>
        <v>-4.4400000000000261</v>
      </c>
      <c r="Y46" s="63">
        <f t="shared" si="51"/>
        <v>-4.8000000000000256</v>
      </c>
      <c r="Z46" s="63">
        <f t="shared" si="51"/>
        <v>-7.5</v>
      </c>
      <c r="AA46" s="63">
        <f t="shared" si="51"/>
        <v>-10.199999999999974</v>
      </c>
      <c r="AB46" s="63">
        <f t="shared" si="51"/>
        <v>-12.899999999999949</v>
      </c>
      <c r="AC46" s="63">
        <f t="shared" si="51"/>
        <v>-15.599999999999923</v>
      </c>
      <c r="AD46" s="63">
        <f t="shared" si="51"/>
        <v>-18.299999999999926</v>
      </c>
    </row>
    <row r="47" spans="1:30" x14ac:dyDescent="0.35">
      <c r="A47" s="5">
        <f t="shared" si="50"/>
        <v>0.27719706757332963</v>
      </c>
      <c r="B47" s="11">
        <f>NPV('Cost Assumptions'!$B$3,'Valley S to Valley N to Vista'!D47:'Valley S to Valley N to Vista'!AD47)</f>
        <v>14.304616225082567</v>
      </c>
      <c r="C47" s="88" t="s">
        <v>33</v>
      </c>
      <c r="D47" s="63">
        <f t="shared" ref="D47:AD47" si="52">D5-D21</f>
        <v>6.8917982049977566E-2</v>
      </c>
      <c r="E47" s="63">
        <f t="shared" si="52"/>
        <v>0.15906981935651673</v>
      </c>
      <c r="F47" s="63">
        <f t="shared" si="52"/>
        <v>0.18882910507601286</v>
      </c>
      <c r="G47" s="63">
        <f t="shared" si="52"/>
        <v>0.21858839079550896</v>
      </c>
      <c r="H47" s="63">
        <f t="shared" si="52"/>
        <v>0.24834767651500511</v>
      </c>
      <c r="I47" s="63">
        <f t="shared" si="52"/>
        <v>0.27810696223450126</v>
      </c>
      <c r="J47" s="63">
        <f t="shared" si="52"/>
        <v>0.30786624795399731</v>
      </c>
      <c r="K47" s="63">
        <f t="shared" si="52"/>
        <v>-2.9087713262150592</v>
      </c>
      <c r="L47" s="63">
        <f t="shared" si="52"/>
        <v>-6.1254089003841159</v>
      </c>
      <c r="M47" s="63">
        <f t="shared" si="52"/>
        <v>-9.3420464745531717</v>
      </c>
      <c r="N47" s="63">
        <f t="shared" si="52"/>
        <v>-12.558684048722229</v>
      </c>
      <c r="O47" s="63">
        <f t="shared" si="52"/>
        <v>-12.559846483658303</v>
      </c>
      <c r="P47" s="63">
        <f t="shared" si="52"/>
        <v>-9.3979017059551389</v>
      </c>
      <c r="Q47" s="63">
        <f t="shared" si="52"/>
        <v>-6.2359569282519747</v>
      </c>
      <c r="R47" s="63">
        <f t="shared" si="52"/>
        <v>-3.0740121505488105</v>
      </c>
      <c r="S47" s="63">
        <f t="shared" si="52"/>
        <v>8.7932627154355458E-2</v>
      </c>
      <c r="T47" s="63">
        <f t="shared" si="52"/>
        <v>3.2498774048575179</v>
      </c>
      <c r="U47" s="63">
        <f t="shared" si="52"/>
        <v>6.8877766962458651</v>
      </c>
      <c r="V47" s="63">
        <f t="shared" si="52"/>
        <v>10.525675987634216</v>
      </c>
      <c r="W47" s="63">
        <f t="shared" si="52"/>
        <v>14.163575279022567</v>
      </c>
      <c r="X47" s="63">
        <f t="shared" si="52"/>
        <v>17.801474570410917</v>
      </c>
      <c r="Y47" s="63">
        <f t="shared" si="52"/>
        <v>21.439373861799254</v>
      </c>
      <c r="Z47" s="63">
        <f t="shared" si="52"/>
        <v>31.877868106566979</v>
      </c>
      <c r="AA47" s="63">
        <f t="shared" si="52"/>
        <v>42.316362351334703</v>
      </c>
      <c r="AB47" s="63">
        <f t="shared" si="52"/>
        <v>52.754856596102428</v>
      </c>
      <c r="AC47" s="63">
        <f t="shared" si="52"/>
        <v>63.193350840870181</v>
      </c>
      <c r="AD47" s="63">
        <f t="shared" si="52"/>
        <v>73.631845085637906</v>
      </c>
    </row>
    <row r="48" spans="1:30" x14ac:dyDescent="0.35">
      <c r="A48" s="5">
        <f t="shared" si="50"/>
        <v>1.3885839790270084E-3</v>
      </c>
      <c r="B48" s="11">
        <f>NPV('Cost Assumptions'!$B$3,'Valley S to Valley N to Vista'!D48:'Valley S to Valley N to Vista'!AD48)</f>
        <v>0.17509021452793863</v>
      </c>
      <c r="C48" s="88" t="s">
        <v>34</v>
      </c>
      <c r="D48" s="63">
        <f t="shared" ref="D48:AD48" si="53">D6-D22</f>
        <v>7.5996463269141067E-4</v>
      </c>
      <c r="E48" s="63">
        <f t="shared" si="53"/>
        <v>4.541872046191173E-3</v>
      </c>
      <c r="F48" s="63">
        <f t="shared" si="53"/>
        <v>3.8850528478319817E-3</v>
      </c>
      <c r="G48" s="63">
        <f t="shared" si="53"/>
        <v>3.2282336494727851E-3</v>
      </c>
      <c r="H48" s="63">
        <f t="shared" si="53"/>
        <v>2.571414451113592E-3</v>
      </c>
      <c r="I48" s="63">
        <f t="shared" si="53"/>
        <v>1.9145952527543988E-3</v>
      </c>
      <c r="J48" s="63">
        <f t="shared" si="53"/>
        <v>1.2577760543952127E-3</v>
      </c>
      <c r="K48" s="63">
        <f t="shared" si="53"/>
        <v>-3.5945948340189993E-3</v>
      </c>
      <c r="L48" s="63">
        <f t="shared" si="53"/>
        <v>-8.4469657224332112E-3</v>
      </c>
      <c r="M48" s="63">
        <f t="shared" si="53"/>
        <v>-1.3299336610847423E-2</v>
      </c>
      <c r="N48" s="63">
        <f t="shared" si="53"/>
        <v>-1.8151707499261621E-2</v>
      </c>
      <c r="O48" s="63">
        <f t="shared" si="53"/>
        <v>3.3966432972864169E-2</v>
      </c>
      <c r="P48" s="63">
        <f t="shared" si="53"/>
        <v>3.2892044053172698E-2</v>
      </c>
      <c r="Q48" s="63">
        <f t="shared" si="53"/>
        <v>3.1817655133481226E-2</v>
      </c>
      <c r="R48" s="63">
        <f t="shared" si="53"/>
        <v>3.0743266213789755E-2</v>
      </c>
      <c r="S48" s="63">
        <f t="shared" si="53"/>
        <v>2.9668877294098228E-2</v>
      </c>
      <c r="T48" s="63">
        <f t="shared" si="53"/>
        <v>2.8594488374406812E-2</v>
      </c>
      <c r="U48" s="63">
        <f t="shared" si="53"/>
        <v>4.333719303946082E-2</v>
      </c>
      <c r="V48" s="63">
        <f t="shared" si="53"/>
        <v>5.8079897704514827E-2</v>
      </c>
      <c r="W48" s="63">
        <f t="shared" si="53"/>
        <v>7.2822602369568834E-2</v>
      </c>
      <c r="X48" s="63">
        <f t="shared" si="53"/>
        <v>8.7565307034622952E-2</v>
      </c>
      <c r="Y48" s="63">
        <f t="shared" si="53"/>
        <v>0.10230801169967685</v>
      </c>
      <c r="Z48" s="63">
        <f t="shared" si="53"/>
        <v>0.12568013439108205</v>
      </c>
      <c r="AA48" s="63">
        <f t="shared" si="53"/>
        <v>0.14905225708248726</v>
      </c>
      <c r="AB48" s="63">
        <f t="shared" si="53"/>
        <v>0.17242437977389224</v>
      </c>
      <c r="AC48" s="63">
        <f t="shared" si="53"/>
        <v>0.19579650246529745</v>
      </c>
      <c r="AD48" s="63">
        <f t="shared" si="53"/>
        <v>0.2191686251567031</v>
      </c>
    </row>
    <row r="49" spans="1:30" x14ac:dyDescent="0.35">
      <c r="A49" s="5">
        <f t="shared" si="50"/>
        <v>1.0774999999999999</v>
      </c>
      <c r="B49" s="11">
        <f>NPV('Cost Assumptions'!$B$3,'Valley S to Valley N to Vista'!D49:'Valley S to Valley N to Vista'!AD49)</f>
        <v>266.95611400997069</v>
      </c>
      <c r="C49" s="88" t="s">
        <v>35</v>
      </c>
      <c r="D49" s="63">
        <f t="shared" ref="D49:AD49" si="54">D7-D23</f>
        <v>11</v>
      </c>
      <c r="E49" s="63">
        <f t="shared" si="54"/>
        <v>17.166666666666668</v>
      </c>
      <c r="F49" s="63">
        <f t="shared" si="54"/>
        <v>18.533333333333331</v>
      </c>
      <c r="G49" s="63">
        <f t="shared" si="54"/>
        <v>19.899999999999999</v>
      </c>
      <c r="H49" s="63">
        <f t="shared" si="54"/>
        <v>21.266666666666666</v>
      </c>
      <c r="I49" s="63">
        <f t="shared" si="54"/>
        <v>22.633333333333333</v>
      </c>
      <c r="J49" s="63">
        <f t="shared" si="54"/>
        <v>24</v>
      </c>
      <c r="K49" s="63">
        <f t="shared" si="54"/>
        <v>25.55</v>
      </c>
      <c r="L49" s="63">
        <f t="shared" si="54"/>
        <v>27.1</v>
      </c>
      <c r="M49" s="63">
        <f t="shared" si="54"/>
        <v>28.650000000000002</v>
      </c>
      <c r="N49" s="63">
        <f t="shared" si="54"/>
        <v>30.200000000000003</v>
      </c>
      <c r="O49" s="63">
        <f t="shared" si="54"/>
        <v>34.833333333333336</v>
      </c>
      <c r="P49" s="63">
        <f t="shared" si="54"/>
        <v>37.666666666666671</v>
      </c>
      <c r="Q49" s="63">
        <f t="shared" si="54"/>
        <v>40.5</v>
      </c>
      <c r="R49" s="63">
        <f t="shared" si="54"/>
        <v>43.333333333333329</v>
      </c>
      <c r="S49" s="63">
        <f t="shared" si="54"/>
        <v>46.166666666666657</v>
      </c>
      <c r="T49" s="63">
        <f t="shared" si="54"/>
        <v>49</v>
      </c>
      <c r="U49" s="63">
        <f t="shared" si="54"/>
        <v>50.800000000000004</v>
      </c>
      <c r="V49" s="63">
        <f t="shared" si="54"/>
        <v>52.600000000000009</v>
      </c>
      <c r="W49" s="63">
        <f t="shared" si="54"/>
        <v>54.400000000000013</v>
      </c>
      <c r="X49" s="63">
        <f t="shared" si="54"/>
        <v>56.200000000000017</v>
      </c>
      <c r="Y49" s="63">
        <f t="shared" si="54"/>
        <v>58</v>
      </c>
      <c r="Z49" s="63">
        <f t="shared" si="54"/>
        <v>59.199999999999989</v>
      </c>
      <c r="AA49" s="63">
        <f t="shared" si="54"/>
        <v>60.399999999999977</v>
      </c>
      <c r="AB49" s="63">
        <f t="shared" si="54"/>
        <v>61.599999999999966</v>
      </c>
      <c r="AC49" s="63">
        <f t="shared" si="54"/>
        <v>62.799999999999955</v>
      </c>
      <c r="AD49" s="63">
        <f t="shared" si="54"/>
        <v>64</v>
      </c>
    </row>
    <row r="50" spans="1:30" s="62" customFormat="1" x14ac:dyDescent="0.35">
      <c r="A50" s="5">
        <f t="shared" si="50"/>
        <v>233.80450234722554</v>
      </c>
      <c r="B50" s="11">
        <f>NPV('Cost Assumptions'!$B$3,'Valley S to Valley N to Vista'!D50:'Valley S to Valley N to Vista'!AD50)</f>
        <v>53918.136094856709</v>
      </c>
      <c r="C50" s="86" t="s">
        <v>153</v>
      </c>
      <c r="D50" s="63">
        <f>D13-D24</f>
        <v>1637.4650100268436</v>
      </c>
      <c r="E50" s="63">
        <f t="shared" ref="E50:AD50" si="55">E13-E24</f>
        <v>2177.3309561137412</v>
      </c>
      <c r="F50" s="63">
        <f t="shared" si="55"/>
        <v>2717.1969022006379</v>
      </c>
      <c r="G50" s="63">
        <f t="shared" si="55"/>
        <v>3257.0628482875345</v>
      </c>
      <c r="H50" s="63">
        <f t="shared" si="55"/>
        <v>3796.928794374433</v>
      </c>
      <c r="I50" s="63">
        <f t="shared" si="55"/>
        <v>4336.7947404613296</v>
      </c>
      <c r="J50" s="63">
        <f t="shared" si="55"/>
        <v>4876.6606865482263</v>
      </c>
      <c r="K50" s="63">
        <f t="shared" si="55"/>
        <v>5416.526632635123</v>
      </c>
      <c r="L50" s="63">
        <f t="shared" si="55"/>
        <v>6056.3925787219796</v>
      </c>
      <c r="M50" s="63">
        <f t="shared" si="55"/>
        <v>6496.2585248089163</v>
      </c>
      <c r="N50" s="63">
        <f t="shared" si="55"/>
        <v>7036.1244708958129</v>
      </c>
      <c r="O50" s="63">
        <f t="shared" si="55"/>
        <v>7575.9904169827096</v>
      </c>
      <c r="P50" s="63">
        <f t="shared" si="55"/>
        <v>8115.8563630696081</v>
      </c>
      <c r="Q50" s="63">
        <f t="shared" si="55"/>
        <v>8655.7223091565029</v>
      </c>
      <c r="R50" s="63">
        <f t="shared" si="55"/>
        <v>9195.5882552433977</v>
      </c>
      <c r="S50" s="63">
        <f t="shared" si="55"/>
        <v>9735.4542013302962</v>
      </c>
      <c r="T50" s="63">
        <f t="shared" si="55"/>
        <v>10275.320147417195</v>
      </c>
      <c r="U50" s="63">
        <f t="shared" si="55"/>
        <v>10815.18609350409</v>
      </c>
      <c r="V50" s="63">
        <f t="shared" si="55"/>
        <v>11355.052039590984</v>
      </c>
      <c r="W50" s="63">
        <f t="shared" si="55"/>
        <v>11894.917985677883</v>
      </c>
      <c r="X50" s="63">
        <f t="shared" si="55"/>
        <v>12434.783931764781</v>
      </c>
      <c r="Y50" s="63">
        <f t="shared" si="55"/>
        <v>12974.649877851676</v>
      </c>
      <c r="Z50" s="63">
        <f t="shared" si="55"/>
        <v>13514.515823938571</v>
      </c>
      <c r="AA50" s="63">
        <f t="shared" si="55"/>
        <v>14054.381770025469</v>
      </c>
      <c r="AB50" s="63">
        <f t="shared" si="55"/>
        <v>14594.247716112368</v>
      </c>
      <c r="AC50" s="63">
        <f t="shared" si="55"/>
        <v>15134.113662199263</v>
      </c>
      <c r="AD50" s="63">
        <f t="shared" si="55"/>
        <v>15673.979608286165</v>
      </c>
    </row>
    <row r="51" spans="1:30" s="62" customFormat="1" x14ac:dyDescent="0.35">
      <c r="A51" s="5">
        <f t="shared" si="50"/>
        <v>0</v>
      </c>
      <c r="B51" s="11">
        <f>NPV('Cost Assumptions'!$B$3,'Valley S to Valley N to Vista'!D51:'Valley S to Valley N to Vista'!AD51)</f>
        <v>0</v>
      </c>
      <c r="C51" s="86" t="s">
        <v>154</v>
      </c>
      <c r="D51" s="63">
        <f>D14-D25</f>
        <v>0</v>
      </c>
      <c r="E51" s="63">
        <f t="shared" ref="E51:AD51" si="56">E14-E25</f>
        <v>0</v>
      </c>
      <c r="F51" s="63">
        <f t="shared" si="56"/>
        <v>0</v>
      </c>
      <c r="G51" s="63">
        <f t="shared" si="56"/>
        <v>0</v>
      </c>
      <c r="H51" s="63">
        <f t="shared" si="56"/>
        <v>0</v>
      </c>
      <c r="I51" s="63">
        <f t="shared" si="56"/>
        <v>0</v>
      </c>
      <c r="J51" s="63">
        <f t="shared" si="56"/>
        <v>0</v>
      </c>
      <c r="K51" s="63">
        <f t="shared" si="56"/>
        <v>0</v>
      </c>
      <c r="L51" s="63">
        <f t="shared" si="56"/>
        <v>0</v>
      </c>
      <c r="M51" s="63">
        <f t="shared" si="56"/>
        <v>0</v>
      </c>
      <c r="N51" s="63">
        <f t="shared" si="56"/>
        <v>0</v>
      </c>
      <c r="O51" s="63">
        <f t="shared" si="56"/>
        <v>0</v>
      </c>
      <c r="P51" s="63">
        <f t="shared" si="56"/>
        <v>0</v>
      </c>
      <c r="Q51" s="63">
        <f t="shared" si="56"/>
        <v>0</v>
      </c>
      <c r="R51" s="63">
        <f t="shared" si="56"/>
        <v>0</v>
      </c>
      <c r="S51" s="63">
        <f t="shared" si="56"/>
        <v>0</v>
      </c>
      <c r="T51" s="63">
        <f t="shared" si="56"/>
        <v>0</v>
      </c>
      <c r="U51" s="63">
        <f t="shared" si="56"/>
        <v>0</v>
      </c>
      <c r="V51" s="63">
        <f t="shared" si="56"/>
        <v>0</v>
      </c>
      <c r="W51" s="63">
        <f t="shared" si="56"/>
        <v>0</v>
      </c>
      <c r="X51" s="63">
        <f t="shared" si="56"/>
        <v>0</v>
      </c>
      <c r="Y51" s="63">
        <f t="shared" si="56"/>
        <v>0</v>
      </c>
      <c r="Z51" s="63">
        <f t="shared" si="56"/>
        <v>0</v>
      </c>
      <c r="AA51" s="63">
        <f t="shared" si="56"/>
        <v>0</v>
      </c>
      <c r="AB51" s="63">
        <f t="shared" si="56"/>
        <v>0</v>
      </c>
      <c r="AC51" s="63">
        <f t="shared" si="56"/>
        <v>0</v>
      </c>
      <c r="AD51" s="63">
        <f t="shared" si="56"/>
        <v>0</v>
      </c>
    </row>
    <row r="52" spans="1:30" s="82" customFormat="1" x14ac:dyDescent="0.35">
      <c r="A52" s="5">
        <f t="shared" si="50"/>
        <v>1848.4207520057885</v>
      </c>
      <c r="B52" s="11">
        <f>NPV('Cost Assumptions'!$B$3,'Valley S to Valley N to Vista'!D52:'Valley S to Valley N to Vista'!AD52)</f>
        <v>528219.78220107977</v>
      </c>
      <c r="C52" s="86" t="s">
        <v>155</v>
      </c>
      <c r="D52" s="63">
        <f>D15-D26</f>
        <v>41950.270664950898</v>
      </c>
      <c r="E52" s="63">
        <f t="shared" ref="E52:AD52" si="57">E15-E26</f>
        <v>44543.511863020707</v>
      </c>
      <c r="F52" s="63">
        <f t="shared" si="57"/>
        <v>45828.868549568069</v>
      </c>
      <c r="G52" s="63">
        <f t="shared" si="57"/>
        <v>47153.388319177473</v>
      </c>
      <c r="H52" s="63">
        <f t="shared" si="57"/>
        <v>48574.508171559806</v>
      </c>
      <c r="I52" s="63">
        <f t="shared" si="57"/>
        <v>50215.756740615325</v>
      </c>
      <c r="J52" s="63">
        <f t="shared" si="57"/>
        <v>51874.628505256784</v>
      </c>
      <c r="K52" s="63">
        <f t="shared" si="57"/>
        <v>53948.57443924679</v>
      </c>
      <c r="L52" s="63">
        <f t="shared" si="57"/>
        <v>56088.226650565055</v>
      </c>
      <c r="M52" s="63">
        <f t="shared" si="57"/>
        <v>58289.349617770917</v>
      </c>
      <c r="N52" s="63">
        <f t="shared" si="57"/>
        <v>60550.041456789753</v>
      </c>
      <c r="O52" s="63">
        <f t="shared" si="57"/>
        <v>62901.781122832261</v>
      </c>
      <c r="P52" s="63">
        <f t="shared" si="57"/>
        <v>65336.06110877014</v>
      </c>
      <c r="Q52" s="63">
        <f t="shared" si="57"/>
        <v>67785.831116802379</v>
      </c>
      <c r="R52" s="63">
        <f t="shared" si="57"/>
        <v>70278.290238368936</v>
      </c>
      <c r="S52" s="63">
        <f t="shared" si="57"/>
        <v>72822.215885590063</v>
      </c>
      <c r="T52" s="63">
        <f t="shared" si="57"/>
        <v>75385.324227160687</v>
      </c>
      <c r="U52" s="63">
        <f t="shared" si="57"/>
        <v>77761.621420701849</v>
      </c>
      <c r="V52" s="63">
        <f t="shared" si="57"/>
        <v>80141.816348201392</v>
      </c>
      <c r="W52" s="63">
        <f t="shared" si="57"/>
        <v>82517.070702119643</v>
      </c>
      <c r="X52" s="63">
        <f t="shared" si="57"/>
        <v>84916.872847499122</v>
      </c>
      <c r="Y52" s="63">
        <f t="shared" si="57"/>
        <v>86969.427205090877</v>
      </c>
      <c r="Z52" s="63">
        <f t="shared" si="57"/>
        <v>88983.439541289321</v>
      </c>
      <c r="AA52" s="63">
        <f t="shared" si="57"/>
        <v>90925.104045702174</v>
      </c>
      <c r="AB52" s="63">
        <f t="shared" si="57"/>
        <v>92815.793002230304</v>
      </c>
      <c r="AC52" s="63">
        <f t="shared" si="57"/>
        <v>94275.031559094467</v>
      </c>
      <c r="AD52" s="63">
        <f t="shared" si="57"/>
        <v>95587.946655813459</v>
      </c>
    </row>
    <row r="53" spans="1:30" x14ac:dyDescent="0.35">
      <c r="A53" s="5">
        <f t="shared" si="50"/>
        <v>53.6999</v>
      </c>
      <c r="B53" s="11">
        <f>NPV('Cost Assumptions'!$B$3,'Valley S to Valley N to Vista'!D53:'Valley S to Valley N to Vista'!AD53)</f>
        <v>8396.7463955783933</v>
      </c>
      <c r="C53" s="88" t="s">
        <v>31</v>
      </c>
      <c r="D53" s="63">
        <f>D8-SUM(D28,D27)</f>
        <v>22.2</v>
      </c>
      <c r="E53" s="63">
        <f t="shared" ref="E53:AD53" si="58">E8-SUM(E28,E27)</f>
        <v>65.8</v>
      </c>
      <c r="F53" s="63">
        <f t="shared" si="58"/>
        <v>102.72</v>
      </c>
      <c r="G53" s="63">
        <f t="shared" si="58"/>
        <v>139.63999999999999</v>
      </c>
      <c r="H53" s="63">
        <f t="shared" si="58"/>
        <v>176.56</v>
      </c>
      <c r="I53" s="63">
        <f t="shared" si="58"/>
        <v>213.48000000000002</v>
      </c>
      <c r="J53" s="63">
        <f t="shared" si="58"/>
        <v>250.4</v>
      </c>
      <c r="K53" s="63">
        <f t="shared" si="58"/>
        <v>348.67500000000001</v>
      </c>
      <c r="L53" s="63">
        <f t="shared" si="58"/>
        <v>446.95000000000005</v>
      </c>
      <c r="M53" s="63">
        <f t="shared" si="58"/>
        <v>545.22500000000002</v>
      </c>
      <c r="N53" s="63">
        <f t="shared" si="58"/>
        <v>643.5</v>
      </c>
      <c r="O53" s="63">
        <f t="shared" si="58"/>
        <v>904.91666666666674</v>
      </c>
      <c r="P53" s="63">
        <f t="shared" si="58"/>
        <v>1166.3333333333335</v>
      </c>
      <c r="Q53" s="63">
        <f t="shared" si="58"/>
        <v>1427.7500000000002</v>
      </c>
      <c r="R53" s="63">
        <f t="shared" si="58"/>
        <v>1689.166666666667</v>
      </c>
      <c r="S53" s="63">
        <f t="shared" si="58"/>
        <v>1950.5833333333337</v>
      </c>
      <c r="T53" s="63">
        <f t="shared" si="58"/>
        <v>2212</v>
      </c>
      <c r="U53" s="63">
        <f t="shared" si="58"/>
        <v>2606.48</v>
      </c>
      <c r="V53" s="63">
        <f t="shared" si="58"/>
        <v>3000.96</v>
      </c>
      <c r="W53" s="63">
        <f t="shared" si="58"/>
        <v>3369.3733333333334</v>
      </c>
      <c r="X53" s="63">
        <f t="shared" si="58"/>
        <v>3737.7866666666669</v>
      </c>
      <c r="Y53" s="63">
        <f t="shared" si="58"/>
        <v>4101.8</v>
      </c>
      <c r="Z53" s="63">
        <f t="shared" si="58"/>
        <v>4373.0400000000009</v>
      </c>
      <c r="AA53" s="63">
        <f t="shared" si="58"/>
        <v>4644.2800000000007</v>
      </c>
      <c r="AB53" s="63">
        <f t="shared" si="58"/>
        <v>4915.5200000000004</v>
      </c>
      <c r="AC53" s="63">
        <f t="shared" si="58"/>
        <v>5186.76</v>
      </c>
      <c r="AD53" s="63">
        <f t="shared" si="58"/>
        <v>5457.9999999999982</v>
      </c>
    </row>
    <row r="54" spans="1:30" x14ac:dyDescent="0.35">
      <c r="A54" s="5">
        <f t="shared" si="50"/>
        <v>3.5688</v>
      </c>
      <c r="B54" s="11">
        <f>NPV('Cost Assumptions'!$B$3,'Valley S to Valley N to Vista'!D54:'Valley S to Valley N to Vista'!AD54)</f>
        <v>806.87186447874512</v>
      </c>
      <c r="C54" s="88" t="s">
        <v>32</v>
      </c>
      <c r="D54" s="63">
        <f t="shared" ref="D54:AD54" si="59">D9-D29</f>
        <v>13</v>
      </c>
      <c r="E54" s="63">
        <f t="shared" si="59"/>
        <v>27</v>
      </c>
      <c r="F54" s="63">
        <f t="shared" si="59"/>
        <v>34.519999999999982</v>
      </c>
      <c r="G54" s="63">
        <f t="shared" si="59"/>
        <v>42.039999999999964</v>
      </c>
      <c r="H54" s="63">
        <f t="shared" si="59"/>
        <v>49.559999999999945</v>
      </c>
      <c r="I54" s="63">
        <f t="shared" si="59"/>
        <v>57.079999999999927</v>
      </c>
      <c r="J54" s="63">
        <f t="shared" si="59"/>
        <v>64.599999999999909</v>
      </c>
      <c r="K54" s="63">
        <f t="shared" si="59"/>
        <v>75.024999999999935</v>
      </c>
      <c r="L54" s="63">
        <f t="shared" si="59"/>
        <v>85.44999999999996</v>
      </c>
      <c r="M54" s="63">
        <f t="shared" si="59"/>
        <v>95.874999999999986</v>
      </c>
      <c r="N54" s="63">
        <f t="shared" si="59"/>
        <v>106.3</v>
      </c>
      <c r="O54" s="63">
        <f t="shared" si="59"/>
        <v>120.25</v>
      </c>
      <c r="P54" s="63">
        <f t="shared" si="59"/>
        <v>134.19999999999999</v>
      </c>
      <c r="Q54" s="63">
        <f t="shared" si="59"/>
        <v>148.14999999999998</v>
      </c>
      <c r="R54" s="63">
        <f t="shared" si="59"/>
        <v>162.09999999999997</v>
      </c>
      <c r="S54" s="63">
        <f t="shared" si="59"/>
        <v>176.04999999999995</v>
      </c>
      <c r="T54" s="63">
        <f t="shared" si="59"/>
        <v>190</v>
      </c>
      <c r="U54" s="63">
        <f t="shared" si="59"/>
        <v>201.2</v>
      </c>
      <c r="V54" s="63">
        <f t="shared" si="59"/>
        <v>212.39999999999998</v>
      </c>
      <c r="W54" s="63">
        <f t="shared" si="59"/>
        <v>213.26666666666662</v>
      </c>
      <c r="X54" s="63">
        <f t="shared" si="59"/>
        <v>214.1333333333333</v>
      </c>
      <c r="Y54" s="63">
        <f t="shared" si="59"/>
        <v>215</v>
      </c>
      <c r="Z54" s="63">
        <f t="shared" si="59"/>
        <v>205.44000000000003</v>
      </c>
      <c r="AA54" s="63">
        <f t="shared" si="59"/>
        <v>195.88000000000005</v>
      </c>
      <c r="AB54" s="63">
        <f t="shared" si="59"/>
        <v>186.32000000000005</v>
      </c>
      <c r="AC54" s="63">
        <f t="shared" si="59"/>
        <v>176.76000000000008</v>
      </c>
      <c r="AD54" s="63">
        <f t="shared" si="59"/>
        <v>167.2000000000001</v>
      </c>
    </row>
    <row r="55" spans="1:30" x14ac:dyDescent="0.35">
      <c r="A55" s="5">
        <f t="shared" si="50"/>
        <v>3.2607751485988361</v>
      </c>
      <c r="B55" s="11">
        <f>NPV('Cost Assumptions'!$B$3,'Valley S to Valley N to Vista'!D55:'Valley S to Valley N to Vista'!AD55)</f>
        <v>403.63449625798688</v>
      </c>
      <c r="C55" s="88" t="s">
        <v>33</v>
      </c>
      <c r="D55" s="63">
        <f t="shared" ref="D55:AD55" si="60">D10-D30</f>
        <v>4.7253529883901121E-2</v>
      </c>
      <c r="E55" s="63">
        <f t="shared" si="60"/>
        <v>0.28011551949195379</v>
      </c>
      <c r="F55" s="63">
        <f t="shared" si="60"/>
        <v>0.59718244793816533</v>
      </c>
      <c r="G55" s="63">
        <f t="shared" si="60"/>
        <v>0.91424937638437687</v>
      </c>
      <c r="H55" s="63">
        <f t="shared" si="60"/>
        <v>1.2313163048305884</v>
      </c>
      <c r="I55" s="63">
        <f t="shared" si="60"/>
        <v>1.5483832332767999</v>
      </c>
      <c r="J55" s="63">
        <f t="shared" si="60"/>
        <v>1.8654501617230115</v>
      </c>
      <c r="K55" s="63">
        <f t="shared" si="60"/>
        <v>3.796086780774603</v>
      </c>
      <c r="L55" s="63">
        <f t="shared" si="60"/>
        <v>5.726723399826195</v>
      </c>
      <c r="M55" s="63">
        <f t="shared" si="60"/>
        <v>7.6573600188777871</v>
      </c>
      <c r="N55" s="63">
        <f t="shared" si="60"/>
        <v>9.5879966379293773</v>
      </c>
      <c r="O55" s="63">
        <f t="shared" si="60"/>
        <v>22.507331657050738</v>
      </c>
      <c r="P55" s="63">
        <f t="shared" si="60"/>
        <v>35.426666676172097</v>
      </c>
      <c r="Q55" s="63">
        <f t="shared" si="60"/>
        <v>48.346001695293459</v>
      </c>
      <c r="R55" s="63">
        <f t="shared" si="60"/>
        <v>61.265336714414822</v>
      </c>
      <c r="S55" s="63">
        <f t="shared" si="60"/>
        <v>74.184671733536177</v>
      </c>
      <c r="T55" s="63">
        <f t="shared" si="60"/>
        <v>87.10400675265754</v>
      </c>
      <c r="U55" s="63">
        <f t="shared" si="60"/>
        <v>116.88846005819971</v>
      </c>
      <c r="V55" s="63">
        <f t="shared" si="60"/>
        <v>146.67291336374188</v>
      </c>
      <c r="W55" s="63">
        <f t="shared" si="60"/>
        <v>176.45609188321458</v>
      </c>
      <c r="X55" s="63">
        <f t="shared" si="60"/>
        <v>206.23927040268725</v>
      </c>
      <c r="Y55" s="63">
        <f t="shared" si="60"/>
        <v>236.02244892215998</v>
      </c>
      <c r="Z55" s="63">
        <f t="shared" si="60"/>
        <v>291.77562137002468</v>
      </c>
      <c r="AA55" s="63">
        <f t="shared" si="60"/>
        <v>347.52879381788944</v>
      </c>
      <c r="AB55" s="63">
        <f t="shared" si="60"/>
        <v>403.28196626575414</v>
      </c>
      <c r="AC55" s="63">
        <f t="shared" si="60"/>
        <v>459.03513871361884</v>
      </c>
      <c r="AD55" s="63">
        <f t="shared" si="60"/>
        <v>514.78831116148365</v>
      </c>
    </row>
    <row r="56" spans="1:30" x14ac:dyDescent="0.35">
      <c r="A56" s="5">
        <f t="shared" si="50"/>
        <v>5.9898255122310978E-2</v>
      </c>
      <c r="B56" s="11">
        <f>NPV('Cost Assumptions'!$B$3,'Valley S to Valley N to Vista'!D56:'Valley S to Valley N to Vista'!AD56)</f>
        <v>9.1856913228202277</v>
      </c>
      <c r="C56" s="88" t="s">
        <v>34</v>
      </c>
      <c r="D56" s="63">
        <f t="shared" ref="D56:AD56" si="61">D11-D31</f>
        <v>2.3626764941950561E-2</v>
      </c>
      <c r="E56" s="63">
        <f t="shared" si="61"/>
        <v>7.0028879872988448E-2</v>
      </c>
      <c r="F56" s="63">
        <f t="shared" si="61"/>
        <v>0.10932167994761965</v>
      </c>
      <c r="G56" s="63">
        <f t="shared" si="61"/>
        <v>0.14861448002225086</v>
      </c>
      <c r="H56" s="63">
        <f t="shared" si="61"/>
        <v>0.18790728009688207</v>
      </c>
      <c r="I56" s="63">
        <f t="shared" si="61"/>
        <v>0.22720008017151327</v>
      </c>
      <c r="J56" s="63">
        <f t="shared" si="61"/>
        <v>0.26649288024614448</v>
      </c>
      <c r="K56" s="63">
        <f t="shared" si="61"/>
        <v>0.37108388586191865</v>
      </c>
      <c r="L56" s="63">
        <f t="shared" si="61"/>
        <v>0.47567489147769282</v>
      </c>
      <c r="M56" s="63">
        <f t="shared" si="61"/>
        <v>0.58026589709346699</v>
      </c>
      <c r="N56" s="63">
        <f t="shared" si="61"/>
        <v>0.68485690270924116</v>
      </c>
      <c r="O56" s="63">
        <f t="shared" si="61"/>
        <v>0.96307447636877097</v>
      </c>
      <c r="P56" s="63">
        <f t="shared" si="61"/>
        <v>1.2412920500283007</v>
      </c>
      <c r="Q56" s="63">
        <f t="shared" si="61"/>
        <v>1.5195096236878305</v>
      </c>
      <c r="R56" s="63">
        <f t="shared" si="61"/>
        <v>1.7977271973473603</v>
      </c>
      <c r="S56" s="63">
        <f t="shared" si="61"/>
        <v>2.0759447710068901</v>
      </c>
      <c r="T56" s="63">
        <f t="shared" si="61"/>
        <v>2.3541623446664199</v>
      </c>
      <c r="U56" s="63">
        <f t="shared" si="61"/>
        <v>2.7739950579232056</v>
      </c>
      <c r="V56" s="63">
        <f t="shared" si="61"/>
        <v>3.1938277711799912</v>
      </c>
      <c r="W56" s="63">
        <f t="shared" si="61"/>
        <v>3.6123856983672908</v>
      </c>
      <c r="X56" s="63">
        <f t="shared" si="61"/>
        <v>4.030943625554591</v>
      </c>
      <c r="Y56" s="63">
        <f t="shared" si="61"/>
        <v>4.4495015527418902</v>
      </c>
      <c r="Z56" s="63">
        <f t="shared" si="61"/>
        <v>4.8823888572277117</v>
      </c>
      <c r="AA56" s="63">
        <f t="shared" si="61"/>
        <v>5.3152761617135322</v>
      </c>
      <c r="AB56" s="63">
        <f t="shared" si="61"/>
        <v>5.7481634661993537</v>
      </c>
      <c r="AC56" s="63">
        <f t="shared" si="61"/>
        <v>6.1810507706851752</v>
      </c>
      <c r="AD56" s="63">
        <f t="shared" si="61"/>
        <v>6.6139380751709975</v>
      </c>
    </row>
    <row r="57" spans="1:30" x14ac:dyDescent="0.35">
      <c r="A57" s="5">
        <f t="shared" si="50"/>
        <v>0.72499999999999998</v>
      </c>
      <c r="B57" s="11">
        <f>NPV('Cost Assumptions'!$B$3,'Valley S to Valley N to Vista'!D57:'Valley S to Valley N to Vista'!AD57)</f>
        <v>138.23598066372696</v>
      </c>
      <c r="C57" s="88" t="s">
        <v>35</v>
      </c>
      <c r="D57" s="63">
        <f t="shared" ref="D57:AD57" si="62">D12-D32</f>
        <v>2</v>
      </c>
      <c r="E57" s="63">
        <f t="shared" si="62"/>
        <v>4</v>
      </c>
      <c r="F57" s="63">
        <f t="shared" si="62"/>
        <v>4.5999999999999996</v>
      </c>
      <c r="G57" s="63">
        <f t="shared" si="62"/>
        <v>5.1999999999999993</v>
      </c>
      <c r="H57" s="63">
        <f t="shared" si="62"/>
        <v>5.7999999999999989</v>
      </c>
      <c r="I57" s="63">
        <f t="shared" si="62"/>
        <v>6.3999999999999986</v>
      </c>
      <c r="J57" s="63">
        <f t="shared" si="62"/>
        <v>7</v>
      </c>
      <c r="K57" s="63">
        <f t="shared" si="62"/>
        <v>8.75</v>
      </c>
      <c r="L57" s="63">
        <f t="shared" si="62"/>
        <v>10.5</v>
      </c>
      <c r="M57" s="63">
        <f t="shared" si="62"/>
        <v>12.25</v>
      </c>
      <c r="N57" s="63">
        <f t="shared" si="62"/>
        <v>14</v>
      </c>
      <c r="O57" s="63">
        <f t="shared" si="62"/>
        <v>17.833333333333332</v>
      </c>
      <c r="P57" s="63">
        <f t="shared" si="62"/>
        <v>21.666666666666664</v>
      </c>
      <c r="Q57" s="63">
        <f t="shared" si="62"/>
        <v>25.499999999999996</v>
      </c>
      <c r="R57" s="63">
        <f t="shared" si="62"/>
        <v>29.333333333333329</v>
      </c>
      <c r="S57" s="63">
        <f t="shared" si="62"/>
        <v>33.166666666666664</v>
      </c>
      <c r="T57" s="63">
        <f t="shared" si="62"/>
        <v>37</v>
      </c>
      <c r="U57" s="63">
        <f t="shared" si="62"/>
        <v>40.200000000000003</v>
      </c>
      <c r="V57" s="63">
        <f t="shared" si="62"/>
        <v>43.400000000000006</v>
      </c>
      <c r="W57" s="63">
        <f t="shared" si="62"/>
        <v>44.600000000000009</v>
      </c>
      <c r="X57" s="63">
        <f t="shared" si="62"/>
        <v>45.800000000000011</v>
      </c>
      <c r="Y57" s="63">
        <f t="shared" si="62"/>
        <v>47</v>
      </c>
      <c r="Z57" s="63">
        <f t="shared" si="62"/>
        <v>48.599999999999994</v>
      </c>
      <c r="AA57" s="63">
        <f t="shared" si="62"/>
        <v>50.199999999999996</v>
      </c>
      <c r="AB57" s="63">
        <f t="shared" si="62"/>
        <v>51.8</v>
      </c>
      <c r="AC57" s="63">
        <f t="shared" si="62"/>
        <v>53.399999999999991</v>
      </c>
      <c r="AD57" s="63">
        <f t="shared" si="62"/>
        <v>55</v>
      </c>
    </row>
    <row r="59" spans="1:30" ht="15" thickBot="1" x14ac:dyDescent="0.4">
      <c r="A59" s="166" t="s">
        <v>156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</row>
    <row r="60" spans="1:30" ht="15.5" thickTop="1" thickBot="1" x14ac:dyDescent="0.4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</row>
    <row r="61" spans="1:30" ht="15" thickTop="1" x14ac:dyDescent="0.35">
      <c r="A61" s="88" t="str">
        <f>'Baseline System Analysis'!A17</f>
        <v>Residential</v>
      </c>
      <c r="B61" s="88" t="str">
        <f>'Baseline System Analysis'!B17</f>
        <v>Cost of Reliability (N-1)</v>
      </c>
      <c r="C61" s="88" t="str">
        <f>'Baseline System Analysis'!C17</f>
        <v>$/kWh</v>
      </c>
      <c r="D61" s="5">
        <f>'Baseline System Analysis'!D17</f>
        <v>4.4933261328125003</v>
      </c>
      <c r="E61" s="5">
        <f>'Baseline System Analysis'!E17</f>
        <v>4.6056592861328127</v>
      </c>
      <c r="F61" s="5">
        <f>'Baseline System Analysis'!F17</f>
        <v>4.720800768286133</v>
      </c>
      <c r="G61" s="5">
        <f>'Baseline System Analysis'!G17</f>
        <v>4.8388207874932858</v>
      </c>
      <c r="H61" s="5">
        <f>'Baseline System Analysis'!H17</f>
        <v>4.9597913071806179</v>
      </c>
      <c r="I61" s="5">
        <f>'Baseline System Analysis'!I17</f>
        <v>5.0837860898601326</v>
      </c>
      <c r="J61" s="5">
        <f>'Baseline System Analysis'!J17</f>
        <v>5.2108807421066352</v>
      </c>
      <c r="K61" s="5">
        <f>'Baseline System Analysis'!K17</f>
        <v>5.341152760659301</v>
      </c>
      <c r="L61" s="5">
        <f>'Baseline System Analysis'!L17</f>
        <v>5.4746815796757833</v>
      </c>
      <c r="M61" s="5">
        <f>'Baseline System Analysis'!M17</f>
        <v>5.6115486191676771</v>
      </c>
      <c r="N61" s="5">
        <f>'Baseline System Analysis'!N17</f>
        <v>5.7518373346468685</v>
      </c>
      <c r="O61" s="5">
        <f>'Baseline System Analysis'!O17</f>
        <v>5.8956332680130394</v>
      </c>
      <c r="P61" s="5">
        <f>'Baseline System Analysis'!P17</f>
        <v>6.0430240997133646</v>
      </c>
      <c r="Q61" s="5">
        <f>'Baseline System Analysis'!Q17</f>
        <v>6.1940997022061985</v>
      </c>
      <c r="R61" s="5">
        <f>'Baseline System Analysis'!R17</f>
        <v>6.3489521947613525</v>
      </c>
      <c r="S61" s="5">
        <f>'Baseline System Analysis'!S17</f>
        <v>6.5076759996303855</v>
      </c>
      <c r="T61" s="5">
        <f>'Baseline System Analysis'!T17</f>
        <v>6.6703678996211444</v>
      </c>
      <c r="U61" s="5">
        <f>'Baseline System Analysis'!U17</f>
        <v>6.8371270971116722</v>
      </c>
      <c r="V61" s="5">
        <f>'Baseline System Analysis'!V17</f>
        <v>7.0080552745394638</v>
      </c>
      <c r="W61" s="5">
        <f>'Baseline System Analysis'!W17</f>
        <v>7.1832566564029499</v>
      </c>
      <c r="X61" s="5">
        <f>'Baseline System Analysis'!X17</f>
        <v>7.3628380728130232</v>
      </c>
      <c r="Y61" s="5">
        <f>'Baseline System Analysis'!Y17</f>
        <v>7.5469090246333481</v>
      </c>
      <c r="Z61" s="5">
        <f>'Baseline System Analysis'!Z17</f>
        <v>7.7355817502491808</v>
      </c>
      <c r="AA61" s="5">
        <f>'Baseline System Analysis'!AA17</f>
        <v>7.92897129400541</v>
      </c>
      <c r="AB61" s="5">
        <f>'Baseline System Analysis'!AB17</f>
        <v>8.127195576355545</v>
      </c>
      <c r="AC61" s="5">
        <f>'Baseline System Analysis'!AC17</f>
        <v>8.3303754657644333</v>
      </c>
      <c r="AD61" s="5">
        <f>'Baseline System Analysis'!AD17</f>
        <v>8.5386348524085438</v>
      </c>
    </row>
    <row r="62" spans="1:30" x14ac:dyDescent="0.35">
      <c r="A62" s="88" t="str">
        <f>'Baseline System Analysis'!A18</f>
        <v>Residential</v>
      </c>
      <c r="B62" s="88" t="str">
        <f>'Baseline System Analysis'!B18</f>
        <v>Cost of Reliability (N-0)</v>
      </c>
      <c r="C62" s="88" t="str">
        <f>'Baseline System Analysis'!C18</f>
        <v>$/kWh</v>
      </c>
      <c r="D62" s="5">
        <f>'Baseline System Analysis'!D18</f>
        <v>3.7920011132812492</v>
      </c>
      <c r="E62" s="5">
        <f>'Baseline System Analysis'!E18</f>
        <v>3.8868011411132799</v>
      </c>
      <c r="F62" s="5">
        <f>'Baseline System Analysis'!F18</f>
        <v>3.9839711696411118</v>
      </c>
      <c r="G62" s="5">
        <f>'Baseline System Analysis'!G18</f>
        <v>4.0835704488821394</v>
      </c>
      <c r="H62" s="5">
        <f>'Baseline System Analysis'!H18</f>
        <v>4.1856597101041926</v>
      </c>
      <c r="I62" s="5">
        <f>'Baseline System Analysis'!I18</f>
        <v>4.2903012028567966</v>
      </c>
      <c r="J62" s="5">
        <f>'Baseline System Analysis'!J18</f>
        <v>4.397558732928216</v>
      </c>
      <c r="K62" s="5">
        <f>'Baseline System Analysis'!K18</f>
        <v>4.5074977012514212</v>
      </c>
      <c r="L62" s="5">
        <f>'Baseline System Analysis'!L18</f>
        <v>4.6201851437827059</v>
      </c>
      <c r="M62" s="5">
        <f>'Baseline System Analysis'!M18</f>
        <v>4.7356897723772731</v>
      </c>
      <c r="N62" s="5">
        <f>'Baseline System Analysis'!N18</f>
        <v>4.8540820166867045</v>
      </c>
      <c r="O62" s="5">
        <f>'Baseline System Analysis'!O18</f>
        <v>4.9754340671038717</v>
      </c>
      <c r="P62" s="5">
        <f>'Baseline System Analysis'!P18</f>
        <v>5.0998199187814679</v>
      </c>
      <c r="Q62" s="5">
        <f>'Baseline System Analysis'!Q18</f>
        <v>5.2273154167510043</v>
      </c>
      <c r="R62" s="5">
        <f>'Baseline System Analysis'!R18</f>
        <v>5.3579983021697792</v>
      </c>
      <c r="S62" s="5">
        <f>'Baseline System Analysis'!S18</f>
        <v>5.4919482597240235</v>
      </c>
      <c r="T62" s="5">
        <f>'Baseline System Analysis'!T18</f>
        <v>5.6292469662171234</v>
      </c>
      <c r="U62" s="5">
        <f>'Baseline System Analysis'!U18</f>
        <v>5.769978140372551</v>
      </c>
      <c r="V62" s="5">
        <f>'Baseline System Analysis'!V18</f>
        <v>5.914227593881864</v>
      </c>
      <c r="W62" s="5">
        <f>'Baseline System Analysis'!W18</f>
        <v>6.06208328372891</v>
      </c>
      <c r="X62" s="5">
        <f>'Baseline System Analysis'!X18</f>
        <v>6.2136353658221326</v>
      </c>
      <c r="Y62" s="5">
        <f>'Baseline System Analysis'!Y18</f>
        <v>6.3689762499676856</v>
      </c>
      <c r="Z62" s="5">
        <f>'Baseline System Analysis'!Z18</f>
        <v>6.5282006562168773</v>
      </c>
      <c r="AA62" s="5">
        <f>'Baseline System Analysis'!AA18</f>
        <v>6.6914056726222988</v>
      </c>
      <c r="AB62" s="5">
        <f>'Baseline System Analysis'!AB18</f>
        <v>6.858690814437856</v>
      </c>
      <c r="AC62" s="5">
        <f>'Baseline System Analysis'!AC18</f>
        <v>7.0301580847988019</v>
      </c>
      <c r="AD62" s="5">
        <f>'Baseline System Analysis'!AD18</f>
        <v>7.2059120369187717</v>
      </c>
    </row>
    <row r="63" spans="1:30" x14ac:dyDescent="0.35">
      <c r="A63" s="88" t="str">
        <f>'Baseline System Analysis'!A19</f>
        <v>Commerical</v>
      </c>
      <c r="B63" s="88" t="str">
        <f>'Baseline System Analysis'!B19</f>
        <v>Cost of Reliability (N-1)</v>
      </c>
      <c r="C63" s="88" t="str">
        <f>'Baseline System Analysis'!C19</f>
        <v>$/kWh</v>
      </c>
      <c r="D63" s="5">
        <f>'Baseline System Analysis'!D19</f>
        <v>166.59767191406246</v>
      </c>
      <c r="E63" s="5">
        <f>'Baseline System Analysis'!E19</f>
        <v>170.76261371191401</v>
      </c>
      <c r="F63" s="5">
        <f>'Baseline System Analysis'!F19</f>
        <v>175.03167905471184</v>
      </c>
      <c r="G63" s="5">
        <f>'Baseline System Analysis'!G19</f>
        <v>179.40747103107964</v>
      </c>
      <c r="H63" s="5">
        <f>'Baseline System Analysis'!H19</f>
        <v>183.89265780685662</v>
      </c>
      <c r="I63" s="5">
        <f>'Baseline System Analysis'!I19</f>
        <v>188.48997425202802</v>
      </c>
      <c r="J63" s="5">
        <f>'Baseline System Analysis'!J19</f>
        <v>193.20222360832869</v>
      </c>
      <c r="K63" s="5">
        <f>'Baseline System Analysis'!K19</f>
        <v>198.03227919853688</v>
      </c>
      <c r="L63" s="5">
        <f>'Baseline System Analysis'!L19</f>
        <v>202.98308617850029</v>
      </c>
      <c r="M63" s="5">
        <f>'Baseline System Analysis'!M19</f>
        <v>208.05766333296279</v>
      </c>
      <c r="N63" s="5">
        <f>'Baseline System Analysis'!N19</f>
        <v>213.25910491628684</v>
      </c>
      <c r="O63" s="5">
        <f>'Baseline System Analysis'!O19</f>
        <v>218.590582539194</v>
      </c>
      <c r="P63" s="5">
        <f>'Baseline System Analysis'!P19</f>
        <v>224.05534710267384</v>
      </c>
      <c r="Q63" s="5">
        <f>'Baseline System Analysis'!Q19</f>
        <v>229.65673078024065</v>
      </c>
      <c r="R63" s="5">
        <f>'Baseline System Analysis'!R19</f>
        <v>235.39814904974665</v>
      </c>
      <c r="S63" s="5">
        <f>'Baseline System Analysis'!S19</f>
        <v>241.2831027759903</v>
      </c>
      <c r="T63" s="5">
        <f>'Baseline System Analysis'!T19</f>
        <v>247.31518034539005</v>
      </c>
      <c r="U63" s="5">
        <f>'Baseline System Analysis'!U19</f>
        <v>253.49805985402477</v>
      </c>
      <c r="V63" s="5">
        <f>'Baseline System Analysis'!V19</f>
        <v>259.83551135037538</v>
      </c>
      <c r="W63" s="5">
        <f>'Baseline System Analysis'!W19</f>
        <v>266.33139913413476</v>
      </c>
      <c r="X63" s="5">
        <f>'Baseline System Analysis'!X19</f>
        <v>272.98968411248808</v>
      </c>
      <c r="Y63" s="5">
        <f>'Baseline System Analysis'!Y19</f>
        <v>279.81442621530027</v>
      </c>
      <c r="Z63" s="5">
        <f>'Baseline System Analysis'!Z19</f>
        <v>286.80978687068273</v>
      </c>
      <c r="AA63" s="5">
        <f>'Baseline System Analysis'!AA19</f>
        <v>293.98003154244975</v>
      </c>
      <c r="AB63" s="5">
        <f>'Baseline System Analysis'!AB19</f>
        <v>301.32953233101097</v>
      </c>
      <c r="AC63" s="5">
        <f>'Baseline System Analysis'!AC19</f>
        <v>308.86277063928623</v>
      </c>
      <c r="AD63" s="5">
        <f>'Baseline System Analysis'!AD19</f>
        <v>316.58433990526834</v>
      </c>
    </row>
    <row r="64" spans="1:30" x14ac:dyDescent="0.35">
      <c r="A64" s="88" t="str">
        <f>'Baseline System Analysis'!A20</f>
        <v>Commerical</v>
      </c>
      <c r="B64" s="88" t="str">
        <f>'Baseline System Analysis'!B20</f>
        <v>Cost of Reliability (N-0)</v>
      </c>
      <c r="C64" s="88" t="str">
        <f>'Baseline System Analysis'!C20</f>
        <v>$/kWh</v>
      </c>
      <c r="D64" s="5">
        <f>'Baseline System Analysis'!D20</f>
        <v>153.83719106445315</v>
      </c>
      <c r="E64" s="5">
        <f>'Baseline System Analysis'!E20</f>
        <v>157.68312084106446</v>
      </c>
      <c r="F64" s="5">
        <f>'Baseline System Analysis'!F20</f>
        <v>161.62519886209105</v>
      </c>
      <c r="G64" s="5">
        <f>'Baseline System Analysis'!G20</f>
        <v>165.6658288336433</v>
      </c>
      <c r="H64" s="5">
        <f>'Baseline System Analysis'!H20</f>
        <v>169.80747455448437</v>
      </c>
      <c r="I64" s="5">
        <f>'Baseline System Analysis'!I20</f>
        <v>174.05266141834647</v>
      </c>
      <c r="J64" s="5">
        <f>'Baseline System Analysis'!J20</f>
        <v>178.40397795380511</v>
      </c>
      <c r="K64" s="5">
        <f>'Baseline System Analysis'!K20</f>
        <v>182.86407740265022</v>
      </c>
      <c r="L64" s="5">
        <f>'Baseline System Analysis'!L20</f>
        <v>187.43567933771646</v>
      </c>
      <c r="M64" s="5">
        <f>'Baseline System Analysis'!M20</f>
        <v>192.12157132115937</v>
      </c>
      <c r="N64" s="5">
        <f>'Baseline System Analysis'!N20</f>
        <v>196.92461060418833</v>
      </c>
      <c r="O64" s="5">
        <f>'Baseline System Analysis'!O20</f>
        <v>201.84772586929301</v>
      </c>
      <c r="P64" s="5">
        <f>'Baseline System Analysis'!P20</f>
        <v>206.89391901602534</v>
      </c>
      <c r="Q64" s="5">
        <f>'Baseline System Analysis'!Q20</f>
        <v>212.06626699142595</v>
      </c>
      <c r="R64" s="5">
        <f>'Baseline System Analysis'!R20</f>
        <v>217.36792366621157</v>
      </c>
      <c r="S64" s="5">
        <f>'Baseline System Analysis'!S20</f>
        <v>222.80212175786684</v>
      </c>
      <c r="T64" s="5">
        <f>'Baseline System Analysis'!T20</f>
        <v>228.37217480181349</v>
      </c>
      <c r="U64" s="5">
        <f>'Baseline System Analysis'!U20</f>
        <v>234.0814791718588</v>
      </c>
      <c r="V64" s="5">
        <f>'Baseline System Analysis'!V20</f>
        <v>239.93351615115526</v>
      </c>
      <c r="W64" s="5">
        <f>'Baseline System Analysis'!W20</f>
        <v>245.93185405493412</v>
      </c>
      <c r="X64" s="5">
        <f>'Baseline System Analysis'!X20</f>
        <v>252.08015040630744</v>
      </c>
      <c r="Y64" s="5">
        <f>'Baseline System Analysis'!Y20</f>
        <v>258.38215416646511</v>
      </c>
      <c r="Z64" s="5">
        <f>'Baseline System Analysis'!Z20</f>
        <v>264.8417080206267</v>
      </c>
      <c r="AA64" s="5">
        <f>'Baseline System Analysis'!AA20</f>
        <v>271.46275072114236</v>
      </c>
      <c r="AB64" s="5">
        <f>'Baseline System Analysis'!AB20</f>
        <v>278.24931948917089</v>
      </c>
      <c r="AC64" s="5">
        <f>'Baseline System Analysis'!AC20</f>
        <v>285.20555247640016</v>
      </c>
      <c r="AD64" s="5">
        <f>'Baseline System Analysis'!AD20</f>
        <v>292.33569128831016</v>
      </c>
    </row>
    <row r="66" spans="1:30" x14ac:dyDescent="0.35">
      <c r="A66" s="88" t="s">
        <v>130</v>
      </c>
      <c r="B66" s="88" t="s">
        <v>31</v>
      </c>
      <c r="C66" s="20">
        <f>NPV('Cost Assumptions'!$B$3,D66:AD66)</f>
        <v>269381.12700425152</v>
      </c>
      <c r="D66" s="5">
        <f>'Baseline System Analysis'!D24-D35</f>
        <v>85.467055666139231</v>
      </c>
      <c r="E66" s="5">
        <f>'Baseline System Analysis'!E24-E35</f>
        <v>-38.570120586914072</v>
      </c>
      <c r="F66" s="5">
        <f>'Baseline System Analysis'!F24-F35</f>
        <v>-162.6072968399676</v>
      </c>
      <c r="G66" s="5">
        <f>'Baseline System Analysis'!G24-G35</f>
        <v>-286.64447309302159</v>
      </c>
      <c r="H66" s="5">
        <f>'Baseline System Analysis'!H24-H35</f>
        <v>-410.68164934607557</v>
      </c>
      <c r="I66" s="5">
        <f>'Baseline System Analysis'!I24-I35</f>
        <v>-534.71882559912774</v>
      </c>
      <c r="J66" s="5">
        <f>'Baseline System Analysis'!J24-J35</f>
        <v>-658.75600185218173</v>
      </c>
      <c r="K66" s="5">
        <f>'Baseline System Analysis'!K24-K35</f>
        <v>-2391.6345996189375</v>
      </c>
      <c r="L66" s="5">
        <f>'Baseline System Analysis'!L24-L35</f>
        <v>-4124.5131973856915</v>
      </c>
      <c r="M66" s="5">
        <f>'Baseline System Analysis'!M24-M35</f>
        <v>-5857.391795152449</v>
      </c>
      <c r="N66" s="5">
        <f>'Baseline System Analysis'!N24-N35</f>
        <v>-7590.2703929191994</v>
      </c>
      <c r="O66" s="5">
        <f>'Baseline System Analysis'!O24-O35</f>
        <v>24057.891091915619</v>
      </c>
      <c r="P66" s="5">
        <f>'Baseline System Analysis'!P24-P35</f>
        <v>29903.544141156759</v>
      </c>
      <c r="Q66" s="5">
        <f>'Baseline System Analysis'!Q24-Q35</f>
        <v>35749.197190397899</v>
      </c>
      <c r="R66" s="5">
        <f>'Baseline System Analysis'!R24-R35</f>
        <v>41594.850239639025</v>
      </c>
      <c r="S66" s="5">
        <f>'Baseline System Analysis'!S24-S35</f>
        <v>47440.503288880165</v>
      </c>
      <c r="T66" s="5">
        <f>'Baseline System Analysis'!T24-T35</f>
        <v>53286.156338121335</v>
      </c>
      <c r="U66" s="5">
        <f>'Baseline System Analysis'!U24-U35</f>
        <v>75095.461311902967</v>
      </c>
      <c r="V66" s="5">
        <f>'Baseline System Analysis'!V24-V35</f>
        <v>96904.7662856846</v>
      </c>
      <c r="W66" s="5">
        <f>'Baseline System Analysis'!W24-W35</f>
        <v>118714.07125946629</v>
      </c>
      <c r="X66" s="5">
        <f>'Baseline System Analysis'!X24-X35</f>
        <v>140523.37623324792</v>
      </c>
      <c r="Y66" s="5">
        <f>'Baseline System Analysis'!Y24-Y35</f>
        <v>162332.6812070295</v>
      </c>
      <c r="Z66" s="5">
        <f>'Baseline System Analysis'!Z24-Z35</f>
        <v>208367.22552696557</v>
      </c>
      <c r="AA66" s="5">
        <f>'Baseline System Analysis'!AA24-AA35</f>
        <v>254401.76984690165</v>
      </c>
      <c r="AB66" s="5">
        <f>'Baseline System Analysis'!AB24-AB35</f>
        <v>300436.31416683784</v>
      </c>
      <c r="AC66" s="5">
        <f>'Baseline System Analysis'!AC24-AC35</f>
        <v>346470.85848677414</v>
      </c>
      <c r="AD66" s="5">
        <f>'Baseline System Analysis'!AD24-AD35</f>
        <v>392505.40280670999</v>
      </c>
    </row>
    <row r="67" spans="1:30" x14ac:dyDescent="0.35">
      <c r="A67" s="88" t="s">
        <v>132</v>
      </c>
      <c r="B67" s="88" t="s">
        <v>31</v>
      </c>
      <c r="C67" s="20">
        <f>NPV('Cost Assumptions'!$B$3,D67:AD67)</f>
        <v>1117793.1690891238</v>
      </c>
      <c r="D67" s="5">
        <f>'Baseline System Analysis'!D25-D36</f>
        <v>354.64433632821692</v>
      </c>
      <c r="E67" s="5">
        <f>'Baseline System Analysis'!E25-E36</f>
        <v>-160.04616879606328</v>
      </c>
      <c r="F67" s="5">
        <f>'Baseline System Analysis'!F25-F36</f>
        <v>-674.73667392034622</v>
      </c>
      <c r="G67" s="5">
        <f>'Baseline System Analysis'!G25-G36</f>
        <v>-1189.4271790446255</v>
      </c>
      <c r="H67" s="5">
        <f>'Baseline System Analysis'!H25-H36</f>
        <v>-1704.1176841689012</v>
      </c>
      <c r="I67" s="5">
        <f>'Baseline System Analysis'!I25-I36</f>
        <v>-2218.8081892931805</v>
      </c>
      <c r="J67" s="5">
        <f>'Baseline System Analysis'!J25-J36</f>
        <v>-2733.498694417467</v>
      </c>
      <c r="K67" s="5">
        <f>'Baseline System Analysis'!K25-K36</f>
        <v>-9924.0538791310828</v>
      </c>
      <c r="L67" s="5">
        <f>'Baseline System Analysis'!L25-L36</f>
        <v>-17114.609063844706</v>
      </c>
      <c r="M67" s="5">
        <f>'Baseline System Analysis'!M25-M36</f>
        <v>-24305.164248558314</v>
      </c>
      <c r="N67" s="5">
        <f>'Baseline System Analysis'!N25-N36</f>
        <v>-31495.719433271966</v>
      </c>
      <c r="O67" s="5">
        <f>'Baseline System Analysis'!O25-O36</f>
        <v>99827.87816018358</v>
      </c>
      <c r="P67" s="5">
        <f>'Baseline System Analysis'!P25-P36</f>
        <v>124084.3326489334</v>
      </c>
      <c r="Q67" s="5">
        <f>'Baseline System Analysis'!Q25-Q36</f>
        <v>148340.78713768325</v>
      </c>
      <c r="R67" s="5">
        <f>'Baseline System Analysis'!R25-R36</f>
        <v>172597.2416264331</v>
      </c>
      <c r="S67" s="5">
        <f>'Baseline System Analysis'!S25-S36</f>
        <v>196853.69611518295</v>
      </c>
      <c r="T67" s="5">
        <f>'Baseline System Analysis'!T25-T36</f>
        <v>221110.15060393268</v>
      </c>
      <c r="U67" s="5">
        <f>'Baseline System Analysis'!U25-U36</f>
        <v>311607.55253175902</v>
      </c>
      <c r="V67" s="5">
        <f>'Baseline System Analysis'!V25-V36</f>
        <v>402104.95445958525</v>
      </c>
      <c r="W67" s="5">
        <f>'Baseline System Analysis'!W25-W36</f>
        <v>492602.35638741124</v>
      </c>
      <c r="X67" s="5">
        <f>'Baseline System Analysis'!X25-X36</f>
        <v>583099.75831523724</v>
      </c>
      <c r="Y67" s="5">
        <f>'Baseline System Analysis'!Y25-Y36</f>
        <v>673597.1602430637</v>
      </c>
      <c r="Z67" s="5">
        <f>'Baseline System Analysis'!Z25-Z36</f>
        <v>864616.84954053629</v>
      </c>
      <c r="AA67" s="5">
        <f>'Baseline System Analysis'!AA25-AA36</f>
        <v>1055636.5388380084</v>
      </c>
      <c r="AB67" s="5">
        <f>'Baseline System Analysis'!AB25-AB36</f>
        <v>1246656.2281354805</v>
      </c>
      <c r="AC67" s="5">
        <f>'Baseline System Analysis'!AC25-AC36</f>
        <v>1437675.9174329527</v>
      </c>
      <c r="AD67" s="5">
        <f>'Baseline System Analysis'!AD25-AD36</f>
        <v>1628695.6067304276</v>
      </c>
    </row>
    <row r="68" spans="1:30" x14ac:dyDescent="0.35">
      <c r="A68" s="88" t="s">
        <v>24</v>
      </c>
      <c r="B68" s="88" t="s">
        <v>31</v>
      </c>
      <c r="C68" s="20">
        <f>NPV('Cost Assumptions'!$B$3,D68:AD68)</f>
        <v>1387174.2960933757</v>
      </c>
      <c r="D68" s="5">
        <f>SUM(D66:D67)</f>
        <v>440.11139199435615</v>
      </c>
      <c r="E68" s="5">
        <f t="shared" ref="E68:AD68" si="63">SUM(E66:E67)</f>
        <v>-198.61628938297736</v>
      </c>
      <c r="F68" s="5">
        <f t="shared" si="63"/>
        <v>-837.34397076031382</v>
      </c>
      <c r="G68" s="5">
        <f t="shared" si="63"/>
        <v>-1476.0716521376471</v>
      </c>
      <c r="H68" s="5">
        <f t="shared" si="63"/>
        <v>-2114.7993335149768</v>
      </c>
      <c r="I68" s="5">
        <f t="shared" si="63"/>
        <v>-2753.5270148923082</v>
      </c>
      <c r="J68" s="5">
        <f t="shared" si="63"/>
        <v>-3392.2546962696488</v>
      </c>
      <c r="K68" s="5">
        <f t="shared" si="63"/>
        <v>-12315.68847875002</v>
      </c>
      <c r="L68" s="5">
        <f t="shared" si="63"/>
        <v>-21239.122261230397</v>
      </c>
      <c r="M68" s="5">
        <f t="shared" si="63"/>
        <v>-30162.556043710763</v>
      </c>
      <c r="N68" s="5">
        <f t="shared" si="63"/>
        <v>-39085.989826191166</v>
      </c>
      <c r="O68" s="5">
        <f t="shared" si="63"/>
        <v>123885.7692520992</v>
      </c>
      <c r="P68" s="5">
        <f t="shared" si="63"/>
        <v>153987.87679009017</v>
      </c>
      <c r="Q68" s="5">
        <f t="shared" si="63"/>
        <v>184089.98432808113</v>
      </c>
      <c r="R68" s="5">
        <f t="shared" si="63"/>
        <v>214192.09186607212</v>
      </c>
      <c r="S68" s="5">
        <f t="shared" si="63"/>
        <v>244294.19940406311</v>
      </c>
      <c r="T68" s="5">
        <f t="shared" si="63"/>
        <v>274396.30694205401</v>
      </c>
      <c r="U68" s="5">
        <f t="shared" si="63"/>
        <v>386703.01384366199</v>
      </c>
      <c r="V68" s="5">
        <f t="shared" si="63"/>
        <v>499009.72074526985</v>
      </c>
      <c r="W68" s="5">
        <f t="shared" si="63"/>
        <v>611316.42764687748</v>
      </c>
      <c r="X68" s="5">
        <f t="shared" si="63"/>
        <v>723623.13454848516</v>
      </c>
      <c r="Y68" s="5">
        <f t="shared" si="63"/>
        <v>835929.8414500932</v>
      </c>
      <c r="Z68" s="5">
        <f t="shared" si="63"/>
        <v>1072984.075067502</v>
      </c>
      <c r="AA68" s="5">
        <f t="shared" si="63"/>
        <v>1310038.3086849102</v>
      </c>
      <c r="AB68" s="5">
        <f t="shared" si="63"/>
        <v>1547092.5423023184</v>
      </c>
      <c r="AC68" s="5">
        <f t="shared" si="63"/>
        <v>1784146.7759197268</v>
      </c>
      <c r="AD68" s="5">
        <f t="shared" si="63"/>
        <v>2021201.0095371376</v>
      </c>
    </row>
    <row r="69" spans="1:30" x14ac:dyDescent="0.35">
      <c r="A69" s="88"/>
      <c r="B69" s="88"/>
      <c r="C69" s="8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x14ac:dyDescent="0.35">
      <c r="A70" s="88" t="s">
        <v>133</v>
      </c>
      <c r="B70" s="88" t="s">
        <v>31</v>
      </c>
      <c r="C70" s="20">
        <f>NPV('Cost Assumptions'!$B$3,D70:AD70)</f>
        <v>53435542.287593685</v>
      </c>
      <c r="D70" s="5">
        <f>'Baseline System Analysis'!D28-D33</f>
        <v>160316.96625268596</v>
      </c>
      <c r="E70" s="5">
        <f>'Baseline System Analysis'!E28-E33</f>
        <v>426669.25690772623</v>
      </c>
      <c r="F70" s="5">
        <f>'Baseline System Analysis'!F28-F33</f>
        <v>622795.96524369309</v>
      </c>
      <c r="G70" s="5">
        <f>'Baseline System Analysis'!G28-G33</f>
        <v>833703.43870740035</v>
      </c>
      <c r="H70" s="5">
        <f>'Baseline System Analysis'!H28-H33</f>
        <v>1064554.7712044911</v>
      </c>
      <c r="I70" s="5">
        <f>'Baseline System Analysis'!I28-I33</f>
        <v>1155250.6032801536</v>
      </c>
      <c r="J70" s="5">
        <f>'Baseline System Analysis'!J28-J33</f>
        <v>1567814.7930424134</v>
      </c>
      <c r="K70" s="5">
        <f>'Baseline System Analysis'!K28-K33</f>
        <v>2064587.6916558424</v>
      </c>
      <c r="L70" s="5">
        <f>'Baseline System Analysis'!L28-L33</f>
        <v>2485972.1963254735</v>
      </c>
      <c r="M70" s="5">
        <f>'Baseline System Analysis'!M28-M33</f>
        <v>2907214.7827229644</v>
      </c>
      <c r="N70" s="5">
        <f>'Baseline System Analysis'!N28-N33</f>
        <v>3653487.05439856</v>
      </c>
      <c r="O70" s="5">
        <f>'Baseline System Analysis'!O28-O33</f>
        <v>4512360.7012723647</v>
      </c>
      <c r="P70" s="5">
        <f>'Baseline System Analysis'!P28-P33</f>
        <v>5845712.9395959051</v>
      </c>
      <c r="Q70" s="5">
        <f>'Baseline System Analysis'!Q28-Q33</f>
        <v>7145234.3901076168</v>
      </c>
      <c r="R70" s="5">
        <f>'Baseline System Analysis'!R28-R33</f>
        <v>9104342.6872677077</v>
      </c>
      <c r="S70" s="5">
        <f>'Baseline System Analysis'!S28-S33</f>
        <v>11402628.544698209</v>
      </c>
      <c r="T70" s="5">
        <f>'Baseline System Analysis'!T28-T33</f>
        <v>14095767.66157037</v>
      </c>
      <c r="U70" s="5">
        <f>'Baseline System Analysis'!U28-U33</f>
        <v>17191903.011561129</v>
      </c>
      <c r="V70" s="5">
        <f>'Baseline System Analysis'!V28-V33</f>
        <v>19393249.568390317</v>
      </c>
      <c r="W70" s="5">
        <f>'Baseline System Analysis'!W28-W33</f>
        <v>22144861.018501792</v>
      </c>
      <c r="X70" s="5">
        <f>'Baseline System Analysis'!X28-X33</f>
        <v>25084501.634205945</v>
      </c>
      <c r="Y70" s="5">
        <f>'Baseline System Analysis'!Y28-Y33</f>
        <v>27574169.54123072</v>
      </c>
      <c r="Z70" s="5">
        <f>'Baseline System Analysis'!Z28-Z33</f>
        <v>30331528.187985487</v>
      </c>
      <c r="AA70" s="5">
        <f>'Baseline System Analysis'!AA28-AA33</f>
        <v>33338764.918131847</v>
      </c>
      <c r="AB70" s="5">
        <f>'Baseline System Analysis'!AB28-AB33</f>
        <v>36570289.690122835</v>
      </c>
      <c r="AC70" s="5">
        <f>'Baseline System Analysis'!AC28-AC33</f>
        <v>39072652.135194257</v>
      </c>
      <c r="AD70" s="5">
        <f>'Baseline System Analysis'!AD28-AD33</f>
        <v>41208343.272457629</v>
      </c>
    </row>
    <row r="71" spans="1:30" x14ac:dyDescent="0.35">
      <c r="A71" s="88" t="s">
        <v>134</v>
      </c>
      <c r="B71" s="88" t="s">
        <v>31</v>
      </c>
      <c r="C71" s="20">
        <f>NPV('Cost Assumptions'!$B$3,D71:AD71)</f>
        <v>235333821.8871693</v>
      </c>
      <c r="D71" s="5">
        <f>'Baseline System Analysis'!D29-D34</f>
        <v>903378.82566768141</v>
      </c>
      <c r="E71" s="5">
        <f>'Baseline System Analysis'!E29-E34</f>
        <v>2253314.5961599764</v>
      </c>
      <c r="F71" s="5">
        <f>'Baseline System Analysis'!F29-F34</f>
        <v>3310509.516156707</v>
      </c>
      <c r="G71" s="5">
        <f>'Baseline System Analysis'!G29-G34</f>
        <v>4447440.2170750583</v>
      </c>
      <c r="H71" s="5">
        <f>'Baseline System Analysis'!H29-H34</f>
        <v>5587242.1815372296</v>
      </c>
      <c r="I71" s="5">
        <f>'Baseline System Analysis'!I29-I34</f>
        <v>5454561.6522228802</v>
      </c>
      <c r="J71" s="5">
        <f>'Baseline System Analysis'!J29-J34</f>
        <v>7543245.1947770724</v>
      </c>
      <c r="K71" s="5">
        <f>'Baseline System Analysis'!K29-K34</f>
        <v>10054559.779896669</v>
      </c>
      <c r="L71" s="5">
        <f>'Baseline System Analysis'!L29-L34</f>
        <v>11610814.214658689</v>
      </c>
      <c r="M71" s="5">
        <f>'Baseline System Analysis'!M29-M34</f>
        <v>12826351.057208685</v>
      </c>
      <c r="N71" s="5">
        <f>'Baseline System Analysis'!N29-N34</f>
        <v>16062284.122916382</v>
      </c>
      <c r="O71" s="5">
        <f>'Baseline System Analysis'!O29-O34</f>
        <v>19403643.120637149</v>
      </c>
      <c r="P71" s="5">
        <f>'Baseline System Analysis'!P29-P34</f>
        <v>25219740.504592769</v>
      </c>
      <c r="Q71" s="5">
        <f>'Baseline System Analysis'!Q29-Q34</f>
        <v>31071411.196852271</v>
      </c>
      <c r="R71" s="5">
        <f>'Baseline System Analysis'!R29-R34</f>
        <v>39644741.256940469</v>
      </c>
      <c r="S71" s="5">
        <f>'Baseline System Analysis'!S29-S34</f>
        <v>50251518.164887004</v>
      </c>
      <c r="T71" s="5">
        <f>'Baseline System Analysis'!T29-T34</f>
        <v>62975375.307628401</v>
      </c>
      <c r="U71" s="5">
        <f>'Baseline System Analysis'!U29-U34</f>
        <v>77967536.623126328</v>
      </c>
      <c r="V71" s="5">
        <f>'Baseline System Analysis'!V29-V34</f>
        <v>85493629.625678569</v>
      </c>
      <c r="W71" s="5">
        <f>'Baseline System Analysis'!W29-W34</f>
        <v>96535091.760798052</v>
      </c>
      <c r="X71" s="5">
        <f>'Baseline System Analysis'!X29-X34</f>
        <v>107823507.76885302</v>
      </c>
      <c r="Y71" s="5">
        <f>'Baseline System Analysis'!Y29-Y34</f>
        <v>117725834.03031455</v>
      </c>
      <c r="Z71" s="5">
        <f>'Baseline System Analysis'!Z29-Z34</f>
        <v>129057056.93295433</v>
      </c>
      <c r="AA71" s="5">
        <f>'Baseline System Analysis'!AA29-AA34</f>
        <v>141818699.35292217</v>
      </c>
      <c r="AB71" s="5">
        <f>'Baseline System Analysis'!AB29-AB34</f>
        <v>155495944.7787742</v>
      </c>
      <c r="AC71" s="5">
        <f>'Baseline System Analysis'!AC29-AC34</f>
        <v>167583488.2818498</v>
      </c>
      <c r="AD71" s="5">
        <f>'Baseline System Analysis'!AD29-AD34</f>
        <v>175058968.60191476</v>
      </c>
    </row>
    <row r="72" spans="1:30" x14ac:dyDescent="0.35">
      <c r="A72" s="88" t="s">
        <v>24</v>
      </c>
      <c r="B72" s="88" t="s">
        <v>31</v>
      </c>
      <c r="C72" s="20">
        <f>NPV('Cost Assumptions'!$B$3,D72:AD72)</f>
        <v>288769364.17476302</v>
      </c>
      <c r="D72" s="5">
        <f>SUM(D70:D71)</f>
        <v>1063695.7919203674</v>
      </c>
      <c r="E72" s="5">
        <f t="shared" ref="E72:AD72" si="64">SUM(E70:E71)</f>
        <v>2679983.8530677026</v>
      </c>
      <c r="F72" s="5">
        <f t="shared" si="64"/>
        <v>3933305.4814003999</v>
      </c>
      <c r="G72" s="5">
        <f t="shared" si="64"/>
        <v>5281143.6557824584</v>
      </c>
      <c r="H72" s="5">
        <f t="shared" si="64"/>
        <v>6651796.9527417207</v>
      </c>
      <c r="I72" s="5">
        <f t="shared" si="64"/>
        <v>6609812.2555030342</v>
      </c>
      <c r="J72" s="5">
        <f t="shared" si="64"/>
        <v>9111059.9878194854</v>
      </c>
      <c r="K72" s="5">
        <f t="shared" si="64"/>
        <v>12119147.471552512</v>
      </c>
      <c r="L72" s="5">
        <f t="shared" si="64"/>
        <v>14096786.410984162</v>
      </c>
      <c r="M72" s="5">
        <f t="shared" si="64"/>
        <v>15733565.83993165</v>
      </c>
      <c r="N72" s="5">
        <f t="shared" si="64"/>
        <v>19715771.177314941</v>
      </c>
      <c r="O72" s="5">
        <f t="shared" si="64"/>
        <v>23916003.821909513</v>
      </c>
      <c r="P72" s="5">
        <f t="shared" si="64"/>
        <v>31065453.444188673</v>
      </c>
      <c r="Q72" s="5">
        <f t="shared" si="64"/>
        <v>38216645.586959884</v>
      </c>
      <c r="R72" s="5">
        <f t="shared" si="64"/>
        <v>48749083.944208175</v>
      </c>
      <c r="S72" s="5">
        <f t="shared" si="64"/>
        <v>61654146.709585212</v>
      </c>
      <c r="T72" s="5">
        <f t="shared" si="64"/>
        <v>77071142.969198763</v>
      </c>
      <c r="U72" s="5">
        <f t="shared" si="64"/>
        <v>95159439.634687454</v>
      </c>
      <c r="V72" s="5">
        <f t="shared" si="64"/>
        <v>104886879.19406888</v>
      </c>
      <c r="W72" s="5">
        <f t="shared" si="64"/>
        <v>118679952.77929984</v>
      </c>
      <c r="X72" s="5">
        <f t="shared" si="64"/>
        <v>132908009.40305898</v>
      </c>
      <c r="Y72" s="5">
        <f t="shared" si="64"/>
        <v>145300003.57154527</v>
      </c>
      <c r="Z72" s="5">
        <f t="shared" si="64"/>
        <v>159388585.12093982</v>
      </c>
      <c r="AA72" s="5">
        <f t="shared" si="64"/>
        <v>175157464.27105403</v>
      </c>
      <c r="AB72" s="5">
        <f t="shared" si="64"/>
        <v>192066234.46889704</v>
      </c>
      <c r="AC72" s="5">
        <f t="shared" si="64"/>
        <v>206656140.41704404</v>
      </c>
      <c r="AD72" s="5">
        <f t="shared" si="64"/>
        <v>216267311.87437239</v>
      </c>
    </row>
    <row r="74" spans="1:30" x14ac:dyDescent="0.35">
      <c r="A74" s="88" t="s">
        <v>130</v>
      </c>
      <c r="B74" s="88" t="s">
        <v>157</v>
      </c>
      <c r="C74" s="20">
        <f>NPV('Cost Assumptions'!$B$3,D74:AD74)</f>
        <v>297333610.12366217</v>
      </c>
      <c r="D74" s="63">
        <f>ABS((D50*D61*1000*'Cost Assumptions'!$B$6)/'Cost Assumptions'!$B$14)</f>
        <v>6621897.8890077285</v>
      </c>
      <c r="E74" s="63">
        <f>ABS((E50*E61*1000*'Cost Assumptions'!$B$6)/'Cost Assumptions'!$B$14)</f>
        <v>9025240.0833087191</v>
      </c>
      <c r="F74" s="63">
        <f>ABS((F50*F61*1000*'Cost Assumptions'!$B$6)/'Cost Assumptions'!$B$14)</f>
        <v>11544610.701144125</v>
      </c>
      <c r="G74" s="63">
        <f>ABS((G50*G61*1000*'Cost Assumptions'!$B$6)/'Cost Assumptions'!$B$14)</f>
        <v>14184309.074819231</v>
      </c>
      <c r="H74" s="63">
        <f>ABS((H50*H61*1000*'Cost Assumptions'!$B$6)/'Cost Assumptions'!$B$14)</f>
        <v>16948776.985489886</v>
      </c>
      <c r="I74" s="63">
        <f>ABS((I50*I61*1000*'Cost Assumptions'!$B$6)/'Cost Assumptions'!$B$14)</f>
        <v>19842603.098522302</v>
      </c>
      <c r="J74" s="63">
        <f>ABS((J50*J61*1000*'Cost Assumptions'!$B$6)/'Cost Assumptions'!$B$14)</f>
        <v>22870527.531590406</v>
      </c>
      <c r="K74" s="63">
        <f>ABS((K50*K61*1000*'Cost Assumptions'!$B$6)/'Cost Assumptions'!$B$14)</f>
        <v>26037446.559375346</v>
      </c>
      <c r="L74" s="63">
        <f>ABS((L50*L61*1000*'Cost Assumptions'!$B$6)/'Cost Assumptions'!$B$14)</f>
        <v>29841138.801012903</v>
      </c>
      <c r="M74" s="63">
        <f>ABS((M50*M61*1000*'Cost Assumptions'!$B$6)/'Cost Assumptions'!$B$14)</f>
        <v>32808663.499182958</v>
      </c>
      <c r="N74" s="63">
        <f>ABS((N50*N61*1000*'Cost Assumptions'!$B$6)/'Cost Assumptions'!$B$14)</f>
        <v>36423579.080628879</v>
      </c>
      <c r="O74" s="63">
        <f>ABS((O50*O61*1000*'Cost Assumptions'!$B$6)/'Cost Assumptions'!$B$14)</f>
        <v>40198735.026460111</v>
      </c>
      <c r="P74" s="63">
        <f>ABS((P50*P61*1000*'Cost Assumptions'!$B$6)/'Cost Assumptions'!$B$14)</f>
        <v>44139884.032657534</v>
      </c>
      <c r="Q74" s="63">
        <f>ABS((Q50*Q61*1000*'Cost Assumptions'!$B$6)/'Cost Assumptions'!$B$14)</f>
        <v>48252966.279773265</v>
      </c>
      <c r="R74" s="63">
        <f>ABS((R50*R61*1000*'Cost Assumptions'!$B$6)/'Cost Assumptions'!$B$14)</f>
        <v>52544115.211724363</v>
      </c>
      <c r="S74" s="63">
        <f>ABS((S50*S61*1000*'Cost Assumptions'!$B$6)/'Cost Assumptions'!$B$14)</f>
        <v>57019663.486348182</v>
      </c>
      <c r="T74" s="63">
        <f>ABS((T50*T61*1000*'Cost Assumptions'!$B$6)/'Cost Assumptions'!$B$14)</f>
        <v>61686149.102695853</v>
      </c>
      <c r="U74" s="63">
        <f>ABS((U50*U61*1000*'Cost Assumptions'!$B$6)/'Cost Assumptions'!$B$14)</f>
        <v>66550321.710181929</v>
      </c>
      <c r="V74" s="63">
        <f>ABS((V50*V61*1000*'Cost Assumptions'!$B$6)/'Cost Assumptions'!$B$14)</f>
        <v>71619149.104853138</v>
      </c>
      <c r="W74" s="63">
        <f>ABS((W50*W61*1000*'Cost Assumptions'!$B$6)/'Cost Assumptions'!$B$14)</f>
        <v>76899823.918189034</v>
      </c>
      <c r="X74" s="63">
        <f>ABS((X50*X61*1000*'Cost Assumptions'!$B$6)/'Cost Assumptions'!$B$14)</f>
        <v>82399770.504001215</v>
      </c>
      <c r="Y74" s="63">
        <f>ABS((Y50*Y61*1000*'Cost Assumptions'!$B$6)/'Cost Assumptions'!$B$14)</f>
        <v>88126652.029155105</v>
      </c>
      <c r="Z74" s="63">
        <f>ABS((Z50*Z61*1000*'Cost Assumptions'!$B$6)/'Cost Assumptions'!$B$14)</f>
        <v>94088377.774001688</v>
      </c>
      <c r="AA74" s="63">
        <f>ABS((AA50*AA61*1000*'Cost Assumptions'!$B$6)/'Cost Assumptions'!$B$14)</f>
        <v>100293110.6485724</v>
      </c>
      <c r="AB74" s="63">
        <f>ABS((AB50*AB61*1000*'Cost Assumptions'!$B$6)/'Cost Assumptions'!$B$14)</f>
        <v>106749274.9307629</v>
      </c>
      <c r="AC74" s="63">
        <f>ABS((AC50*AC61*1000*'Cost Assumptions'!$B$6)/'Cost Assumptions'!$B$14)</f>
        <v>113465564.23290756</v>
      </c>
      <c r="AD74" s="63">
        <f>ABS((AD50*AD61*1000*'Cost Assumptions'!$B$6)/'Cost Assumptions'!$B$14)</f>
        <v>120450949.70332776</v>
      </c>
    </row>
    <row r="75" spans="1:30" x14ac:dyDescent="0.35">
      <c r="A75" s="88" t="s">
        <v>132</v>
      </c>
      <c r="B75" s="88" t="s">
        <v>157</v>
      </c>
      <c r="C75" s="20">
        <f>NPV('Cost Assumptions'!$B$3,D75:AD75)</f>
        <v>1224905207.9130771</v>
      </c>
      <c r="D75" s="63">
        <f>ABS((D50*D63*1000*'Cost Assumptions'!$B$7)/'Cost Assumptions'!$B$14)</f>
        <v>27279785.8511209</v>
      </c>
      <c r="E75" s="63">
        <f>ABS((E50*E63*1000*'Cost Assumptions'!$B$7)/'Cost Assumptions'!$B$14)</f>
        <v>37180672.498184308</v>
      </c>
      <c r="F75" s="63">
        <f>ABS((F50*F63*1000*'Cost Assumptions'!$B$7)/'Cost Assumptions'!$B$14)</f>
        <v>47559553.611443922</v>
      </c>
      <c r="G75" s="63">
        <f>ABS((G50*G63*1000*'Cost Assumptions'!$B$7)/'Cost Assumptions'!$B$14)</f>
        <v>58434140.860055134</v>
      </c>
      <c r="H75" s="63">
        <f>ABS((H50*H63*1000*'Cost Assumptions'!$B$7)/'Cost Assumptions'!$B$14)</f>
        <v>69822732.750089809</v>
      </c>
      <c r="I75" s="63">
        <f>ABS((I50*I63*1000*'Cost Assumptions'!$B$7)/'Cost Assumptions'!$B$14)</f>
        <v>81744232.896588638</v>
      </c>
      <c r="J75" s="63">
        <f>ABS((J50*J63*1000*'Cost Assumptions'!$B$7)/'Cost Assumptions'!$B$14)</f>
        <v>94218168.842443585</v>
      </c>
      <c r="K75" s="63">
        <f>ABS((K50*K63*1000*'Cost Assumptions'!$B$7)/'Cost Assumptions'!$B$14)</f>
        <v>107264711.44003093</v>
      </c>
      <c r="L75" s="63">
        <f>ABS((L50*L63*1000*'Cost Assumptions'!$B$7)/'Cost Assumptions'!$B$14)</f>
        <v>122934525.67375529</v>
      </c>
      <c r="M75" s="63">
        <f>ABS((M50*M63*1000*'Cost Assumptions'!$B$7)/'Cost Assumptions'!$B$14)</f>
        <v>135159636.90785828</v>
      </c>
      <c r="N75" s="63">
        <f>ABS((N50*N63*1000*'Cost Assumptions'!$B$7)/'Cost Assumptions'!$B$14)</f>
        <v>150051760.67428231</v>
      </c>
      <c r="O75" s="63">
        <f>ABS((O50*O63*1000*'Cost Assumptions'!$B$7)/'Cost Assumptions'!$B$14)</f>
        <v>165604015.85596013</v>
      </c>
      <c r="P75" s="63">
        <f>ABS((P50*P63*1000*'Cost Assumptions'!$B$7)/'Cost Assumptions'!$B$14)</f>
        <v>181840101.44630048</v>
      </c>
      <c r="Q75" s="63">
        <f>ABS((Q50*Q63*1000*'Cost Assumptions'!$B$7)/'Cost Assumptions'!$B$14)</f>
        <v>198784488.80624774</v>
      </c>
      <c r="R75" s="63">
        <f>ABS((R50*R63*1000*'Cost Assumptions'!$B$7)/'Cost Assumptions'!$B$14)</f>
        <v>216462445.47078848</v>
      </c>
      <c r="S75" s="63">
        <f>ABS((S50*S63*1000*'Cost Assumptions'!$B$7)/'Cost Assumptions'!$B$14)</f>
        <v>234900059.66305235</v>
      </c>
      <c r="T75" s="63">
        <f>ABS((T50*T63*1000*'Cost Assumptions'!$B$7)/'Cost Assumptions'!$B$14)</f>
        <v>254124265.53651026</v>
      </c>
      <c r="U75" s="63">
        <f>ABS((U50*U63*1000*'Cost Assumptions'!$B$7)/'Cost Assumptions'!$B$14)</f>
        <v>274162869.16635156</v>
      </c>
      <c r="V75" s="63">
        <f>ABS((V50*V63*1000*'Cost Assumptions'!$B$7)/'Cost Assumptions'!$B$14)</f>
        <v>295044575.3117246</v>
      </c>
      <c r="W75" s="63">
        <f>ABS((W50*W63*1000*'Cost Assumptions'!$B$7)/'Cost Assumptions'!$B$14)</f>
        <v>316799014.97113734</v>
      </c>
      <c r="X75" s="63">
        <f>ABS((X50*X63*1000*'Cost Assumptions'!$B$7)/'Cost Assumptions'!$B$14)</f>
        <v>339456773.75395095</v>
      </c>
      <c r="Y75" s="63">
        <f>ABS((Y50*Y63*1000*'Cost Assumptions'!$B$7)/'Cost Assumptions'!$B$14)</f>
        <v>363049421.09154814</v>
      </c>
      <c r="Z75" s="63">
        <f>ABS((Z50*Z63*1000*'Cost Assumptions'!$B$7)/'Cost Assumptions'!$B$14)</f>
        <v>387609540.31242895</v>
      </c>
      <c r="AA75" s="63">
        <f>ABS((AA50*AA63*1000*'Cost Assumptions'!$B$7)/'Cost Assumptions'!$B$14)</f>
        <v>413170759.60617173</v>
      </c>
      <c r="AB75" s="63">
        <f>ABS((AB50*AB63*1000*'Cost Assumptions'!$B$7)/'Cost Assumptions'!$B$14)</f>
        <v>439767783.90190637</v>
      </c>
      <c r="AC75" s="63">
        <f>ABS((AC50*AC63*1000*'Cost Assumptions'!$B$7)/'Cost Assumptions'!$B$14)</f>
        <v>467436427.68767387</v>
      </c>
      <c r="AD75" s="63">
        <f>ABS((AD50*AD63*1000*'Cost Assumptions'!$B$7)/'Cost Assumptions'!$B$14)</f>
        <v>496213648.79779106</v>
      </c>
    </row>
    <row r="76" spans="1:30" x14ac:dyDescent="0.35">
      <c r="A76" s="88" t="s">
        <v>24</v>
      </c>
      <c r="B76" s="88" t="s">
        <v>157</v>
      </c>
      <c r="C76" s="20">
        <f>NPV('Cost Assumptions'!$B$3,D76:AD76)</f>
        <v>1522238818.0367386</v>
      </c>
      <c r="D76" s="63">
        <f>SUM(D74:D75)</f>
        <v>33901683.740128629</v>
      </c>
      <c r="E76" s="63">
        <f t="shared" ref="E76:AD76" si="65">SUM(E74:E75)</f>
        <v>46205912.581493028</v>
      </c>
      <c r="F76" s="63">
        <f t="shared" si="65"/>
        <v>59104164.312588051</v>
      </c>
      <c r="G76" s="63">
        <f t="shared" si="65"/>
        <v>72618449.934874371</v>
      </c>
      <c r="H76" s="63">
        <f t="shared" si="65"/>
        <v>86771509.735579699</v>
      </c>
      <c r="I76" s="63">
        <f t="shared" si="65"/>
        <v>101586835.99511094</v>
      </c>
      <c r="J76" s="63">
        <f t="shared" si="65"/>
        <v>117088696.37403399</v>
      </c>
      <c r="K76" s="63">
        <f t="shared" si="65"/>
        <v>133302157.99940628</v>
      </c>
      <c r="L76" s="63">
        <f t="shared" si="65"/>
        <v>152775664.47476819</v>
      </c>
      <c r="M76" s="63">
        <f t="shared" si="65"/>
        <v>167968300.40704125</v>
      </c>
      <c r="N76" s="63">
        <f t="shared" si="65"/>
        <v>186475339.75491118</v>
      </c>
      <c r="O76" s="63">
        <f t="shared" si="65"/>
        <v>205802750.88242024</v>
      </c>
      <c r="P76" s="63">
        <f t="shared" si="65"/>
        <v>225979985.47895801</v>
      </c>
      <c r="Q76" s="63">
        <f t="shared" si="65"/>
        <v>247037455.08602101</v>
      </c>
      <c r="R76" s="63">
        <f t="shared" si="65"/>
        <v>269006560.68251282</v>
      </c>
      <c r="S76" s="63">
        <f t="shared" si="65"/>
        <v>291919723.14940053</v>
      </c>
      <c r="T76" s="63">
        <f t="shared" si="65"/>
        <v>315810414.63920611</v>
      </c>
      <c r="U76" s="63">
        <f t="shared" si="65"/>
        <v>340713190.87653351</v>
      </c>
      <c r="V76" s="63">
        <f t="shared" si="65"/>
        <v>366663724.41657776</v>
      </c>
      <c r="W76" s="63">
        <f t="shared" si="65"/>
        <v>393698838.88932639</v>
      </c>
      <c r="X76" s="63">
        <f t="shared" si="65"/>
        <v>421856544.25795215</v>
      </c>
      <c r="Y76" s="63">
        <f t="shared" si="65"/>
        <v>451176073.12070322</v>
      </c>
      <c r="Z76" s="63">
        <f t="shared" si="65"/>
        <v>481697918.08643067</v>
      </c>
      <c r="AA76" s="63">
        <f t="shared" si="65"/>
        <v>513463870.25474411</v>
      </c>
      <c r="AB76" s="63">
        <f t="shared" si="65"/>
        <v>546517058.83266926</v>
      </c>
      <c r="AC76" s="63">
        <f t="shared" si="65"/>
        <v>580901991.92058146</v>
      </c>
      <c r="AD76" s="63">
        <f t="shared" si="65"/>
        <v>616664598.50111878</v>
      </c>
    </row>
    <row r="77" spans="1:30" x14ac:dyDescent="0.35">
      <c r="A77" s="88"/>
      <c r="B77" s="88"/>
      <c r="C77" s="20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x14ac:dyDescent="0.35">
      <c r="A78" s="88" t="s">
        <v>130</v>
      </c>
      <c r="B78" s="88" t="s">
        <v>164</v>
      </c>
      <c r="C78" s="20">
        <f>NPV('Cost Assumptions'!$B$3,D78:AD78)</f>
        <v>0</v>
      </c>
      <c r="D78" s="63">
        <f>ABS(((MIN(ABS(D51),'Baseline System Analysis'!D14)*D62*1000*'Cost Assumptions'!$B$6)*'Cost Assumptions'!$B$13))</f>
        <v>0</v>
      </c>
      <c r="E78" s="63">
        <f>ABS((E51*E61*1000*'Cost Assumptions'!$B$6)*'Cost Assumptions'!$B$13)</f>
        <v>0</v>
      </c>
      <c r="F78" s="63">
        <f>ABS((F51*F61*1000*'Cost Assumptions'!$B$6)*'Cost Assumptions'!$B$13)</f>
        <v>0</v>
      </c>
      <c r="G78" s="63">
        <f>ABS((G51*G61*1000*'Cost Assumptions'!$B$6)*'Cost Assumptions'!$B$13)</f>
        <v>0</v>
      </c>
      <c r="H78" s="63">
        <f>ABS((H51*H61*1000*'Cost Assumptions'!$B$6)*'Cost Assumptions'!$B$13)</f>
        <v>0</v>
      </c>
      <c r="I78" s="63">
        <f>ABS((I51*I61*1000*'Cost Assumptions'!$B$6)*'Cost Assumptions'!$B$13)</f>
        <v>0</v>
      </c>
      <c r="J78" s="63">
        <f>ABS((J51*J61*1000*'Cost Assumptions'!$B$6)*'Cost Assumptions'!$B$13)</f>
        <v>0</v>
      </c>
      <c r="K78" s="63">
        <f>ABS((K51*K61*1000*'Cost Assumptions'!$B$6)*'Cost Assumptions'!$B$13)</f>
        <v>0</v>
      </c>
      <c r="L78" s="63">
        <f>ABS((L51*L61*1000*'Cost Assumptions'!$B$6)*'Cost Assumptions'!$B$13)</f>
        <v>0</v>
      </c>
      <c r="M78" s="63">
        <f>ABS((M51*M61*1000*'Cost Assumptions'!$B$6)*'Cost Assumptions'!$B$13)</f>
        <v>0</v>
      </c>
      <c r="N78" s="63">
        <f>ABS((N51*N61*1000*'Cost Assumptions'!$B$6)*'Cost Assumptions'!$B$13)</f>
        <v>0</v>
      </c>
      <c r="O78" s="63">
        <f>ABS((O51*O61*1000*'Cost Assumptions'!$B$6)*'Cost Assumptions'!$B$13)</f>
        <v>0</v>
      </c>
      <c r="P78" s="63">
        <f>ABS((P51*P61*1000*'Cost Assumptions'!$B$6)*'Cost Assumptions'!$B$13)</f>
        <v>0</v>
      </c>
      <c r="Q78" s="63">
        <f>ABS((Q51*Q61*1000*'Cost Assumptions'!$B$6)*'Cost Assumptions'!$B$13)</f>
        <v>0</v>
      </c>
      <c r="R78" s="63">
        <f>ABS((R51*R61*1000*'Cost Assumptions'!$B$6)*'Cost Assumptions'!$B$13)</f>
        <v>0</v>
      </c>
      <c r="S78" s="63">
        <f>ABS((S51*S61*1000*'Cost Assumptions'!$B$6)*'Cost Assumptions'!$B$13)</f>
        <v>0</v>
      </c>
      <c r="T78" s="63">
        <f>ABS((T51*T61*1000*'Cost Assumptions'!$B$6)*'Cost Assumptions'!$B$13)</f>
        <v>0</v>
      </c>
      <c r="U78" s="63">
        <f>ABS((U51*U61*1000*'Cost Assumptions'!$B$6)*'Cost Assumptions'!$B$13)</f>
        <v>0</v>
      </c>
      <c r="V78" s="63">
        <f>ABS((V51*V61*1000*'Cost Assumptions'!$B$6)*'Cost Assumptions'!$B$13)</f>
        <v>0</v>
      </c>
      <c r="W78" s="63">
        <f>ABS((W51*W61*1000*'Cost Assumptions'!$B$6)*'Cost Assumptions'!$B$13)</f>
        <v>0</v>
      </c>
      <c r="X78" s="63">
        <f>ABS((X51*X61*1000*'Cost Assumptions'!$B$6)*'Cost Assumptions'!$B$13)</f>
        <v>0</v>
      </c>
      <c r="Y78" s="63">
        <f>ABS((Y51*Y61*1000*'Cost Assumptions'!$B$6)*'Cost Assumptions'!$B$13)</f>
        <v>0</v>
      </c>
      <c r="Z78" s="63">
        <f>ABS((Z51*Z61*1000*'Cost Assumptions'!$B$6)*'Cost Assumptions'!$B$13)</f>
        <v>0</v>
      </c>
      <c r="AA78" s="63">
        <f>ABS((AA51*AA61*1000*'Cost Assumptions'!$B$6)*'Cost Assumptions'!$B$13)</f>
        <v>0</v>
      </c>
      <c r="AB78" s="63">
        <f>ABS((AB51*AB61*1000*'Cost Assumptions'!$B$6)*'Cost Assumptions'!$B$13)</f>
        <v>0</v>
      </c>
      <c r="AC78" s="63">
        <f>ABS((AC51*AC61*1000*'Cost Assumptions'!$B$6)*'Cost Assumptions'!$B$13)</f>
        <v>0</v>
      </c>
      <c r="AD78" s="63">
        <f>ABS((AD51*AD61*1000*'Cost Assumptions'!$B$6)*'Cost Assumptions'!$B$13)</f>
        <v>0</v>
      </c>
    </row>
    <row r="79" spans="1:30" x14ac:dyDescent="0.35">
      <c r="A79" s="88" t="s">
        <v>132</v>
      </c>
      <c r="B79" s="88" t="s">
        <v>164</v>
      </c>
      <c r="C79" s="20">
        <f>NPV('Cost Assumptions'!$B$3,D79:AD79)</f>
        <v>0</v>
      </c>
      <c r="D79" s="63">
        <f>ABS(((MIN(ABS(D51),'Baseline System Analysis'!D14)*D64*1000*'Cost Assumptions'!$B$6)*'Cost Assumptions'!$B$13))</f>
        <v>0</v>
      </c>
      <c r="E79" s="63">
        <f>ABS((E51*E63*1000*'Cost Assumptions'!$B$6)*'Cost Assumptions'!$B$13)</f>
        <v>0</v>
      </c>
      <c r="F79" s="63">
        <f>ABS((F51*F63*1000*'Cost Assumptions'!$B$6)*'Cost Assumptions'!$B$13)</f>
        <v>0</v>
      </c>
      <c r="G79" s="63">
        <f>ABS((G51*G63*1000*'Cost Assumptions'!$B$6)*'Cost Assumptions'!$B$13)</f>
        <v>0</v>
      </c>
      <c r="H79" s="63">
        <f>ABS((H51*H63*1000*'Cost Assumptions'!$B$6)*'Cost Assumptions'!$B$13)</f>
        <v>0</v>
      </c>
      <c r="I79" s="63">
        <f>ABS((I51*I63*1000*'Cost Assumptions'!$B$6)*'Cost Assumptions'!$B$13)</f>
        <v>0</v>
      </c>
      <c r="J79" s="63">
        <f>ABS((J51*J63*1000*'Cost Assumptions'!$B$6)*'Cost Assumptions'!$B$13)</f>
        <v>0</v>
      </c>
      <c r="K79" s="63">
        <f>ABS((K51*K63*1000*'Cost Assumptions'!$B$6)*'Cost Assumptions'!$B$13)</f>
        <v>0</v>
      </c>
      <c r="L79" s="63">
        <f>ABS((L51*L63*1000*'Cost Assumptions'!$B$6)*'Cost Assumptions'!$B$13)</f>
        <v>0</v>
      </c>
      <c r="M79" s="63">
        <f>ABS((M51*M63*1000*'Cost Assumptions'!$B$6)*'Cost Assumptions'!$B$13)</f>
        <v>0</v>
      </c>
      <c r="N79" s="63">
        <f>ABS((N51*N63*1000*'Cost Assumptions'!$B$6)*'Cost Assumptions'!$B$13)</f>
        <v>0</v>
      </c>
      <c r="O79" s="63">
        <f>ABS((O51*O63*1000*'Cost Assumptions'!$B$6)*'Cost Assumptions'!$B$13)</f>
        <v>0</v>
      </c>
      <c r="P79" s="63">
        <f>ABS((P51*P63*1000*'Cost Assumptions'!$B$6)*'Cost Assumptions'!$B$13)</f>
        <v>0</v>
      </c>
      <c r="Q79" s="63">
        <f>ABS((Q51*Q63*1000*'Cost Assumptions'!$B$6)*'Cost Assumptions'!$B$13)</f>
        <v>0</v>
      </c>
      <c r="R79" s="63">
        <f>ABS((R51*R63*1000*'Cost Assumptions'!$B$6)*'Cost Assumptions'!$B$13)</f>
        <v>0</v>
      </c>
      <c r="S79" s="63">
        <f>ABS((S51*S63*1000*'Cost Assumptions'!$B$6)*'Cost Assumptions'!$B$13)</f>
        <v>0</v>
      </c>
      <c r="T79" s="63">
        <f>ABS((T51*T63*1000*'Cost Assumptions'!$B$6)*'Cost Assumptions'!$B$13)</f>
        <v>0</v>
      </c>
      <c r="U79" s="63">
        <f>ABS((U51*U63*1000*'Cost Assumptions'!$B$6)*'Cost Assumptions'!$B$13)</f>
        <v>0</v>
      </c>
      <c r="V79" s="63">
        <f>ABS((V51*V63*1000*'Cost Assumptions'!$B$6)*'Cost Assumptions'!$B$13)</f>
        <v>0</v>
      </c>
      <c r="W79" s="63">
        <f>ABS((W51*W63*1000*'Cost Assumptions'!$B$6)*'Cost Assumptions'!$B$13)</f>
        <v>0</v>
      </c>
      <c r="X79" s="63">
        <f>ABS((X51*X63*1000*'Cost Assumptions'!$B$6)*'Cost Assumptions'!$B$13)</f>
        <v>0</v>
      </c>
      <c r="Y79" s="63">
        <f>ABS((Y51*Y63*1000*'Cost Assumptions'!$B$6)*'Cost Assumptions'!$B$13)</f>
        <v>0</v>
      </c>
      <c r="Z79" s="63">
        <f>ABS((Z51*Z63*1000*'Cost Assumptions'!$B$6)*'Cost Assumptions'!$B$13)</f>
        <v>0</v>
      </c>
      <c r="AA79" s="63">
        <f>ABS((AA51*AA63*1000*'Cost Assumptions'!$B$6)*'Cost Assumptions'!$B$13)</f>
        <v>0</v>
      </c>
      <c r="AB79" s="63">
        <f>ABS((AB51*AB63*1000*'Cost Assumptions'!$B$6)*'Cost Assumptions'!$B$13)</f>
        <v>0</v>
      </c>
      <c r="AC79" s="63">
        <f>ABS((AC51*AC63*1000*'Cost Assumptions'!$B$6)*'Cost Assumptions'!$B$13)</f>
        <v>0</v>
      </c>
      <c r="AD79" s="63">
        <f>ABS((AD51*AD63*1000*'Cost Assumptions'!$B$6)*'Cost Assumptions'!$B$13)</f>
        <v>0</v>
      </c>
    </row>
    <row r="80" spans="1:30" ht="37.15" customHeight="1" x14ac:dyDescent="0.35">
      <c r="A80" s="3" t="s">
        <v>167</v>
      </c>
      <c r="B80" s="88" t="s">
        <v>164</v>
      </c>
      <c r="C80" s="20">
        <f>NPV('Cost Assumptions'!$B$3,D80:AD80)</f>
        <v>0</v>
      </c>
      <c r="D80" s="63">
        <f>SUM(D78:D79)</f>
        <v>0</v>
      </c>
      <c r="E80" s="63">
        <f t="shared" ref="E80:AD80" si="66">SUM(E78:E79)</f>
        <v>0</v>
      </c>
      <c r="F80" s="63">
        <f t="shared" si="66"/>
        <v>0</v>
      </c>
      <c r="G80" s="63">
        <f t="shared" si="66"/>
        <v>0</v>
      </c>
      <c r="H80" s="63">
        <f t="shared" si="66"/>
        <v>0</v>
      </c>
      <c r="I80" s="63">
        <f t="shared" si="66"/>
        <v>0</v>
      </c>
      <c r="J80" s="63">
        <f t="shared" si="66"/>
        <v>0</v>
      </c>
      <c r="K80" s="63">
        <f t="shared" si="66"/>
        <v>0</v>
      </c>
      <c r="L80" s="63">
        <f t="shared" si="66"/>
        <v>0</v>
      </c>
      <c r="M80" s="63">
        <f t="shared" si="66"/>
        <v>0</v>
      </c>
      <c r="N80" s="63">
        <f t="shared" si="66"/>
        <v>0</v>
      </c>
      <c r="O80" s="63">
        <f t="shared" si="66"/>
        <v>0</v>
      </c>
      <c r="P80" s="63">
        <f t="shared" si="66"/>
        <v>0</v>
      </c>
      <c r="Q80" s="63">
        <f t="shared" si="66"/>
        <v>0</v>
      </c>
      <c r="R80" s="63">
        <f t="shared" si="66"/>
        <v>0</v>
      </c>
      <c r="S80" s="63">
        <f t="shared" si="66"/>
        <v>0</v>
      </c>
      <c r="T80" s="63">
        <f t="shared" si="66"/>
        <v>0</v>
      </c>
      <c r="U80" s="63">
        <f t="shared" si="66"/>
        <v>0</v>
      </c>
      <c r="V80" s="63">
        <f t="shared" si="66"/>
        <v>0</v>
      </c>
      <c r="W80" s="63">
        <f t="shared" si="66"/>
        <v>0</v>
      </c>
      <c r="X80" s="63">
        <f t="shared" si="66"/>
        <v>0</v>
      </c>
      <c r="Y80" s="63">
        <f t="shared" si="66"/>
        <v>0</v>
      </c>
      <c r="Z80" s="63">
        <f t="shared" si="66"/>
        <v>0</v>
      </c>
      <c r="AA80" s="63">
        <f t="shared" si="66"/>
        <v>0</v>
      </c>
      <c r="AB80" s="63">
        <f t="shared" si="66"/>
        <v>0</v>
      </c>
      <c r="AC80" s="63">
        <f t="shared" si="66"/>
        <v>0</v>
      </c>
      <c r="AD80" s="63">
        <f t="shared" si="66"/>
        <v>0</v>
      </c>
    </row>
    <row r="81" spans="1:30" s="62" customFormat="1" x14ac:dyDescent="0.35">
      <c r="A81" s="3"/>
      <c r="B81" s="88"/>
      <c r="C81" s="20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2" customFormat="1" ht="29" x14ac:dyDescent="0.35">
      <c r="A82" s="3" t="s">
        <v>160</v>
      </c>
      <c r="B82" s="88" t="s">
        <v>161</v>
      </c>
      <c r="C82" s="20">
        <f>NPV('Cost Assumptions'!$B$3,D82:AD82)</f>
        <v>175558613.66991127</v>
      </c>
      <c r="D82" s="63">
        <f>('Baseline System Analysis'!D42-D37)</f>
        <v>11220653.292733105</v>
      </c>
      <c r="E82" s="63">
        <f>('Baseline System Analysis'!E42-E37)</f>
        <v>12144894.242926663</v>
      </c>
      <c r="F82" s="63">
        <f>('Baseline System Analysis'!F42-F37)</f>
        <v>12786906.835430916</v>
      </c>
      <c r="G82" s="63">
        <f>('Baseline System Analysis'!G42-G37)</f>
        <v>13548988.63648127</v>
      </c>
      <c r="H82" s="63">
        <f>('Baseline System Analysis'!H42-H37)</f>
        <v>14198598.168851539</v>
      </c>
      <c r="I82" s="63">
        <f>('Baseline System Analysis'!I42-I37)</f>
        <v>15000919.041780714</v>
      </c>
      <c r="J82" s="63">
        <f>('Baseline System Analysis'!J42-J37)</f>
        <v>15909040.459199362</v>
      </c>
      <c r="K82" s="63">
        <f>('Baseline System Analysis'!K42-K37)</f>
        <v>16834711.499928072</v>
      </c>
      <c r="L82" s="63">
        <f>('Baseline System Analysis'!L42-L37)</f>
        <v>17913721.538628906</v>
      </c>
      <c r="M82" s="63">
        <f>('Baseline System Analysis'!M42-M37)</f>
        <v>19199934.429166906</v>
      </c>
      <c r="N82" s="63">
        <f>('Baseline System Analysis'!N42-N37)</f>
        <v>20113909.105925448</v>
      </c>
      <c r="O82" s="63">
        <f>('Baseline System Analysis'!O42-O37)</f>
        <v>21304230.047225248</v>
      </c>
      <c r="P82" s="63">
        <f>('Baseline System Analysis'!P42-P37)</f>
        <v>22569755.278816275</v>
      </c>
      <c r="Q82" s="63">
        <f>('Baseline System Analysis'!Q42-Q37)</f>
        <v>23956380.495810196</v>
      </c>
      <c r="R82" s="63">
        <f>('Baseline System Analysis'!R42-R37)</f>
        <v>25296897.755682193</v>
      </c>
      <c r="S82" s="63">
        <f>('Baseline System Analysis'!S42-S37)</f>
        <v>26952539.311523363</v>
      </c>
      <c r="T82" s="63">
        <f>('Baseline System Analysis'!T42-T37)</f>
        <v>28393160.81304479</v>
      </c>
      <c r="U82" s="63">
        <f>('Baseline System Analysis'!U42-U37)</f>
        <v>29763730.613962401</v>
      </c>
      <c r="V82" s="63">
        <f>('Baseline System Analysis'!V42-V37)</f>
        <v>31534269.371617243</v>
      </c>
      <c r="W82" s="63">
        <f>('Baseline System Analysis'!W42-W37)</f>
        <v>33150927.659656551</v>
      </c>
      <c r="X82" s="63">
        <f>('Baseline System Analysis'!X42-X37)</f>
        <v>34881141.395379439</v>
      </c>
      <c r="Y82" s="63">
        <f>('Baseline System Analysis'!Y42-Y37)</f>
        <v>36681692.56157808</v>
      </c>
      <c r="Z82" s="63">
        <f>('Baseline System Analysis'!Z42-Z37)</f>
        <v>38262714.182135426</v>
      </c>
      <c r="AA82" s="63">
        <f>('Baseline System Analysis'!AA42-AA37)</f>
        <v>40061533.984164849</v>
      </c>
      <c r="AB82" s="63">
        <f>('Baseline System Analysis'!AB42-AB37)</f>
        <v>41857863.189521752</v>
      </c>
      <c r="AC82" s="63">
        <f>('Baseline System Analysis'!AC42-AC37)</f>
        <v>43385910.880934775</v>
      </c>
      <c r="AD82" s="63">
        <f>('Baseline System Analysis'!AD42-AD37)</f>
        <v>45034968.483143762</v>
      </c>
    </row>
    <row r="84" spans="1:30" ht="20" thickBot="1" x14ac:dyDescent="0.5">
      <c r="A84" s="142" t="s">
        <v>74</v>
      </c>
      <c r="B84" s="142"/>
      <c r="C84" s="20">
        <f>NPV('Cost Assumptions'!$B$3,D84:AD84)/1000000</f>
        <v>1987.9539701775072</v>
      </c>
      <c r="D84" s="63">
        <f>SUM(D68,D72,D76,D80,D82)</f>
        <v>46186472.936174095</v>
      </c>
      <c r="E84" s="63">
        <f t="shared" ref="E84:AD84" si="67">SUM(E68,E72,E76,E80,E82)</f>
        <v>61030592.061198011</v>
      </c>
      <c r="F84" s="63">
        <f t="shared" si="67"/>
        <v>75823539.285448611</v>
      </c>
      <c r="G84" s="63">
        <f t="shared" si="67"/>
        <v>91447106.155485958</v>
      </c>
      <c r="H84" s="63">
        <f t="shared" si="67"/>
        <v>107619790.05783944</v>
      </c>
      <c r="I84" s="63">
        <f t="shared" si="67"/>
        <v>123194813.7653798</v>
      </c>
      <c r="J84" s="63">
        <f t="shared" si="67"/>
        <v>142105404.56635657</v>
      </c>
      <c r="K84" s="63">
        <f t="shared" si="67"/>
        <v>162243701.28240812</v>
      </c>
      <c r="L84" s="63">
        <f t="shared" si="67"/>
        <v>184764933.30212003</v>
      </c>
      <c r="M84" s="63">
        <f t="shared" si="67"/>
        <v>202871638.12009612</v>
      </c>
      <c r="N84" s="63">
        <f t="shared" si="67"/>
        <v>226265934.04832536</v>
      </c>
      <c r="O84" s="63">
        <f t="shared" si="67"/>
        <v>251146870.52080709</v>
      </c>
      <c r="P84" s="63">
        <f t="shared" si="67"/>
        <v>279769182.07875305</v>
      </c>
      <c r="Q84" s="63">
        <f t="shared" si="67"/>
        <v>309394571.15311921</v>
      </c>
      <c r="R84" s="63">
        <f t="shared" si="67"/>
        <v>343266734.47426921</v>
      </c>
      <c r="S84" s="63">
        <f t="shared" si="67"/>
        <v>380770703.36991316</v>
      </c>
      <c r="T84" s="63">
        <f t="shared" si="67"/>
        <v>421549114.72839171</v>
      </c>
      <c r="U84" s="63">
        <f t="shared" si="67"/>
        <v>466023064.139027</v>
      </c>
      <c r="V84" s="63">
        <f t="shared" si="67"/>
        <v>503583882.70300919</v>
      </c>
      <c r="W84" s="63">
        <f t="shared" si="67"/>
        <v>546141035.75592971</v>
      </c>
      <c r="X84" s="63">
        <f t="shared" si="67"/>
        <v>590369318.19093907</v>
      </c>
      <c r="Y84" s="63">
        <f t="shared" si="67"/>
        <v>633993699.09527659</v>
      </c>
      <c r="Z84" s="63">
        <f t="shared" si="67"/>
        <v>680422201.4645735</v>
      </c>
      <c r="AA84" s="63">
        <f t="shared" si="67"/>
        <v>729992906.81864786</v>
      </c>
      <c r="AB84" s="63">
        <f t="shared" si="67"/>
        <v>781988249.0333904</v>
      </c>
      <c r="AC84" s="63">
        <f t="shared" si="67"/>
        <v>832728189.99447989</v>
      </c>
      <c r="AD84" s="63">
        <f t="shared" si="67"/>
        <v>879988079.86817217</v>
      </c>
    </row>
    <row r="85" spans="1:30" s="62" customFormat="1" ht="20.5" thickTop="1" thickBot="1" x14ac:dyDescent="0.5">
      <c r="A85" s="142" t="s">
        <v>162</v>
      </c>
      <c r="B85" s="142"/>
      <c r="C85" s="20">
        <f>NPV('Cost Assumptions'!$B$3,D85:AD85)/1000000</f>
        <v>1988.2245216185979</v>
      </c>
      <c r="D85" s="63">
        <f>D84+D44</f>
        <v>46200024.936174057</v>
      </c>
      <c r="E85" s="63">
        <f t="shared" ref="E85:AD85" si="68">E84+E44</f>
        <v>61045659.521774903</v>
      </c>
      <c r="F85" s="63">
        <f t="shared" si="68"/>
        <v>75840189.509631276</v>
      </c>
      <c r="G85" s="63">
        <f t="shared" si="68"/>
        <v>91465408.864291817</v>
      </c>
      <c r="H85" s="63">
        <f t="shared" si="68"/>
        <v>107639817.46910954</v>
      </c>
      <c r="I85" s="63">
        <f t="shared" si="68"/>
        <v>123216640.67504436</v>
      </c>
      <c r="J85" s="63">
        <f t="shared" si="68"/>
        <v>142129108.43220326</v>
      </c>
      <c r="K85" s="63">
        <f t="shared" si="68"/>
        <v>162269362.31042752</v>
      </c>
      <c r="L85" s="63">
        <f t="shared" si="68"/>
        <v>184792634.53550458</v>
      </c>
      <c r="M85" s="63">
        <f t="shared" si="68"/>
        <v>202901465.53097162</v>
      </c>
      <c r="N85" s="63">
        <f t="shared" si="68"/>
        <v>226297976.63229546</v>
      </c>
      <c r="O85" s="63">
        <f t="shared" si="68"/>
        <v>251181220.39439473</v>
      </c>
      <c r="P85" s="63">
        <f t="shared" si="68"/>
        <v>279805934.57982415</v>
      </c>
      <c r="Q85" s="63">
        <f t="shared" si="68"/>
        <v>309433824.94437689</v>
      </c>
      <c r="R85" s="63">
        <f t="shared" si="68"/>
        <v>343308591.64990968</v>
      </c>
      <c r="S85" s="63">
        <f t="shared" si="68"/>
        <v>380815269.56553602</v>
      </c>
      <c r="T85" s="63">
        <f t="shared" si="68"/>
        <v>421596499.23426127</v>
      </c>
      <c r="U85" s="63">
        <f t="shared" si="68"/>
        <v>466073380.01678336</v>
      </c>
      <c r="V85" s="63">
        <f t="shared" si="68"/>
        <v>503637246.90593052</v>
      </c>
      <c r="W85" s="63">
        <f t="shared" si="68"/>
        <v>546197569.25285065</v>
      </c>
      <c r="X85" s="63">
        <f t="shared" si="68"/>
        <v>590429146.09393275</v>
      </c>
      <c r="Y85" s="63">
        <f t="shared" si="68"/>
        <v>634056950.79121113</v>
      </c>
      <c r="Z85" s="63">
        <f t="shared" si="68"/>
        <v>680489010.75065649</v>
      </c>
      <c r="AA85" s="63">
        <f t="shared" si="68"/>
        <v>730063412.04207683</v>
      </c>
      <c r="AB85" s="63">
        <f t="shared" si="68"/>
        <v>782062593.2352289</v>
      </c>
      <c r="AC85" s="63">
        <f t="shared" si="68"/>
        <v>832806521.05788362</v>
      </c>
      <c r="AD85" s="63">
        <f t="shared" si="68"/>
        <v>880070550.67109334</v>
      </c>
    </row>
    <row r="86" spans="1:30" ht="15" thickTop="1" x14ac:dyDescent="0.3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20" thickBot="1" x14ac:dyDescent="0.5">
      <c r="A87" s="142" t="s">
        <v>163</v>
      </c>
      <c r="B87" s="142"/>
      <c r="C87" s="20">
        <f>Summary!$D$9</f>
        <v>270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15" thickTop="1" x14ac:dyDescent="0.35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20" thickBot="1" x14ac:dyDescent="0.5">
      <c r="A89" s="142" t="s">
        <v>7</v>
      </c>
      <c r="B89" s="142"/>
      <c r="C89" s="53">
        <f>C85/C87</f>
        <v>7.3637945245133256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ht="15" thickTop="1" x14ac:dyDescent="0.35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</row>
    <row r="93" spans="1:30" x14ac:dyDescent="0.35">
      <c r="A93" s="88"/>
      <c r="B93" s="88">
        <v>2.7526499999999992</v>
      </c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</row>
    <row r="94" spans="1:30" x14ac:dyDescent="0.35">
      <c r="A94" s="88"/>
      <c r="B94" s="88">
        <v>233.80450234722554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</row>
    <row r="95" spans="1:30" x14ac:dyDescent="0.35">
      <c r="A95" s="88"/>
      <c r="B95" s="88">
        <v>0</v>
      </c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</row>
    <row r="96" spans="1:30" x14ac:dyDescent="0.35">
      <c r="A96" s="88"/>
      <c r="B96" s="88">
        <v>1848.4207520057885</v>
      </c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</row>
    <row r="97" spans="2:2" x14ac:dyDescent="0.35">
      <c r="B97" s="88">
        <v>53.6999</v>
      </c>
    </row>
  </sheetData>
  <mergeCells count="8">
    <mergeCell ref="A87:B87"/>
    <mergeCell ref="A89:B89"/>
    <mergeCell ref="A85:B85"/>
    <mergeCell ref="B2:B15"/>
    <mergeCell ref="B18:B32"/>
    <mergeCell ref="B41:AD41"/>
    <mergeCell ref="A59:AD60"/>
    <mergeCell ref="A84:B84"/>
  </mergeCells>
  <phoneticPr fontId="17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 Progress Response" ma:contentTypeID="0x0101003FDC8DB2EFA0734493CFBBBD1CB93690005CC82022603A0947A2C5F5F1889FA752" ma:contentTypeVersion="106" ma:contentTypeDescription="" ma:contentTypeScope="" ma:versionID="58a9065a31d516d9da8253c607e50a34">
  <xsd:schema xmlns:xsd="http://www.w3.org/2001/XMLSchema" xmlns:xs="http://www.w3.org/2001/XMLSchema" xmlns:p="http://schemas.microsoft.com/office/2006/metadata/properties" xmlns:ns1="8430d550-c2bd-4ade-ae56-0b82b076c537" xmlns:ns3="d1269d0e-3d21-492c-95ee-c4f1a377396e" xmlns:ns4="http://schemas.microsoft.com/sharepoint/v3/fields" xmlns:ns5="http://schemas.microsoft.com/sharepoint/v4" targetNamespace="http://schemas.microsoft.com/office/2006/metadata/properties" ma:root="true" ma:fieldsID="b16bf94fc7ed4d8baff96bc998330e6e" ns1:_="" ns3:_="" ns4:_="" ns5:_="">
    <xsd:import namespace="8430d550-c2bd-4ade-ae56-0b82b076c537"/>
    <xsd:import namespace="d1269d0e-3d21-492c-95ee-c4f1a377396e"/>
    <xsd:import namespace="http://schemas.microsoft.com/sharepoint/v3/fields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HeaderSpid" minOccurs="0"/>
                <xsd:element ref="ns1:RimsSpid" minOccurs="0"/>
                <xsd:element ref="ns1:Assignee" minOccurs="0"/>
                <xsd:element ref="ns1:Attorney" minOccurs="0"/>
                <xsd:element ref="ns1:Question_x0020_Number" minOccurs="0"/>
                <xsd:element ref="ns1:Response_x0020_Date" minOccurs="0"/>
                <xsd:element ref="ns1:Received_x0020_Date" minOccurs="0"/>
                <xsd:element ref="ns1:Document_x0020_Type" minOccurs="0"/>
                <xsd:element ref="ns1:Data_x0020_Request_x0020_Set_x0020_Name1" minOccurs="0"/>
                <xsd:element ref="ns1:Data_x0020_Request_x0020_Set_x0020_Name" minOccurs="0"/>
                <xsd:element ref="ns1:Question" minOccurs="0"/>
                <xsd:element ref="ns3:Party" minOccurs="0"/>
                <xsd:element ref="ns1:Classification" minOccurs="0"/>
                <xsd:element ref="ns4:_Status" minOccurs="0"/>
                <xsd:element ref="ns1:Review_x0020_Status" minOccurs="0"/>
                <xsd:element ref="ns3:Test_x0020_WF" minOccurs="0"/>
                <xsd:element ref="ns3:Reassignment" minOccurs="0"/>
                <xsd:element ref="ns1:Year" minOccurs="0"/>
                <xsd:element ref="ns1:Proceeding_x0020_Number" minOccurs="0"/>
                <xsd:element ref="ns1:_dlc_DocIdPersistId" minOccurs="0"/>
                <xsd:element ref="ns1:_dlc_DocId" minOccurs="0"/>
                <xsd:element ref="ns1:Witness" minOccurs="0"/>
                <xsd:element ref="ns1:SharedWithUsers" minOccurs="0"/>
                <xsd:element ref="ns1:SharedWithDetails" minOccurs="0"/>
                <xsd:element ref="ns3:MediaServiceMetadata" minOccurs="0"/>
                <xsd:element ref="ns3:MediaServiceFastMetadata" minOccurs="0"/>
                <xsd:element ref="ns1:_dlc_DocIdUrl" minOccurs="0"/>
                <xsd:element ref="ns1:DR_x0020_360_x0020_Link" minOccurs="0"/>
                <xsd:element ref="ns5:IconOverlay" minOccurs="0"/>
                <xsd:element ref="ns3:MediaServiceAutoTags" minOccurs="0"/>
                <xsd:element ref="ns3:MediaServiceOCR" minOccurs="0"/>
                <xsd:element ref="ns3:Document_x0020_Review_x0020_Status" minOccurs="0"/>
                <xsd:element ref="ns1:Acronym" minOccurs="0"/>
                <xsd:element ref="ns1:Party" minOccurs="0"/>
                <xsd:element ref="ns3:MediaServiceEventHashCode" minOccurs="0"/>
                <xsd:element ref="ns3:MediaServiceGenerationTime" minOccurs="0"/>
                <xsd:element ref="ns1:Agency" minOccurs="0"/>
                <xsd:element ref="ns3:MediaServiceDateTaken" minOccurs="0"/>
                <xsd:element ref="ns3:Start_x0020_Security_x0020_WF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anual_x0020_Handling" minOccurs="0"/>
                <xsd:element ref="ns3:Volume" minOccurs="0"/>
                <xsd:element ref="ns3:Exhibi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0d550-c2bd-4ade-ae56-0b82b076c537" elementFormDefault="qualified">
    <xsd:import namespace="http://schemas.microsoft.com/office/2006/documentManagement/types"/>
    <xsd:import namespace="http://schemas.microsoft.com/office/infopath/2007/PartnerControls"/>
    <xsd:element name="HeaderSpid" ma:index="0" nillable="true" ma:displayName="HeaderSpid" ma:indexed="true" ma:internalName="HeaderSpid" ma:readOnly="false">
      <xsd:simpleType>
        <xsd:restriction base="dms:Text">
          <xsd:maxLength value="255"/>
        </xsd:restriction>
      </xsd:simpleType>
    </xsd:element>
    <xsd:element name="RimsSpid" ma:index="1" nillable="true" ma:displayName="RimsSpid" ma:indexed="true" ma:internalName="RimsSpid">
      <xsd:simpleType>
        <xsd:restriction base="dms:Text">
          <xsd:maxLength value="255"/>
        </xsd:restriction>
      </xsd:simpleType>
    </xsd:element>
    <xsd:element name="Assignee" ma:index="4" nillable="true" ma:displayName="Assignee" ma:indexed="true" ma:list="UserInfo" ma:SharePointGroup="0" ma:internalName="As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orney" ma:index="5" nillable="true" ma:displayName="Attorney" ma:list="UserInfo" ma:SharePointGroup="0" ma:internalName="Attorne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uestion_x0020_Number" ma:index="6" nillable="true" ma:displayName="Question Number" ma:indexed="true" ma:internalName="Question_x0020_Number" ma:readOnly="false">
      <xsd:simpleType>
        <xsd:restriction base="dms:Text">
          <xsd:maxLength value="255"/>
        </xsd:restriction>
      </xsd:simpleType>
    </xsd:element>
    <xsd:element name="Response_x0020_Date" ma:index="7" nillable="true" ma:displayName="Response Date" ma:format="DateOnly" ma:internalName="Response_x0020_Date" ma:readOnly="false">
      <xsd:simpleType>
        <xsd:restriction base="dms:DateTime"/>
      </xsd:simpleType>
    </xsd:element>
    <xsd:element name="Received_x0020_Date" ma:index="8" nillable="true" ma:displayName="Received Date" ma:format="DateOnly" ma:indexed="true" ma:internalName="Received_x0020_Date">
      <xsd:simpleType>
        <xsd:restriction base="dms:DateTime"/>
      </xsd:simpleType>
    </xsd:element>
    <xsd:element name="Document_x0020_Type" ma:index="9" nillable="true" ma:displayName="Document Type" ma:default="Attachment" ma:format="Dropdown" ma:indexed="true" ma:internalName="Document_x0020_Type">
      <xsd:simpleType>
        <xsd:restriction base="dms:Choice">
          <xsd:enumeration value="Attachment"/>
          <xsd:enumeration value="Answer"/>
          <xsd:enumeration value="Declaration"/>
          <xsd:enumeration value="Production Overlay"/>
          <xsd:enumeration value="CPUC Initial Request"/>
          <xsd:enumeration value="DO NOT PRODUCE"/>
          <xsd:enumeration value="Transmittal"/>
          <xsd:enumeration value="Confirmation"/>
        </xsd:restriction>
      </xsd:simpleType>
    </xsd:element>
    <xsd:element name="Data_x0020_Request_x0020_Set_x0020_Name1" ma:index="10" nillable="true" ma:displayName="Data Request Set Name" ma:indexed="true" ma:internalName="Data_x0020_Request_x0020_Set_x0020_Name1">
      <xsd:simpleType>
        <xsd:restriction base="dms:Text">
          <xsd:maxLength value="255"/>
        </xsd:restriction>
      </xsd:simpleType>
    </xsd:element>
    <xsd:element name="Data_x0020_Request_x0020_Set_x0020_Name" ma:index="11" nillable="true" ma:displayName="Data Request Set" ma:internalName="Data_x0020_Request_x0020_Set_x0020_Name">
      <xsd:simpleType>
        <xsd:restriction base="dms:Text">
          <xsd:maxLength value="255"/>
        </xsd:restriction>
      </xsd:simpleType>
    </xsd:element>
    <xsd:element name="Question" ma:index="12" nillable="true" ma:displayName="Question" ma:internalName="Question">
      <xsd:simpleType>
        <xsd:restriction base="dms:Note"/>
      </xsd:simpleType>
    </xsd:element>
    <xsd:element name="Classification" ma:index="14" nillable="true" ma:displayName="Classification" ma:default="Public" ma:format="Dropdown" ma:internalName="Classification">
      <xsd:simpleType>
        <xsd:restriction base="dms:Choice">
          <xsd:enumeration value="Public"/>
          <xsd:enumeration value="Confidential"/>
          <xsd:enumeration value="Internal"/>
        </xsd:restriction>
      </xsd:simpleType>
    </xsd:element>
    <xsd:element name="Review_x0020_Status" ma:index="16" nillable="true" ma:displayName="Review Status" ma:format="Hyperlink" ma:internalName="Revie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Year" ma:index="19" nillable="true" ma:displayName="Year" ma:default="2021" ma:indexed="true" ma:internalName="Year">
      <xsd:simpleType>
        <xsd:restriction base="dms:Text">
          <xsd:maxLength value="255"/>
        </xsd:restriction>
      </xsd:simpleType>
    </xsd:element>
    <xsd:element name="Proceeding_x0020_Number" ma:index="20" nillable="true" ma:displayName="Proceeding Number" ma:indexed="true" ma:internalName="Proceeding_x0020_Number">
      <xsd:simpleType>
        <xsd:restriction base="dms:Text">
          <xsd:maxLength value="255"/>
        </xsd:restriction>
      </xsd:simple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Witness" ma:index="25" nillable="true" ma:displayName="Witness" ma:hidden="true" ma:list="UserInfo" ma:SharePointGroup="0" ma:internalName="Witnes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x0020_360_x0020_Link" ma:index="37" nillable="true" ma:displayName="DR 360 Link" ma:format="Hyperlink" ma:hidden="true" ma:internalName="DR_x0020_360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cronym" ma:index="42" nillable="true" ma:displayName="Acronym" ma:internalName="Acronym">
      <xsd:simpleType>
        <xsd:restriction base="dms:Text">
          <xsd:maxLength value="255"/>
        </xsd:restriction>
      </xsd:simpleType>
    </xsd:element>
    <xsd:element name="Party" ma:index="43" nillable="true" ma:displayName="PartyTxt" ma:internalName="Party0" ma:readOnly="false">
      <xsd:simpleType>
        <xsd:restriction base="dms:Text">
          <xsd:maxLength value="255"/>
        </xsd:restriction>
      </xsd:simpleType>
    </xsd:element>
    <xsd:element name="Agency" ma:index="46" nillable="true" ma:displayName="Agency" ma:internalName="Agenc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9d0e-3d21-492c-95ee-c4f1a377396e" elementFormDefault="qualified">
    <xsd:import namespace="http://schemas.microsoft.com/office/2006/documentManagement/types"/>
    <xsd:import namespace="http://schemas.microsoft.com/office/infopath/2007/PartnerControls"/>
    <xsd:element name="Party" ma:index="13" nillable="true" ma:displayName="Party" ma:indexed="true" ma:list="{0d6e30c2-f70e-486c-88bb-1fbf684d938e}" ma:internalName="Party" ma:showField="Title" ma:web="8430d550-c2bd-4ade-ae56-0b82b076c537">
      <xsd:simpleType>
        <xsd:restriction base="dms:Lookup"/>
      </xsd:simpleType>
    </xsd:element>
    <xsd:element name="Test_x0020_WF" ma:index="17" nillable="true" ma:displayName="Update FYI" ma:internalName="Test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assignment" ma:index="18" nillable="true" ma:displayName="Reassignment" ma:internalName="Reassign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9" nillable="true" ma:displayName="MediaServiceAutoTags" ma:internalName="MediaServiceAutoTags" ma:readOnly="true">
      <xsd:simpleType>
        <xsd:restriction base="dms:Text"/>
      </xsd:simpleType>
    </xsd:element>
    <xsd:element name="MediaServiceOCR" ma:index="4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ocument_x0020_Review_x0020_Status" ma:index="41" nillable="true" ma:displayName="Document Review Status" ma:indexed="true" ma:internalName="Document_x0020_Review_x0020_Status">
      <xsd:simpleType>
        <xsd:restriction base="dms:Text">
          <xsd:maxLength value="255"/>
        </xsd:restriction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Start_x0020_Security_x0020_WF" ma:index="55" nillable="true" ma:displayName="Start Security WF" ma:internalName="Start_x0020_Security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56" nillable="true" ma:displayName="Location" ma:internalName="MediaServiceLocation" ma:readOnly="true">
      <xsd:simpleType>
        <xsd:restriction base="dms:Text"/>
      </xsd:simpleType>
    </xsd:element>
    <xsd:element name="MediaServiceAutoKeyPoints" ma:index="5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anual_x0020_Handling" ma:index="59" nillable="true" ma:displayName="Manual Handling" ma:internalName="Manual_x0020_Handl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olume" ma:index="60" nillable="true" ma:displayName="Volume" ma:internalName="Volume">
      <xsd:simpleType>
        <xsd:restriction base="dms:Text">
          <xsd:maxLength value="255"/>
        </xsd:restriction>
      </xsd:simpleType>
    </xsd:element>
    <xsd:element name="Exhibit" ma:index="61" nillable="true" ma:displayName="Exhibit" ma:internalName="Exhibi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format="Dropdown" ma:indexed="true" ma:internalName="_Status">
      <xsd:simpleType>
        <xsd:restriction base="dms:Choice">
          <xsd:enumeration value="(1) New"/>
          <xsd:enumeration value="(2) In Progress"/>
          <xsd:enumeration value="(3) Review"/>
          <xsd:enumeration value="(4) Law Review"/>
          <xsd:enumeration value="(5) Approved For Case Admin"/>
          <xsd:enumeration value="(6) 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_x0020_Request_x0020_Set_x0020_Name xmlns="8430d550-c2bd-4ade-ae56-0b82b076c537">DR - 15400 01g - Revised </Data_x0020_Request_x0020_Set_x0020_Name>
    <Document_x0020_Review_x0020_Status xmlns="d1269d0e-3d21-492c-95ee-c4f1a377396e">Pending for Case Admin</Document_x0020_Review_x0020_Status>
    <Response_x0020_Date xmlns="8430d550-c2bd-4ade-ae56-0b82b076c537">2020-04-23T07:00:00+00:00</Response_x0020_Date>
    <Manual_x0020_Handling xmlns="d1269d0e-3d21-492c-95ee-c4f1a377396e">
      <Url>https://edisonintl.sharepoint.com/teams/rcms365/_layouts/15/wrkstat.aspx?List=d1269d0e-3d21-492c-95ee-c4f1a377396e&amp;WorkflowInstanceName=67002508-4eea-4adf-9855-4dfb69c2ce56</Url>
      <Description>Completed</Description>
    </Manual_x0020_Handling>
    <Acronym xmlns="8430d550-c2bd-4ade-ae56-0b82b076c537">Alberhill PTC &amp; CPCN</Acronym>
    <RimsSpid xmlns="8430d550-c2bd-4ade-ae56-0b82b076c537">20285</RimsSpid>
    <Witness xmlns="8430d550-c2bd-4ade-ae56-0b82b076c537">
      <UserInfo>
        <DisplayName/>
        <AccountId xsi:nil="true"/>
        <AccountType/>
      </UserInfo>
    </Witness>
    <_Status xmlns="http://schemas.microsoft.com/sharepoint/v3/fields" xsi:nil="true"/>
    <IconOverlay xmlns="http://schemas.microsoft.com/sharepoint/v4" xsi:nil="true"/>
    <Test_x0020_WF xmlns="d1269d0e-3d21-492c-95ee-c4f1a377396e">
      <Url xsi:nil="true"/>
      <Description xsi:nil="true"/>
    </Test_x0020_WF>
    <Assignee xmlns="8430d550-c2bd-4ade-ae56-0b82b076c537">
      <UserInfo>
        <DisplayName>Paul Mccabe</DisplayName>
        <AccountId>1713</AccountId>
        <AccountType/>
      </UserInfo>
    </Assignee>
    <Question_x0020_Number xmlns="8430d550-c2bd-4ade-ae56-0b82b076c537">01g - Revised </Question_x0020_Number>
    <Data_x0020_Request_x0020_Set_x0020_Name1 xmlns="8430d550-c2bd-4ade-ae56-0b82b076c537">CPUC-JWS-4</Data_x0020_Request_x0020_Set_x0020_Name1>
    <Reassignment xmlns="d1269d0e-3d21-492c-95ee-c4f1a377396e">
      <Url xsi:nil="true"/>
      <Description xsi:nil="true"/>
    </Reassignment>
    <Start_x0020_Security_x0020_WF xmlns="d1269d0e-3d21-492c-95ee-c4f1a377396e">
      <Url xsi:nil="true"/>
      <Description xsi:nil="true"/>
    </Start_x0020_Security_x0020_WF>
    <Attorney xmlns="8430d550-c2bd-4ade-ae56-0b82b076c537">
      <UserInfo>
        <DisplayName>Tammy Jones</DisplayName>
        <AccountId>1418</AccountId>
        <AccountType/>
      </UserInfo>
    </Attorney>
    <Received_x0020_Date xmlns="8430d550-c2bd-4ade-ae56-0b82b076c537">2019-12-23T08:00:00+00:00</Received_x0020_Date>
    <Year xmlns="8430d550-c2bd-4ade-ae56-0b82b076c537">2021</Year>
    <HeaderSpid xmlns="8430d550-c2bd-4ade-ae56-0b82b076c537">2399</HeaderSpid>
    <Question xmlns="8430d550-c2bd-4ade-ae56-0b82b076c537">Provide additional analysis as required by Decision D.18-08-026, Ordering Paragraph 4, items 4.a,
4.c, 4.f, 4.g and 4.i, replicated below:
g) Cost/benefit analysis of several alternatives for:
• enhancing reliability and
• providing additional capacity including evaluation of energy storage, distributed energy
resources, demand response or smart-grid solutions; and </Question>
    <Classification xmlns="8430d550-c2bd-4ade-ae56-0b82b076c537">Public</Classification>
    <Proceeding_x0020_Number xmlns="8430d550-c2bd-4ade-ae56-0b82b076c537">A.09-09-022</Proceeding_x0020_Number>
    <Party xmlns="8430d550-c2bd-4ade-ae56-0b82b076c537">4;#CPUC</Party>
    <Volume xmlns="d1269d0e-3d21-492c-95ee-c4f1a377396e" xsi:nil="true"/>
    <Exhibit xmlns="d1269d0e-3d21-492c-95ee-c4f1a377396e" xsi:nil="true"/>
    <Review_x0020_Status xmlns="8430d550-c2bd-4ade-ae56-0b82b076c537">
      <Url>https://edisonintl.sharepoint.com/teams/rcms365/_layouts/15/wrkstat.aspx?List=21149cbb-4f61-4bd7-8a64-8d38b2a0e31c&amp;WorkflowInstanceName=ca42cbfd-1c09-454a-8599-1f671976ddfc</Url>
      <Description>Ready for Case Admin</Description>
    </Review_x0020_Status>
    <DR_x0020_360_x0020_Link xmlns="8430d550-c2bd-4ade-ae56-0b82b076c537">
      <Url xsi:nil="true"/>
      <Description xsi:nil="true"/>
    </DR_x0020_360_x0020_Link>
    <Document_x0020_Type xmlns="8430d550-c2bd-4ade-ae56-0b82b076c537">Attachment</Document_x0020_Type>
    <Party xmlns="d1269d0e-3d21-492c-95ee-c4f1a377396e">4</Party>
    <Agency xmlns="8430d550-c2bd-4ade-ae56-0b82b076c537">CPUC</Agency>
    <_dlc_DocId xmlns="8430d550-c2bd-4ade-ae56-0b82b076c537">RCMS365-1419139168-89073</_dlc_DocId>
    <_dlc_DocIdUrl xmlns="8430d550-c2bd-4ade-ae56-0b82b076c537">
      <Url>https://edisonintl.sharepoint.com/teams/rcms365/_layouts/15/DocIdRedir.aspx?ID=RCMS365-1419139168-89073</Url>
      <Description>RCMS365-1419139168-89073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155766F-8078-4841-92BE-1753BD07E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0d550-c2bd-4ade-ae56-0b82b076c537"/>
    <ds:schemaRef ds:uri="d1269d0e-3d21-492c-95ee-c4f1a377396e"/>
    <ds:schemaRef ds:uri="http://schemas.microsoft.com/sharepoint/v3/field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F45F6-49D6-4AF4-BF39-72C97EDB4B2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8430d550-c2bd-4ade-ae56-0b82b076c537"/>
    <ds:schemaRef ds:uri="http://schemas.microsoft.com/office/infopath/2007/PartnerControls"/>
    <ds:schemaRef ds:uri="http://purl.org/dc/dcmitype/"/>
    <ds:schemaRef ds:uri="d1269d0e-3d21-492c-95ee-c4f1a377396e"/>
    <ds:schemaRef ds:uri="http://schemas.microsoft.com/sharepoint/v4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9927DA-3B2D-4C7A-89B6-DE7A25BF0D5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9B9C5E-09B3-4D0E-8482-F80C68BC68D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Summary</vt:lpstr>
      <vt:lpstr>Incr. C-B Reliability Indices</vt:lpstr>
      <vt:lpstr>Incr. C-B Monetized</vt:lpstr>
      <vt:lpstr>Levelized Cost Analysis</vt:lpstr>
      <vt:lpstr>Cost Assumptions</vt:lpstr>
      <vt:lpstr>Baseline System Analysis</vt:lpstr>
      <vt:lpstr>Alberhill System Project</vt:lpstr>
      <vt:lpstr>SDG&amp;E</vt:lpstr>
      <vt:lpstr>Valley S to Valley N to Vista</vt:lpstr>
      <vt:lpstr>Centralized BESS in Valley S</vt:lpstr>
      <vt:lpstr>MiraLoma &amp; Centralized BESS VS</vt:lpstr>
      <vt:lpstr>VS to VN &amp; Distributed BESS VS</vt:lpstr>
      <vt:lpstr>Menifee</vt:lpstr>
      <vt:lpstr>Mira Loma</vt:lpstr>
      <vt:lpstr>SCE Orange County</vt:lpstr>
      <vt:lpstr>VS to VN &amp; Central BESS VS VN </vt:lpstr>
      <vt:lpstr>VS to VN to VST &amp; Cen BESS VS</vt:lpstr>
      <vt:lpstr>SDG&amp;E and Central BESS in VS</vt:lpstr>
      <vt:lpstr>Valley South to Valley North</vt:lpstr>
      <vt:lpstr>Sourcedata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Anilkumar, Rahul</dc:creator>
  <cp:keywords/>
  <dc:description/>
  <cp:lastModifiedBy>Laura Placencia</cp:lastModifiedBy>
  <cp:revision/>
  <dcterms:created xsi:type="dcterms:W3CDTF">2018-12-26T17:46:05Z</dcterms:created>
  <dcterms:modified xsi:type="dcterms:W3CDTF">2020-04-23T23:30:05Z</dcterms:modified>
  <cp:category/>
  <cp:contentStatus>(5) Approved For Case Admin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0x0101003FDC8DB2EFA0734493CFBBBD1CB93690005CC82022603A0947A2C5F5F1889FA752</vt:lpwstr>
  </property>
  <property fmtid="{D5CDD505-2E9C-101B-9397-08002B2CF9AE}" pid="3" name="_dlc_DocIdItemGuid">
    <vt:lpwstr>64453391-7d16-4b99-b8bd-0a4c54f7eab8</vt:lpwstr>
  </property>
  <property fmtid="{D5CDD505-2E9C-101B-9397-08002B2CF9AE}" pid="4" name="_docset_NoMedatataSyncRequired">
    <vt:lpwstr>False</vt:lpwstr>
  </property>
</Properties>
</file>