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lacenl\Desktop\Laura\A.09-09-022 Alberhill\A.09-09-022 CPUC-JWS-4\"/>
    </mc:Choice>
  </mc:AlternateContent>
  <xr:revisionPtr revIDLastSave="0" documentId="8_{C44C8A54-8A86-43FC-B9E9-B3D01EC6C304}" xr6:coauthVersionLast="45" xr6:coauthVersionMax="45" xr10:uidLastSave="{00000000-0000-0000-0000-000000000000}"/>
  <bookViews>
    <workbookView xWindow="-110" yWindow="-110" windowWidth="19420" windowHeight="10420" tabRatio="619" xr2:uid="{00000000-000D-0000-FFFF-FFFF00000000}"/>
  </bookViews>
  <sheets>
    <sheet name="Summary" sheetId="7" r:id="rId1"/>
    <sheet name="Incr. C-B Reliability Indices" sheetId="18" r:id="rId2"/>
    <sheet name="Incr. C-B Monetized" sheetId="59" r:id="rId3"/>
    <sheet name="Levelized Cost Analysis" sheetId="60" r:id="rId4"/>
    <sheet name="Cost Assumptions" sheetId="16" r:id="rId5"/>
    <sheet name="Baseline System Analysis" sheetId="17" r:id="rId6"/>
    <sheet name="Alberhill System Project" sheetId="10" r:id="rId7"/>
    <sheet name="SDG&amp;E" sheetId="11" r:id="rId8"/>
    <sheet name="Valley S to Valley N to Vista" sheetId="12" r:id="rId9"/>
    <sheet name="Centralized BESS in Valley S" sheetId="13" r:id="rId10"/>
    <sheet name="MiraLoma &amp; Centralized BESS VS" sheetId="15" r:id="rId11"/>
    <sheet name="VS to VN &amp; Distributed BESS VS" sheetId="23" r:id="rId12"/>
    <sheet name="Menifee" sheetId="38" r:id="rId13"/>
    <sheet name="Mira Loma" sheetId="61" r:id="rId14"/>
    <sheet name="SCE Orange County" sheetId="43" r:id="rId15"/>
    <sheet name="VS to VN &amp; Central BESS VS VN " sheetId="45" r:id="rId16"/>
    <sheet name="VS to VN to VST &amp; Cen BESS VS" sheetId="47" r:id="rId17"/>
    <sheet name="SDG&amp;E and Central BESS in VS" sheetId="50" r:id="rId18"/>
    <sheet name="Valley South to Valley North" sheetId="58" r:id="rId19"/>
  </sheets>
  <definedNames>
    <definedName name="_xlnm._FilterDatabase" localSheetId="2" hidden="1">'Incr. C-B Monetized'!$A$4:$D$11</definedName>
    <definedName name="_xlnm._FilterDatabase" localSheetId="1" hidden="1">'Incr. C-B Reliability Indices'!$A$3:$D$10</definedName>
    <definedName name="_xlnm._FilterDatabase" localSheetId="0" hidden="1">Summary!$H$6:$J$18</definedName>
    <definedName name="Sourcedata">Summary!$A$6:$D$11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J36" i="59" l="1"/>
  <c r="AK36" i="59" s="1"/>
  <c r="C40" i="59" l="1"/>
  <c r="Z40" i="59"/>
  <c r="X40" i="59"/>
  <c r="V40" i="59"/>
  <c r="T40" i="59"/>
  <c r="R40" i="59"/>
  <c r="P40" i="59"/>
  <c r="N40" i="59"/>
  <c r="L40" i="59"/>
  <c r="J40" i="59"/>
  <c r="H40" i="59"/>
  <c r="F40" i="59"/>
  <c r="D40" i="59"/>
  <c r="F47" i="18"/>
  <c r="AB40" i="59"/>
  <c r="O18" i="11" l="1"/>
  <c r="P18" i="11" s="1"/>
  <c r="Q18" i="11" s="1"/>
  <c r="R18" i="11" s="1"/>
  <c r="S18" i="11" s="1"/>
  <c r="T18" i="11" s="1"/>
  <c r="U18" i="11" s="1"/>
  <c r="V18" i="11" s="1"/>
  <c r="W18" i="11" s="1"/>
  <c r="X18" i="11" s="1"/>
  <c r="Y18" i="11" s="1"/>
  <c r="Z18" i="11" s="1"/>
  <c r="AA18" i="11" s="1"/>
  <c r="AB18" i="11" s="1"/>
  <c r="AC18" i="11" s="1"/>
  <c r="E69" i="61" l="1"/>
  <c r="F69" i="61"/>
  <c r="G69" i="61"/>
  <c r="H69" i="61"/>
  <c r="I69" i="61"/>
  <c r="J69" i="61"/>
  <c r="K69" i="61"/>
  <c r="L69" i="61"/>
  <c r="M69" i="61"/>
  <c r="N69" i="61"/>
  <c r="O69" i="61"/>
  <c r="P69" i="61"/>
  <c r="Q69" i="61"/>
  <c r="R69" i="61"/>
  <c r="S69" i="61"/>
  <c r="T69" i="61"/>
  <c r="U69" i="61"/>
  <c r="V69" i="61"/>
  <c r="W69" i="61"/>
  <c r="X69" i="61"/>
  <c r="Y69" i="61"/>
  <c r="Z69" i="61"/>
  <c r="AA69" i="61"/>
  <c r="AB69" i="61"/>
  <c r="AC69" i="61"/>
  <c r="AD69" i="61"/>
  <c r="E70" i="61"/>
  <c r="F70" i="61"/>
  <c r="G70" i="61"/>
  <c r="H70" i="61"/>
  <c r="I70" i="61"/>
  <c r="J70" i="61"/>
  <c r="K70" i="61"/>
  <c r="L70" i="61"/>
  <c r="M70" i="61"/>
  <c r="N70" i="61"/>
  <c r="O70" i="61"/>
  <c r="P70" i="61"/>
  <c r="Q70" i="61"/>
  <c r="R70" i="61"/>
  <c r="S70" i="61"/>
  <c r="T70" i="61"/>
  <c r="U70" i="61"/>
  <c r="V70" i="61"/>
  <c r="W70" i="61"/>
  <c r="X70" i="61"/>
  <c r="Y70" i="61"/>
  <c r="Z70" i="61"/>
  <c r="AA70" i="61"/>
  <c r="AB70" i="61"/>
  <c r="AC70" i="61"/>
  <c r="AD70" i="61"/>
  <c r="AD70" i="23" l="1"/>
  <c r="AB47" i="18"/>
  <c r="Z47" i="18"/>
  <c r="X47" i="18"/>
  <c r="V47" i="18"/>
  <c r="AA47" i="18" l="1"/>
  <c r="AA46" i="18" s="1"/>
  <c r="C28" i="17" l="1"/>
  <c r="M26" i="17" l="1"/>
  <c r="N26" i="17"/>
  <c r="T26" i="17"/>
  <c r="X71" i="61" l="1"/>
  <c r="P71" i="61"/>
  <c r="Q71" i="61"/>
  <c r="D70" i="61"/>
  <c r="C70" i="61" s="1"/>
  <c r="AD71" i="61"/>
  <c r="Y71" i="61"/>
  <c r="W71" i="61"/>
  <c r="V71" i="61"/>
  <c r="N71" i="61"/>
  <c r="I71" i="61"/>
  <c r="H71" i="61"/>
  <c r="G71" i="61"/>
  <c r="F71" i="61"/>
  <c r="D69" i="61"/>
  <c r="C69" i="61" s="1"/>
  <c r="AD66" i="61"/>
  <c r="Y66" i="61"/>
  <c r="T66" i="61"/>
  <c r="N66" i="61"/>
  <c r="J66" i="61"/>
  <c r="D66" i="61"/>
  <c r="AD65" i="61"/>
  <c r="Y65" i="61"/>
  <c r="T65" i="61"/>
  <c r="N65" i="61"/>
  <c r="J65" i="61"/>
  <c r="D65" i="61"/>
  <c r="J67" i="61" l="1"/>
  <c r="Y67" i="61"/>
  <c r="D71" i="61"/>
  <c r="L71" i="61"/>
  <c r="T71" i="61"/>
  <c r="AB71" i="61"/>
  <c r="AD67" i="61"/>
  <c r="E71" i="61"/>
  <c r="M71" i="61"/>
  <c r="U71" i="61"/>
  <c r="AC71" i="61"/>
  <c r="J71" i="61"/>
  <c r="R71" i="61"/>
  <c r="Z71" i="61"/>
  <c r="D67" i="61"/>
  <c r="T67" i="61"/>
  <c r="K71" i="61"/>
  <c r="S71" i="61"/>
  <c r="AA71" i="61"/>
  <c r="O71" i="61"/>
  <c r="N67" i="61"/>
  <c r="AD15" i="61"/>
  <c r="AC15" i="61"/>
  <c r="AB15" i="61"/>
  <c r="AA15" i="61"/>
  <c r="Z15" i="61"/>
  <c r="Y15" i="61"/>
  <c r="X15" i="61"/>
  <c r="W15" i="61"/>
  <c r="V15" i="61"/>
  <c r="U15" i="61"/>
  <c r="T15" i="61"/>
  <c r="S15" i="61"/>
  <c r="R15" i="61"/>
  <c r="Q15" i="61"/>
  <c r="P15" i="61"/>
  <c r="O15" i="61"/>
  <c r="N15" i="61"/>
  <c r="M15" i="61"/>
  <c r="L15" i="61"/>
  <c r="K15" i="61"/>
  <c r="J15" i="61"/>
  <c r="I15" i="61"/>
  <c r="H15" i="61"/>
  <c r="G15" i="61"/>
  <c r="F15" i="61"/>
  <c r="E15" i="61"/>
  <c r="D15" i="61"/>
  <c r="AD14" i="61"/>
  <c r="AC14" i="61"/>
  <c r="AB14" i="61"/>
  <c r="AA14" i="61"/>
  <c r="Z14" i="61"/>
  <c r="Y14" i="61"/>
  <c r="X14" i="61"/>
  <c r="W14" i="61"/>
  <c r="V14" i="61"/>
  <c r="U14" i="61"/>
  <c r="T14" i="61"/>
  <c r="S14" i="61"/>
  <c r="R14" i="61"/>
  <c r="Q14" i="61"/>
  <c r="P14" i="61"/>
  <c r="O14" i="61"/>
  <c r="N14" i="61"/>
  <c r="M14" i="61"/>
  <c r="L14" i="61"/>
  <c r="K14" i="61"/>
  <c r="J14" i="61"/>
  <c r="I14" i="61"/>
  <c r="H14" i="61"/>
  <c r="G14" i="61"/>
  <c r="F14" i="61"/>
  <c r="E14" i="61"/>
  <c r="D14" i="61"/>
  <c r="AD13" i="61"/>
  <c r="AC13" i="61"/>
  <c r="AB13" i="61"/>
  <c r="AA13" i="61"/>
  <c r="Z13" i="61"/>
  <c r="Y13" i="61"/>
  <c r="X13" i="61"/>
  <c r="W13" i="61"/>
  <c r="V13" i="61"/>
  <c r="U13" i="61"/>
  <c r="T13" i="61"/>
  <c r="S13" i="61"/>
  <c r="R13" i="61"/>
  <c r="Q13" i="61"/>
  <c r="P13" i="61"/>
  <c r="O13" i="61"/>
  <c r="N13" i="61"/>
  <c r="M13" i="61"/>
  <c r="L13" i="61"/>
  <c r="K13" i="61"/>
  <c r="J13" i="61"/>
  <c r="I13" i="61"/>
  <c r="H13" i="61"/>
  <c r="G13" i="61"/>
  <c r="F13" i="61"/>
  <c r="E13" i="61"/>
  <c r="D13" i="61"/>
  <c r="Z12" i="61"/>
  <c r="U12" i="61"/>
  <c r="O12" i="61"/>
  <c r="N12" i="61"/>
  <c r="M12" i="61"/>
  <c r="L12" i="61"/>
  <c r="K12" i="61"/>
  <c r="J12" i="61"/>
  <c r="I12" i="61"/>
  <c r="H12" i="61"/>
  <c r="G12" i="61"/>
  <c r="F12" i="61"/>
  <c r="E12" i="61"/>
  <c r="D12" i="61"/>
  <c r="Z11" i="61"/>
  <c r="U11" i="61"/>
  <c r="O11" i="61"/>
  <c r="N11" i="61"/>
  <c r="M11" i="61"/>
  <c r="L11" i="61"/>
  <c r="K11" i="61"/>
  <c r="J11" i="61"/>
  <c r="I11" i="61"/>
  <c r="H11" i="61"/>
  <c r="G11" i="61"/>
  <c r="F11" i="61"/>
  <c r="E11" i="61"/>
  <c r="D11" i="61"/>
  <c r="Z10" i="61"/>
  <c r="U10" i="61"/>
  <c r="O10" i="61"/>
  <c r="N10" i="61"/>
  <c r="M10" i="61"/>
  <c r="L10" i="61"/>
  <c r="K10" i="61"/>
  <c r="J10" i="61"/>
  <c r="I10" i="61"/>
  <c r="H10" i="61"/>
  <c r="G10" i="61"/>
  <c r="F10" i="61"/>
  <c r="E10" i="61"/>
  <c r="D10" i="61"/>
  <c r="Z9" i="61"/>
  <c r="U9" i="61"/>
  <c r="O9" i="61"/>
  <c r="N9" i="61"/>
  <c r="M9" i="61"/>
  <c r="L9" i="61"/>
  <c r="K9" i="61"/>
  <c r="J9" i="61"/>
  <c r="I9" i="61"/>
  <c r="H9" i="61"/>
  <c r="G9" i="61"/>
  <c r="F9" i="61"/>
  <c r="E9" i="61"/>
  <c r="D9" i="61"/>
  <c r="Z8" i="61"/>
  <c r="U8" i="61"/>
  <c r="O8" i="61"/>
  <c r="N8" i="61"/>
  <c r="M8" i="61"/>
  <c r="L8" i="61"/>
  <c r="K8" i="61"/>
  <c r="J8" i="61"/>
  <c r="I8" i="61"/>
  <c r="H8" i="61"/>
  <c r="G8" i="61"/>
  <c r="F8" i="61"/>
  <c r="E8" i="61"/>
  <c r="D8" i="61"/>
  <c r="Z7" i="61"/>
  <c r="U7" i="61"/>
  <c r="O7" i="61"/>
  <c r="N7" i="61"/>
  <c r="M7" i="61"/>
  <c r="L7" i="61"/>
  <c r="K7" i="61"/>
  <c r="J7" i="61"/>
  <c r="I7" i="61"/>
  <c r="H7" i="61"/>
  <c r="G7" i="61"/>
  <c r="F7" i="61"/>
  <c r="E7" i="61"/>
  <c r="D7" i="61"/>
  <c r="Z6" i="61"/>
  <c r="U6" i="61"/>
  <c r="O6" i="61"/>
  <c r="N6" i="61"/>
  <c r="M6" i="61"/>
  <c r="L6" i="61"/>
  <c r="K6" i="61"/>
  <c r="J6" i="61"/>
  <c r="I6" i="61"/>
  <c r="H6" i="61"/>
  <c r="G6" i="61"/>
  <c r="F6" i="61"/>
  <c r="E6" i="61"/>
  <c r="D6" i="61"/>
  <c r="Z5" i="61"/>
  <c r="U5" i="61"/>
  <c r="O5" i="61"/>
  <c r="N5" i="61"/>
  <c r="M5" i="61"/>
  <c r="L5" i="61"/>
  <c r="K5" i="61"/>
  <c r="J5" i="61"/>
  <c r="I5" i="61"/>
  <c r="H5" i="61"/>
  <c r="G5" i="61"/>
  <c r="F5" i="61"/>
  <c r="E5" i="61"/>
  <c r="D5" i="61"/>
  <c r="Z4" i="61"/>
  <c r="U4" i="61"/>
  <c r="O4" i="61"/>
  <c r="N4" i="61"/>
  <c r="M4" i="61"/>
  <c r="L4" i="61"/>
  <c r="K4" i="61"/>
  <c r="J4" i="61"/>
  <c r="I4" i="61"/>
  <c r="H4" i="61"/>
  <c r="G4" i="61"/>
  <c r="F4" i="61"/>
  <c r="E4" i="61"/>
  <c r="D4" i="61"/>
  <c r="Z3" i="61"/>
  <c r="U3" i="61"/>
  <c r="O3" i="61"/>
  <c r="N3" i="61"/>
  <c r="M3" i="61"/>
  <c r="L3" i="61"/>
  <c r="K3" i="61"/>
  <c r="J3" i="61"/>
  <c r="I3" i="61"/>
  <c r="H3" i="61"/>
  <c r="G3" i="61"/>
  <c r="F3" i="61"/>
  <c r="E3" i="61"/>
  <c r="D3" i="61"/>
  <c r="O2" i="61"/>
  <c r="N2" i="61"/>
  <c r="M2" i="61"/>
  <c r="L2" i="61"/>
  <c r="K2" i="61"/>
  <c r="J2" i="61"/>
  <c r="I2" i="61"/>
  <c r="H2" i="61"/>
  <c r="G2" i="61"/>
  <c r="F2" i="61"/>
  <c r="E2" i="61"/>
  <c r="D2" i="61"/>
  <c r="C71" i="61" l="1"/>
  <c r="J24" i="59" s="1"/>
  <c r="AD42" i="17" l="1"/>
  <c r="AC42" i="17"/>
  <c r="AB42" i="17"/>
  <c r="AA42" i="17"/>
  <c r="Z42" i="17"/>
  <c r="Y42" i="17"/>
  <c r="X42" i="17"/>
  <c r="W42" i="17"/>
  <c r="V42" i="17"/>
  <c r="U42" i="17"/>
  <c r="T42" i="17"/>
  <c r="S42" i="17"/>
  <c r="R42" i="17"/>
  <c r="Q42" i="17"/>
  <c r="P42" i="17"/>
  <c r="O42" i="17"/>
  <c r="N42" i="17"/>
  <c r="M42" i="17"/>
  <c r="L42" i="17"/>
  <c r="K42" i="17"/>
  <c r="J42" i="17"/>
  <c r="I42" i="17"/>
  <c r="H42" i="17"/>
  <c r="G42" i="17"/>
  <c r="F42" i="17"/>
  <c r="E42" i="17"/>
  <c r="D42" i="17"/>
  <c r="AD30" i="17"/>
  <c r="AC30" i="17"/>
  <c r="AB30" i="17"/>
  <c r="AA30" i="17"/>
  <c r="Z30" i="17"/>
  <c r="Y30" i="17"/>
  <c r="X30" i="17"/>
  <c r="W30" i="17"/>
  <c r="V30" i="17"/>
  <c r="U30" i="17"/>
  <c r="T30" i="17"/>
  <c r="S30" i="17"/>
  <c r="R30" i="17"/>
  <c r="Q30" i="17"/>
  <c r="P30" i="17"/>
  <c r="O30" i="17"/>
  <c r="L30" i="17"/>
  <c r="K30" i="17"/>
  <c r="J30" i="17"/>
  <c r="I30" i="17"/>
  <c r="H30" i="17"/>
  <c r="G30" i="17"/>
  <c r="F30" i="17"/>
  <c r="E30" i="17"/>
  <c r="D30" i="17"/>
  <c r="AD26" i="17"/>
  <c r="Y26" i="17"/>
  <c r="J26" i="17"/>
  <c r="D26" i="17"/>
  <c r="Z25" i="17"/>
  <c r="U25" i="17"/>
  <c r="U66" i="61" s="1"/>
  <c r="O25" i="17"/>
  <c r="O66" i="61" s="1"/>
  <c r="E25" i="17"/>
  <c r="E66" i="61" s="1"/>
  <c r="Z24" i="17"/>
  <c r="Z65" i="61" s="1"/>
  <c r="U24" i="17"/>
  <c r="V24" i="17" s="1"/>
  <c r="O24" i="17"/>
  <c r="O26" i="17" s="1"/>
  <c r="E24" i="17"/>
  <c r="I81" i="61" l="1"/>
  <c r="I81" i="13"/>
  <c r="Q81" i="61"/>
  <c r="Q81" i="13"/>
  <c r="Y81" i="61"/>
  <c r="Y81" i="13"/>
  <c r="J81" i="61"/>
  <c r="J81" i="13"/>
  <c r="R81" i="61"/>
  <c r="R81" i="13"/>
  <c r="Z81" i="61"/>
  <c r="Z81" i="13"/>
  <c r="G81" i="61"/>
  <c r="G81" i="13"/>
  <c r="AA24" i="17"/>
  <c r="F25" i="17"/>
  <c r="K81" i="61"/>
  <c r="K81" i="13"/>
  <c r="S81" i="61"/>
  <c r="S81" i="13"/>
  <c r="AA81" i="61"/>
  <c r="AA81" i="13"/>
  <c r="O81" i="61"/>
  <c r="O81" i="13"/>
  <c r="P81" i="61"/>
  <c r="P81" i="13"/>
  <c r="E26" i="17"/>
  <c r="E65" i="61"/>
  <c r="D81" i="61"/>
  <c r="D81" i="13"/>
  <c r="L81" i="61"/>
  <c r="L81" i="13"/>
  <c r="T81" i="61"/>
  <c r="T81" i="13"/>
  <c r="AB81" i="61"/>
  <c r="AB81" i="13"/>
  <c r="H81" i="61"/>
  <c r="H81" i="13"/>
  <c r="E81" i="61"/>
  <c r="E81" i="13"/>
  <c r="M81" i="61"/>
  <c r="M81" i="13"/>
  <c r="U81" i="61"/>
  <c r="U81" i="13"/>
  <c r="AC81" i="61"/>
  <c r="AC81" i="13"/>
  <c r="W24" i="17"/>
  <c r="V65" i="61"/>
  <c r="W81" i="61"/>
  <c r="W81" i="13"/>
  <c r="X81" i="61"/>
  <c r="X81" i="13"/>
  <c r="U26" i="17"/>
  <c r="U65" i="61"/>
  <c r="U67" i="61" s="1"/>
  <c r="AA25" i="17"/>
  <c r="AA26" i="17" s="1"/>
  <c r="Z66" i="61"/>
  <c r="Z67" i="61" s="1"/>
  <c r="F81" i="61"/>
  <c r="F81" i="13"/>
  <c r="N81" i="61"/>
  <c r="N81" i="13"/>
  <c r="V81" i="61"/>
  <c r="V81" i="13"/>
  <c r="AD81" i="61"/>
  <c r="AD81" i="13"/>
  <c r="L65" i="61"/>
  <c r="P25" i="17"/>
  <c r="L26" i="17"/>
  <c r="K66" i="61"/>
  <c r="O65" i="61"/>
  <c r="O67" i="61" s="1"/>
  <c r="K26" i="17"/>
  <c r="K65" i="61"/>
  <c r="X24" i="17"/>
  <c r="Z26" i="17"/>
  <c r="F24" i="17"/>
  <c r="F65" i="61" s="1"/>
  <c r="P24" i="17"/>
  <c r="V25" i="17"/>
  <c r="X65" i="61" l="1"/>
  <c r="E67" i="61"/>
  <c r="W25" i="17"/>
  <c r="V66" i="61"/>
  <c r="V67" i="61" s="1"/>
  <c r="P65" i="61"/>
  <c r="P26" i="17"/>
  <c r="AB25" i="17"/>
  <c r="AA66" i="61"/>
  <c r="V26" i="17"/>
  <c r="G25" i="17"/>
  <c r="F66" i="61"/>
  <c r="C81" i="61"/>
  <c r="W65" i="61"/>
  <c r="AB24" i="17"/>
  <c r="AA65" i="61"/>
  <c r="M66" i="61"/>
  <c r="L66" i="61"/>
  <c r="L67" i="61" s="1"/>
  <c r="Q25" i="17"/>
  <c r="P66" i="61"/>
  <c r="P67" i="61" s="1"/>
  <c r="K67" i="61"/>
  <c r="M65" i="61"/>
  <c r="Q24" i="17"/>
  <c r="F26" i="17"/>
  <c r="G24" i="17"/>
  <c r="G65" i="61" s="1"/>
  <c r="AA67" i="61" l="1"/>
  <c r="H25" i="17"/>
  <c r="G66" i="61"/>
  <c r="G67" i="61" s="1"/>
  <c r="X25" i="17"/>
  <c r="W66" i="61"/>
  <c r="W67" i="61" s="1"/>
  <c r="Q65" i="61"/>
  <c r="Q26" i="17"/>
  <c r="AC25" i="17"/>
  <c r="AC66" i="61" s="1"/>
  <c r="AB66" i="61"/>
  <c r="AB65" i="61"/>
  <c r="AB26" i="17"/>
  <c r="AC24" i="17"/>
  <c r="F67" i="61"/>
  <c r="W26" i="17"/>
  <c r="R25" i="17"/>
  <c r="Q66" i="61"/>
  <c r="M67" i="61"/>
  <c r="R24" i="17"/>
  <c r="G26" i="17"/>
  <c r="H24" i="17"/>
  <c r="H65" i="61" s="1"/>
  <c r="Q67" i="61" l="1"/>
  <c r="R65" i="61"/>
  <c r="R26" i="17"/>
  <c r="AB67" i="61"/>
  <c r="X66" i="61"/>
  <c r="X67" i="61" s="1"/>
  <c r="X26" i="17"/>
  <c r="I25" i="17"/>
  <c r="I66" i="61" s="1"/>
  <c r="H66" i="61"/>
  <c r="AC26" i="17"/>
  <c r="AC65" i="61"/>
  <c r="AC67" i="61" s="1"/>
  <c r="S25" i="17"/>
  <c r="S66" i="61" s="1"/>
  <c r="R66" i="61"/>
  <c r="R67" i="61" s="1"/>
  <c r="S24" i="17"/>
  <c r="S26" i="17" s="1"/>
  <c r="H26" i="17"/>
  <c r="I24" i="17"/>
  <c r="C66" i="61" l="1"/>
  <c r="H67" i="61"/>
  <c r="I26" i="17"/>
  <c r="I65" i="61"/>
  <c r="S65" i="61"/>
  <c r="S67" i="61" s="1"/>
  <c r="I67" i="61" l="1"/>
  <c r="C67" i="61" s="1"/>
  <c r="C65" i="61"/>
  <c r="C66" i="18"/>
  <c r="C65" i="18" s="1"/>
  <c r="A55" i="18" l="1"/>
  <c r="B55" i="18"/>
  <c r="AQ184" i="18"/>
  <c r="AO184" i="18"/>
  <c r="AQ171" i="18"/>
  <c r="AO171" i="18"/>
  <c r="AQ158" i="18"/>
  <c r="AO158" i="18"/>
  <c r="AQ145" i="18"/>
  <c r="AO145" i="18"/>
  <c r="AQ132" i="18"/>
  <c r="AO132" i="18"/>
  <c r="AQ119" i="18"/>
  <c r="AO119" i="18"/>
  <c r="AQ106" i="18"/>
  <c r="AO106" i="18"/>
  <c r="AQ93" i="18"/>
  <c r="AO93" i="18"/>
  <c r="AO80" i="18"/>
  <c r="AQ80" i="18"/>
  <c r="AQ67" i="18"/>
  <c r="AN67" i="18"/>
  <c r="AO67" i="18" s="1"/>
  <c r="AQ54" i="18"/>
  <c r="AN54" i="18"/>
  <c r="AO54" i="18" s="1"/>
  <c r="AQ41" i="18"/>
  <c r="AN41" i="18"/>
  <c r="AO41" i="18" s="1"/>
  <c r="AQ25" i="18"/>
  <c r="AO25" i="18"/>
  <c r="AQ12" i="18"/>
  <c r="AO12" i="18"/>
  <c r="AQ79" i="18" l="1"/>
  <c r="AQ78" i="18"/>
  <c r="AD15" i="58" l="1"/>
  <c r="AD52" i="58" s="1"/>
  <c r="AC15" i="58"/>
  <c r="AC52" i="58" s="1"/>
  <c r="AB15" i="58"/>
  <c r="AB52" i="58" s="1"/>
  <c r="AA15" i="58"/>
  <c r="AA52" i="58" s="1"/>
  <c r="Z15" i="58"/>
  <c r="Z52" i="58" s="1"/>
  <c r="Y15" i="58"/>
  <c r="Y52" i="58" s="1"/>
  <c r="X15" i="58"/>
  <c r="X52" i="58" s="1"/>
  <c r="W15" i="58"/>
  <c r="W52" i="58" s="1"/>
  <c r="V15" i="58"/>
  <c r="V52" i="58" s="1"/>
  <c r="U15" i="58"/>
  <c r="U52" i="58" s="1"/>
  <c r="T15" i="58"/>
  <c r="T52" i="58" s="1"/>
  <c r="S15" i="58"/>
  <c r="S52" i="58" s="1"/>
  <c r="R15" i="58"/>
  <c r="R52" i="58" s="1"/>
  <c r="Q15" i="58"/>
  <c r="Q52" i="58" s="1"/>
  <c r="P15" i="58"/>
  <c r="P52" i="58" s="1"/>
  <c r="O15" i="58"/>
  <c r="O52" i="58" s="1"/>
  <c r="N15" i="58"/>
  <c r="N52" i="58" s="1"/>
  <c r="M15" i="58"/>
  <c r="M52" i="58" s="1"/>
  <c r="L15" i="58"/>
  <c r="L52" i="58" s="1"/>
  <c r="K15" i="58"/>
  <c r="K52" i="58" s="1"/>
  <c r="J15" i="58"/>
  <c r="J52" i="58" s="1"/>
  <c r="I15" i="58"/>
  <c r="I52" i="58" s="1"/>
  <c r="H15" i="58"/>
  <c r="H52" i="58" s="1"/>
  <c r="G15" i="58"/>
  <c r="G52" i="58" s="1"/>
  <c r="F15" i="58"/>
  <c r="F52" i="58" s="1"/>
  <c r="E15" i="58"/>
  <c r="E52" i="58" s="1"/>
  <c r="D15" i="58"/>
  <c r="D52" i="58" s="1"/>
  <c r="AD14" i="58"/>
  <c r="AD51" i="58" s="1"/>
  <c r="AC14" i="58"/>
  <c r="AC51" i="58" s="1"/>
  <c r="AB14" i="58"/>
  <c r="AB51" i="58" s="1"/>
  <c r="AA14" i="58"/>
  <c r="AA51" i="58" s="1"/>
  <c r="Z14" i="58"/>
  <c r="Z51" i="58" s="1"/>
  <c r="Y14" i="58"/>
  <c r="Y51" i="58" s="1"/>
  <c r="X14" i="58"/>
  <c r="X51" i="58" s="1"/>
  <c r="W14" i="58"/>
  <c r="W51" i="58" s="1"/>
  <c r="V14" i="58"/>
  <c r="V51" i="58" s="1"/>
  <c r="U14" i="58"/>
  <c r="U51" i="58" s="1"/>
  <c r="T14" i="58"/>
  <c r="T51" i="58" s="1"/>
  <c r="S14" i="58"/>
  <c r="S51" i="58" s="1"/>
  <c r="R14" i="58"/>
  <c r="R51" i="58" s="1"/>
  <c r="Q14" i="58"/>
  <c r="Q51" i="58" s="1"/>
  <c r="P14" i="58"/>
  <c r="P51" i="58" s="1"/>
  <c r="O14" i="58"/>
  <c r="O51" i="58" s="1"/>
  <c r="N14" i="58"/>
  <c r="N51" i="58" s="1"/>
  <c r="M14" i="58"/>
  <c r="M51" i="58" s="1"/>
  <c r="L14" i="58"/>
  <c r="L51" i="58" s="1"/>
  <c r="K14" i="58"/>
  <c r="K51" i="58" s="1"/>
  <c r="J14" i="58"/>
  <c r="J51" i="58" s="1"/>
  <c r="I14" i="58"/>
  <c r="I51" i="58" s="1"/>
  <c r="H14" i="58"/>
  <c r="H51" i="58" s="1"/>
  <c r="G14" i="58"/>
  <c r="G51" i="58" s="1"/>
  <c r="F14" i="58"/>
  <c r="F51" i="58" s="1"/>
  <c r="E14" i="58"/>
  <c r="E51" i="58" s="1"/>
  <c r="D14" i="58"/>
  <c r="D51" i="58" s="1"/>
  <c r="AD13" i="58"/>
  <c r="AD50" i="58" s="1"/>
  <c r="AC13" i="58"/>
  <c r="AC50" i="58" s="1"/>
  <c r="AB13" i="58"/>
  <c r="AB50" i="58" s="1"/>
  <c r="AA13" i="58"/>
  <c r="AA50" i="58" s="1"/>
  <c r="Z13" i="58"/>
  <c r="Z50" i="58" s="1"/>
  <c r="Y13" i="58"/>
  <c r="Y50" i="58" s="1"/>
  <c r="X13" i="58"/>
  <c r="X50" i="58" s="1"/>
  <c r="W13" i="58"/>
  <c r="W50" i="58" s="1"/>
  <c r="V13" i="58"/>
  <c r="V50" i="58" s="1"/>
  <c r="U13" i="58"/>
  <c r="U50" i="58" s="1"/>
  <c r="T13" i="58"/>
  <c r="T50" i="58" s="1"/>
  <c r="S13" i="58"/>
  <c r="S50" i="58" s="1"/>
  <c r="R13" i="58"/>
  <c r="R50" i="58" s="1"/>
  <c r="Q13" i="58"/>
  <c r="Q50" i="58" s="1"/>
  <c r="P13" i="58"/>
  <c r="P50" i="58" s="1"/>
  <c r="O13" i="58"/>
  <c r="O50" i="58" s="1"/>
  <c r="N13" i="58"/>
  <c r="N50" i="58" s="1"/>
  <c r="M13" i="58"/>
  <c r="M50" i="58" s="1"/>
  <c r="L13" i="58"/>
  <c r="L50" i="58" s="1"/>
  <c r="K13" i="58"/>
  <c r="K50" i="58" s="1"/>
  <c r="J13" i="58"/>
  <c r="J50" i="58" s="1"/>
  <c r="I13" i="58"/>
  <c r="I50" i="58" s="1"/>
  <c r="H13" i="58"/>
  <c r="H50" i="58" s="1"/>
  <c r="G13" i="58"/>
  <c r="G50" i="58" s="1"/>
  <c r="F13" i="58"/>
  <c r="F50" i="58" s="1"/>
  <c r="E13" i="58"/>
  <c r="E50" i="58" s="1"/>
  <c r="D13" i="58"/>
  <c r="D50" i="58" s="1"/>
  <c r="AD15" i="50"/>
  <c r="AD51" i="50" s="1"/>
  <c r="AC15" i="50"/>
  <c r="AC51" i="50" s="1"/>
  <c r="AB15" i="50"/>
  <c r="AB51" i="50" s="1"/>
  <c r="AA15" i="50"/>
  <c r="AA51" i="50" s="1"/>
  <c r="Z15" i="50"/>
  <c r="Z51" i="50" s="1"/>
  <c r="Y15" i="50"/>
  <c r="Y51" i="50" s="1"/>
  <c r="X15" i="50"/>
  <c r="X51" i="50" s="1"/>
  <c r="W15" i="50"/>
  <c r="W51" i="50" s="1"/>
  <c r="V15" i="50"/>
  <c r="V51" i="50" s="1"/>
  <c r="U15" i="50"/>
  <c r="U51" i="50" s="1"/>
  <c r="T15" i="50"/>
  <c r="T51" i="50" s="1"/>
  <c r="S15" i="50"/>
  <c r="S51" i="50" s="1"/>
  <c r="R15" i="50"/>
  <c r="R51" i="50" s="1"/>
  <c r="Q15" i="50"/>
  <c r="Q51" i="50" s="1"/>
  <c r="P15" i="50"/>
  <c r="P51" i="50" s="1"/>
  <c r="O15" i="50"/>
  <c r="O51" i="50" s="1"/>
  <c r="N15" i="50"/>
  <c r="N51" i="50" s="1"/>
  <c r="M15" i="50"/>
  <c r="M51" i="50" s="1"/>
  <c r="L15" i="50"/>
  <c r="L51" i="50" s="1"/>
  <c r="K15" i="50"/>
  <c r="K51" i="50" s="1"/>
  <c r="J15" i="50"/>
  <c r="J51" i="50" s="1"/>
  <c r="I15" i="50"/>
  <c r="I51" i="50" s="1"/>
  <c r="H15" i="50"/>
  <c r="H51" i="50" s="1"/>
  <c r="G15" i="50"/>
  <c r="G51" i="50" s="1"/>
  <c r="F15" i="50"/>
  <c r="F51" i="50" s="1"/>
  <c r="E15" i="50"/>
  <c r="E51" i="50" s="1"/>
  <c r="D15" i="50"/>
  <c r="D51" i="50" s="1"/>
  <c r="AD14" i="50"/>
  <c r="AD50" i="50" s="1"/>
  <c r="AC14" i="50"/>
  <c r="AC50" i="50" s="1"/>
  <c r="AB14" i="50"/>
  <c r="AB50" i="50" s="1"/>
  <c r="AA14" i="50"/>
  <c r="AA50" i="50" s="1"/>
  <c r="Z14" i="50"/>
  <c r="Z50" i="50" s="1"/>
  <c r="Y14" i="50"/>
  <c r="Y50" i="50" s="1"/>
  <c r="X14" i="50"/>
  <c r="X50" i="50" s="1"/>
  <c r="W14" i="50"/>
  <c r="W50" i="50" s="1"/>
  <c r="V14" i="50"/>
  <c r="V50" i="50" s="1"/>
  <c r="U14" i="50"/>
  <c r="U50" i="50" s="1"/>
  <c r="T14" i="50"/>
  <c r="T50" i="50" s="1"/>
  <c r="S14" i="50"/>
  <c r="S50" i="50" s="1"/>
  <c r="R14" i="50"/>
  <c r="R50" i="50" s="1"/>
  <c r="Q14" i="50"/>
  <c r="Q50" i="50" s="1"/>
  <c r="P14" i="50"/>
  <c r="P50" i="50" s="1"/>
  <c r="O14" i="50"/>
  <c r="O50" i="50" s="1"/>
  <c r="N14" i="50"/>
  <c r="N50" i="50" s="1"/>
  <c r="M14" i="50"/>
  <c r="M50" i="50" s="1"/>
  <c r="L14" i="50"/>
  <c r="L50" i="50" s="1"/>
  <c r="K14" i="50"/>
  <c r="K50" i="50" s="1"/>
  <c r="J14" i="50"/>
  <c r="J50" i="50" s="1"/>
  <c r="I14" i="50"/>
  <c r="I50" i="50" s="1"/>
  <c r="H14" i="50"/>
  <c r="H50" i="50" s="1"/>
  <c r="G14" i="50"/>
  <c r="G50" i="50" s="1"/>
  <c r="F14" i="50"/>
  <c r="F50" i="50" s="1"/>
  <c r="E14" i="50"/>
  <c r="E50" i="50" s="1"/>
  <c r="D14" i="50"/>
  <c r="D50" i="50" s="1"/>
  <c r="AD13" i="50"/>
  <c r="AD49" i="50" s="1"/>
  <c r="AC13" i="50"/>
  <c r="AC49" i="50" s="1"/>
  <c r="AB13" i="50"/>
  <c r="AB49" i="50" s="1"/>
  <c r="AA13" i="50"/>
  <c r="AA49" i="50" s="1"/>
  <c r="Z13" i="50"/>
  <c r="Z49" i="50" s="1"/>
  <c r="Y13" i="50"/>
  <c r="Y49" i="50" s="1"/>
  <c r="X13" i="50"/>
  <c r="X49" i="50" s="1"/>
  <c r="W13" i="50"/>
  <c r="W49" i="50" s="1"/>
  <c r="V13" i="50"/>
  <c r="V49" i="50" s="1"/>
  <c r="U13" i="50"/>
  <c r="U49" i="50" s="1"/>
  <c r="T13" i="50"/>
  <c r="T49" i="50" s="1"/>
  <c r="S13" i="50"/>
  <c r="S49" i="50" s="1"/>
  <c r="R13" i="50"/>
  <c r="R49" i="50" s="1"/>
  <c r="Q13" i="50"/>
  <c r="Q49" i="50" s="1"/>
  <c r="P13" i="50"/>
  <c r="P49" i="50" s="1"/>
  <c r="O13" i="50"/>
  <c r="O49" i="50" s="1"/>
  <c r="N13" i="50"/>
  <c r="N49" i="50" s="1"/>
  <c r="M13" i="50"/>
  <c r="M49" i="50" s="1"/>
  <c r="L13" i="50"/>
  <c r="L49" i="50" s="1"/>
  <c r="K13" i="50"/>
  <c r="K49" i="50" s="1"/>
  <c r="J13" i="50"/>
  <c r="J49" i="50" s="1"/>
  <c r="I13" i="50"/>
  <c r="I49" i="50" s="1"/>
  <c r="H13" i="50"/>
  <c r="H49" i="50" s="1"/>
  <c r="G13" i="50"/>
  <c r="G49" i="50" s="1"/>
  <c r="F13" i="50"/>
  <c r="F49" i="50" s="1"/>
  <c r="E13" i="50"/>
  <c r="E49" i="50" s="1"/>
  <c r="D13" i="50"/>
  <c r="D49" i="50" s="1"/>
  <c r="AD15" i="47"/>
  <c r="AD52" i="47" s="1"/>
  <c r="AC15" i="47"/>
  <c r="AC52" i="47" s="1"/>
  <c r="AB15" i="47"/>
  <c r="AB52" i="47" s="1"/>
  <c r="AA15" i="47"/>
  <c r="AA52" i="47" s="1"/>
  <c r="Z15" i="47"/>
  <c r="Z52" i="47" s="1"/>
  <c r="Y15" i="47"/>
  <c r="Y52" i="47" s="1"/>
  <c r="X15" i="47"/>
  <c r="X52" i="47" s="1"/>
  <c r="W15" i="47"/>
  <c r="W52" i="47" s="1"/>
  <c r="V15" i="47"/>
  <c r="V52" i="47" s="1"/>
  <c r="U15" i="47"/>
  <c r="U52" i="47" s="1"/>
  <c r="T15" i="47"/>
  <c r="T52" i="47" s="1"/>
  <c r="S15" i="47"/>
  <c r="S52" i="47" s="1"/>
  <c r="R15" i="47"/>
  <c r="R52" i="47" s="1"/>
  <c r="Q15" i="47"/>
  <c r="Q52" i="47" s="1"/>
  <c r="P15" i="47"/>
  <c r="P52" i="47" s="1"/>
  <c r="O15" i="47"/>
  <c r="O52" i="47" s="1"/>
  <c r="N15" i="47"/>
  <c r="N52" i="47" s="1"/>
  <c r="M15" i="47"/>
  <c r="M52" i="47" s="1"/>
  <c r="L15" i="47"/>
  <c r="L52" i="47" s="1"/>
  <c r="K15" i="47"/>
  <c r="K52" i="47" s="1"/>
  <c r="J15" i="47"/>
  <c r="J52" i="47" s="1"/>
  <c r="I15" i="47"/>
  <c r="I52" i="47" s="1"/>
  <c r="H15" i="47"/>
  <c r="H52" i="47" s="1"/>
  <c r="G15" i="47"/>
  <c r="G52" i="47" s="1"/>
  <c r="F15" i="47"/>
  <c r="F52" i="47" s="1"/>
  <c r="E15" i="47"/>
  <c r="E52" i="47" s="1"/>
  <c r="D15" i="47"/>
  <c r="D52" i="47" s="1"/>
  <c r="AD14" i="47"/>
  <c r="AD51" i="47" s="1"/>
  <c r="AC14" i="47"/>
  <c r="AC51" i="47" s="1"/>
  <c r="AB14" i="47"/>
  <c r="AB51" i="47" s="1"/>
  <c r="AA14" i="47"/>
  <c r="AA51" i="47" s="1"/>
  <c r="Z14" i="47"/>
  <c r="Z51" i="47" s="1"/>
  <c r="Y14" i="47"/>
  <c r="Y51" i="47" s="1"/>
  <c r="X14" i="47"/>
  <c r="X51" i="47" s="1"/>
  <c r="W14" i="47"/>
  <c r="W51" i="47" s="1"/>
  <c r="V14" i="47"/>
  <c r="V51" i="47" s="1"/>
  <c r="U14" i="47"/>
  <c r="U51" i="47" s="1"/>
  <c r="T14" i="47"/>
  <c r="T51" i="47" s="1"/>
  <c r="S14" i="47"/>
  <c r="S51" i="47" s="1"/>
  <c r="R14" i="47"/>
  <c r="R51" i="47" s="1"/>
  <c r="Q14" i="47"/>
  <c r="Q51" i="47" s="1"/>
  <c r="P14" i="47"/>
  <c r="P51" i="47" s="1"/>
  <c r="O14" i="47"/>
  <c r="O51" i="47" s="1"/>
  <c r="N14" i="47"/>
  <c r="N51" i="47" s="1"/>
  <c r="M14" i="47"/>
  <c r="M51" i="47" s="1"/>
  <c r="L14" i="47"/>
  <c r="L51" i="47" s="1"/>
  <c r="K14" i="47"/>
  <c r="K51" i="47" s="1"/>
  <c r="J14" i="47"/>
  <c r="J51" i="47" s="1"/>
  <c r="I14" i="47"/>
  <c r="I51" i="47" s="1"/>
  <c r="H14" i="47"/>
  <c r="H51" i="47" s="1"/>
  <c r="G14" i="47"/>
  <c r="G51" i="47" s="1"/>
  <c r="F14" i="47"/>
  <c r="F51" i="47" s="1"/>
  <c r="E14" i="47"/>
  <c r="E51" i="47" s="1"/>
  <c r="D14" i="47"/>
  <c r="D51" i="47" s="1"/>
  <c r="AD13" i="47"/>
  <c r="AD50" i="47" s="1"/>
  <c r="AC13" i="47"/>
  <c r="AC50" i="47" s="1"/>
  <c r="AB13" i="47"/>
  <c r="AB50" i="47" s="1"/>
  <c r="AA13" i="47"/>
  <c r="AA50" i="47" s="1"/>
  <c r="Z13" i="47"/>
  <c r="Z50" i="47" s="1"/>
  <c r="Y13" i="47"/>
  <c r="Y50" i="47" s="1"/>
  <c r="X13" i="47"/>
  <c r="X50" i="47" s="1"/>
  <c r="W13" i="47"/>
  <c r="W50" i="47" s="1"/>
  <c r="V13" i="47"/>
  <c r="V50" i="47" s="1"/>
  <c r="U13" i="47"/>
  <c r="U50" i="47" s="1"/>
  <c r="T13" i="47"/>
  <c r="T50" i="47" s="1"/>
  <c r="S13" i="47"/>
  <c r="S50" i="47" s="1"/>
  <c r="R13" i="47"/>
  <c r="R50" i="47" s="1"/>
  <c r="Q13" i="47"/>
  <c r="Q50" i="47" s="1"/>
  <c r="P13" i="47"/>
  <c r="P50" i="47" s="1"/>
  <c r="O13" i="47"/>
  <c r="O50" i="47" s="1"/>
  <c r="N13" i="47"/>
  <c r="N50" i="47" s="1"/>
  <c r="M13" i="47"/>
  <c r="M50" i="47" s="1"/>
  <c r="L13" i="47"/>
  <c r="L50" i="47" s="1"/>
  <c r="K13" i="47"/>
  <c r="K50" i="47" s="1"/>
  <c r="J13" i="47"/>
  <c r="J50" i="47" s="1"/>
  <c r="I13" i="47"/>
  <c r="I50" i="47" s="1"/>
  <c r="H13" i="47"/>
  <c r="H50" i="47" s="1"/>
  <c r="G13" i="47"/>
  <c r="G50" i="47" s="1"/>
  <c r="F13" i="47"/>
  <c r="F50" i="47" s="1"/>
  <c r="E13" i="47"/>
  <c r="E50" i="47" s="1"/>
  <c r="D13" i="47"/>
  <c r="D50" i="47" s="1"/>
  <c r="AD15" i="45"/>
  <c r="AD52" i="45" s="1"/>
  <c r="AC15" i="45"/>
  <c r="AC52" i="45" s="1"/>
  <c r="AB15" i="45"/>
  <c r="AB52" i="45" s="1"/>
  <c r="AA15" i="45"/>
  <c r="AA52" i="45" s="1"/>
  <c r="Z15" i="45"/>
  <c r="Z52" i="45" s="1"/>
  <c r="Y15" i="45"/>
  <c r="Y52" i="45" s="1"/>
  <c r="X15" i="45"/>
  <c r="X52" i="45" s="1"/>
  <c r="W15" i="45"/>
  <c r="W52" i="45" s="1"/>
  <c r="V15" i="45"/>
  <c r="V52" i="45" s="1"/>
  <c r="U15" i="45"/>
  <c r="U52" i="45" s="1"/>
  <c r="T15" i="45"/>
  <c r="T52" i="45" s="1"/>
  <c r="S15" i="45"/>
  <c r="S52" i="45" s="1"/>
  <c r="R15" i="45"/>
  <c r="R52" i="45" s="1"/>
  <c r="Q15" i="45"/>
  <c r="Q52" i="45" s="1"/>
  <c r="P15" i="45"/>
  <c r="P52" i="45" s="1"/>
  <c r="O15" i="45"/>
  <c r="O52" i="45" s="1"/>
  <c r="N15" i="45"/>
  <c r="N52" i="45" s="1"/>
  <c r="M15" i="45"/>
  <c r="M52" i="45" s="1"/>
  <c r="L15" i="45"/>
  <c r="L52" i="45" s="1"/>
  <c r="K15" i="45"/>
  <c r="K52" i="45" s="1"/>
  <c r="J15" i="45"/>
  <c r="J52" i="45" s="1"/>
  <c r="I15" i="45"/>
  <c r="I52" i="45" s="1"/>
  <c r="H15" i="45"/>
  <c r="H52" i="45" s="1"/>
  <c r="G15" i="45"/>
  <c r="G52" i="45" s="1"/>
  <c r="F15" i="45"/>
  <c r="F52" i="45" s="1"/>
  <c r="E15" i="45"/>
  <c r="E52" i="45" s="1"/>
  <c r="D15" i="45"/>
  <c r="D52" i="45" s="1"/>
  <c r="AD14" i="45"/>
  <c r="AD51" i="45" s="1"/>
  <c r="AC14" i="45"/>
  <c r="AC51" i="45" s="1"/>
  <c r="AB14" i="45"/>
  <c r="AB51" i="45" s="1"/>
  <c r="AA14" i="45"/>
  <c r="AA51" i="45" s="1"/>
  <c r="Z14" i="45"/>
  <c r="Z51" i="45" s="1"/>
  <c r="Y14" i="45"/>
  <c r="Y51" i="45" s="1"/>
  <c r="X14" i="45"/>
  <c r="X51" i="45" s="1"/>
  <c r="W14" i="45"/>
  <c r="W51" i="45" s="1"/>
  <c r="V14" i="45"/>
  <c r="V51" i="45" s="1"/>
  <c r="U14" i="45"/>
  <c r="U51" i="45" s="1"/>
  <c r="T14" i="45"/>
  <c r="T51" i="45" s="1"/>
  <c r="S14" i="45"/>
  <c r="S51" i="45" s="1"/>
  <c r="R14" i="45"/>
  <c r="R51" i="45" s="1"/>
  <c r="Q14" i="45"/>
  <c r="Q51" i="45" s="1"/>
  <c r="P14" i="45"/>
  <c r="P51" i="45" s="1"/>
  <c r="O14" i="45"/>
  <c r="O51" i="45" s="1"/>
  <c r="N14" i="45"/>
  <c r="N51" i="45" s="1"/>
  <c r="M14" i="45"/>
  <c r="M51" i="45" s="1"/>
  <c r="L14" i="45"/>
  <c r="L51" i="45" s="1"/>
  <c r="K14" i="45"/>
  <c r="K51" i="45" s="1"/>
  <c r="J14" i="45"/>
  <c r="J51" i="45" s="1"/>
  <c r="I14" i="45"/>
  <c r="I51" i="45" s="1"/>
  <c r="H14" i="45"/>
  <c r="H51" i="45" s="1"/>
  <c r="G14" i="45"/>
  <c r="G51" i="45" s="1"/>
  <c r="F14" i="45"/>
  <c r="F51" i="45" s="1"/>
  <c r="E14" i="45"/>
  <c r="E51" i="45" s="1"/>
  <c r="D14" i="45"/>
  <c r="D51" i="45" s="1"/>
  <c r="AD13" i="45"/>
  <c r="AD50" i="45" s="1"/>
  <c r="AC13" i="45"/>
  <c r="AC50" i="45" s="1"/>
  <c r="AB13" i="45"/>
  <c r="AB50" i="45" s="1"/>
  <c r="AA13" i="45"/>
  <c r="AA50" i="45" s="1"/>
  <c r="Z13" i="45"/>
  <c r="Z50" i="45" s="1"/>
  <c r="Y13" i="45"/>
  <c r="Y50" i="45" s="1"/>
  <c r="X13" i="45"/>
  <c r="X50" i="45" s="1"/>
  <c r="W13" i="45"/>
  <c r="W50" i="45" s="1"/>
  <c r="V13" i="45"/>
  <c r="V50" i="45" s="1"/>
  <c r="U13" i="45"/>
  <c r="U50" i="45" s="1"/>
  <c r="T13" i="45"/>
  <c r="T50" i="45" s="1"/>
  <c r="S13" i="45"/>
  <c r="S50" i="45" s="1"/>
  <c r="R13" i="45"/>
  <c r="R50" i="45" s="1"/>
  <c r="Q13" i="45"/>
  <c r="Q50" i="45" s="1"/>
  <c r="P13" i="45"/>
  <c r="P50" i="45" s="1"/>
  <c r="O13" i="45"/>
  <c r="O50" i="45" s="1"/>
  <c r="N13" i="45"/>
  <c r="N50" i="45" s="1"/>
  <c r="M13" i="45"/>
  <c r="M50" i="45" s="1"/>
  <c r="L13" i="45"/>
  <c r="L50" i="45" s="1"/>
  <c r="K13" i="45"/>
  <c r="K50" i="45" s="1"/>
  <c r="J13" i="45"/>
  <c r="J50" i="45" s="1"/>
  <c r="I13" i="45"/>
  <c r="I50" i="45" s="1"/>
  <c r="H13" i="45"/>
  <c r="H50" i="45" s="1"/>
  <c r="G13" i="45"/>
  <c r="G50" i="45" s="1"/>
  <c r="F13" i="45"/>
  <c r="F50" i="45" s="1"/>
  <c r="E13" i="45"/>
  <c r="E50" i="45" s="1"/>
  <c r="D13" i="45"/>
  <c r="D50" i="45" s="1"/>
  <c r="AD15" i="43"/>
  <c r="AD51" i="43" s="1"/>
  <c r="AC15" i="43"/>
  <c r="AC51" i="43" s="1"/>
  <c r="AB15" i="43"/>
  <c r="AB51" i="43" s="1"/>
  <c r="AA15" i="43"/>
  <c r="AA51" i="43" s="1"/>
  <c r="Z15" i="43"/>
  <c r="Z51" i="43" s="1"/>
  <c r="Y15" i="43"/>
  <c r="Y51" i="43" s="1"/>
  <c r="X15" i="43"/>
  <c r="X51" i="43" s="1"/>
  <c r="W15" i="43"/>
  <c r="W51" i="43" s="1"/>
  <c r="V15" i="43"/>
  <c r="V51" i="43" s="1"/>
  <c r="U15" i="43"/>
  <c r="U51" i="43" s="1"/>
  <c r="T15" i="43"/>
  <c r="T51" i="43" s="1"/>
  <c r="S15" i="43"/>
  <c r="S51" i="43" s="1"/>
  <c r="R15" i="43"/>
  <c r="R51" i="43" s="1"/>
  <c r="Q15" i="43"/>
  <c r="Q51" i="43" s="1"/>
  <c r="P15" i="43"/>
  <c r="P51" i="43" s="1"/>
  <c r="O15" i="43"/>
  <c r="O51" i="43" s="1"/>
  <c r="N15" i="43"/>
  <c r="N51" i="43" s="1"/>
  <c r="M15" i="43"/>
  <c r="M51" i="43" s="1"/>
  <c r="L15" i="43"/>
  <c r="L51" i="43" s="1"/>
  <c r="K15" i="43"/>
  <c r="K51" i="43" s="1"/>
  <c r="J15" i="43"/>
  <c r="J51" i="43" s="1"/>
  <c r="I15" i="43"/>
  <c r="I51" i="43" s="1"/>
  <c r="H15" i="43"/>
  <c r="H51" i="43" s="1"/>
  <c r="G15" i="43"/>
  <c r="G51" i="43" s="1"/>
  <c r="F15" i="43"/>
  <c r="F51" i="43" s="1"/>
  <c r="E15" i="43"/>
  <c r="E51" i="43" s="1"/>
  <c r="D15" i="43"/>
  <c r="D51" i="43" s="1"/>
  <c r="AD14" i="43"/>
  <c r="AD50" i="43" s="1"/>
  <c r="AC14" i="43"/>
  <c r="AC50" i="43" s="1"/>
  <c r="AB14" i="43"/>
  <c r="AB50" i="43" s="1"/>
  <c r="AA14" i="43"/>
  <c r="AA50" i="43" s="1"/>
  <c r="Z14" i="43"/>
  <c r="Z50" i="43" s="1"/>
  <c r="Y14" i="43"/>
  <c r="Y50" i="43" s="1"/>
  <c r="X14" i="43"/>
  <c r="X50" i="43" s="1"/>
  <c r="W14" i="43"/>
  <c r="W50" i="43" s="1"/>
  <c r="V14" i="43"/>
  <c r="V50" i="43" s="1"/>
  <c r="U14" i="43"/>
  <c r="U50" i="43" s="1"/>
  <c r="T14" i="43"/>
  <c r="T50" i="43" s="1"/>
  <c r="S14" i="43"/>
  <c r="S50" i="43" s="1"/>
  <c r="R14" i="43"/>
  <c r="R50" i="43" s="1"/>
  <c r="Q14" i="43"/>
  <c r="Q50" i="43" s="1"/>
  <c r="P14" i="43"/>
  <c r="P50" i="43" s="1"/>
  <c r="O14" i="43"/>
  <c r="O50" i="43" s="1"/>
  <c r="N14" i="43"/>
  <c r="N50" i="43" s="1"/>
  <c r="M14" i="43"/>
  <c r="M50" i="43" s="1"/>
  <c r="L14" i="43"/>
  <c r="L50" i="43" s="1"/>
  <c r="K14" i="43"/>
  <c r="K50" i="43" s="1"/>
  <c r="J14" i="43"/>
  <c r="J50" i="43" s="1"/>
  <c r="I14" i="43"/>
  <c r="I50" i="43" s="1"/>
  <c r="H14" i="43"/>
  <c r="H50" i="43" s="1"/>
  <c r="G14" i="43"/>
  <c r="G50" i="43" s="1"/>
  <c r="F14" i="43"/>
  <c r="F50" i="43" s="1"/>
  <c r="E14" i="43"/>
  <c r="E50" i="43" s="1"/>
  <c r="D14" i="43"/>
  <c r="D50" i="43" s="1"/>
  <c r="AD13" i="43"/>
  <c r="AD49" i="43" s="1"/>
  <c r="AC13" i="43"/>
  <c r="AC49" i="43" s="1"/>
  <c r="AB13" i="43"/>
  <c r="AB49" i="43" s="1"/>
  <c r="AA13" i="43"/>
  <c r="AA49" i="43" s="1"/>
  <c r="Z13" i="43"/>
  <c r="Z49" i="43" s="1"/>
  <c r="Y13" i="43"/>
  <c r="Y49" i="43" s="1"/>
  <c r="X13" i="43"/>
  <c r="X49" i="43" s="1"/>
  <c r="W13" i="43"/>
  <c r="W49" i="43" s="1"/>
  <c r="V13" i="43"/>
  <c r="V49" i="43" s="1"/>
  <c r="U13" i="43"/>
  <c r="U49" i="43" s="1"/>
  <c r="T13" i="43"/>
  <c r="T49" i="43" s="1"/>
  <c r="S13" i="43"/>
  <c r="S49" i="43" s="1"/>
  <c r="R13" i="43"/>
  <c r="R49" i="43" s="1"/>
  <c r="Q13" i="43"/>
  <c r="Q49" i="43" s="1"/>
  <c r="P13" i="43"/>
  <c r="P49" i="43" s="1"/>
  <c r="O13" i="43"/>
  <c r="O49" i="43" s="1"/>
  <c r="N13" i="43"/>
  <c r="N49" i="43" s="1"/>
  <c r="M13" i="43"/>
  <c r="M49" i="43" s="1"/>
  <c r="L13" i="43"/>
  <c r="L49" i="43" s="1"/>
  <c r="K13" i="43"/>
  <c r="K49" i="43" s="1"/>
  <c r="J13" i="43"/>
  <c r="J49" i="43" s="1"/>
  <c r="I13" i="43"/>
  <c r="I49" i="43" s="1"/>
  <c r="H13" i="43"/>
  <c r="H49" i="43" s="1"/>
  <c r="G13" i="43"/>
  <c r="G49" i="43" s="1"/>
  <c r="F13" i="43"/>
  <c r="F49" i="43" s="1"/>
  <c r="E13" i="43"/>
  <c r="E49" i="43" s="1"/>
  <c r="D13" i="43"/>
  <c r="D49" i="43" s="1"/>
  <c r="AD51" i="61"/>
  <c r="AC51" i="61"/>
  <c r="AB51" i="61"/>
  <c r="AA51" i="61"/>
  <c r="Z51" i="61"/>
  <c r="Y51" i="61"/>
  <c r="X51" i="61"/>
  <c r="W51" i="61"/>
  <c r="V51" i="61"/>
  <c r="U51" i="61"/>
  <c r="T51" i="61"/>
  <c r="S51" i="61"/>
  <c r="R51" i="61"/>
  <c r="Q51" i="61"/>
  <c r="P51" i="61"/>
  <c r="O51" i="61"/>
  <c r="N51" i="61"/>
  <c r="M51" i="61"/>
  <c r="L51" i="61"/>
  <c r="K51" i="61"/>
  <c r="J51" i="61"/>
  <c r="I51" i="61"/>
  <c r="H51" i="61"/>
  <c r="G51" i="61"/>
  <c r="F51" i="61"/>
  <c r="E51" i="61"/>
  <c r="D51" i="61"/>
  <c r="AD50" i="61"/>
  <c r="AC50" i="61"/>
  <c r="AB50" i="61"/>
  <c r="AA50" i="61"/>
  <c r="Z50" i="61"/>
  <c r="Y50" i="61"/>
  <c r="X50" i="61"/>
  <c r="W50" i="61"/>
  <c r="V50" i="61"/>
  <c r="U50" i="61"/>
  <c r="T50" i="61"/>
  <c r="S50" i="61"/>
  <c r="R50" i="61"/>
  <c r="Q50" i="61"/>
  <c r="P50" i="61"/>
  <c r="O50" i="61"/>
  <c r="N50" i="61"/>
  <c r="M50" i="61"/>
  <c r="L50" i="61"/>
  <c r="K50" i="61"/>
  <c r="J50" i="61"/>
  <c r="I50" i="61"/>
  <c r="H50" i="61"/>
  <c r="G50" i="61"/>
  <c r="F50" i="61"/>
  <c r="E50" i="61"/>
  <c r="D50" i="61"/>
  <c r="AD49" i="61"/>
  <c r="AC49" i="61"/>
  <c r="AB49" i="61"/>
  <c r="AA49" i="61"/>
  <c r="Z49" i="61"/>
  <c r="Y49" i="61"/>
  <c r="X49" i="61"/>
  <c r="W49" i="61"/>
  <c r="V49" i="61"/>
  <c r="U49" i="61"/>
  <c r="T49" i="61"/>
  <c r="S49" i="61"/>
  <c r="R49" i="61"/>
  <c r="Q49" i="61"/>
  <c r="P49" i="61"/>
  <c r="O49" i="61"/>
  <c r="N49" i="61"/>
  <c r="M49" i="61"/>
  <c r="L49" i="61"/>
  <c r="K49" i="61"/>
  <c r="J49" i="61"/>
  <c r="I49" i="61"/>
  <c r="H49" i="61"/>
  <c r="G49" i="61"/>
  <c r="F49" i="61"/>
  <c r="E49" i="61"/>
  <c r="D49" i="61"/>
  <c r="AD15" i="38"/>
  <c r="AD51" i="38" s="1"/>
  <c r="AC15" i="38"/>
  <c r="AC51" i="38" s="1"/>
  <c r="AB15" i="38"/>
  <c r="AB51" i="38" s="1"/>
  <c r="AA15" i="38"/>
  <c r="AA51" i="38" s="1"/>
  <c r="Z15" i="38"/>
  <c r="Z51" i="38" s="1"/>
  <c r="Y15" i="38"/>
  <c r="Y51" i="38" s="1"/>
  <c r="X15" i="38"/>
  <c r="X51" i="38" s="1"/>
  <c r="W15" i="38"/>
  <c r="W51" i="38" s="1"/>
  <c r="V15" i="38"/>
  <c r="V51" i="38" s="1"/>
  <c r="U15" i="38"/>
  <c r="U51" i="38" s="1"/>
  <c r="T15" i="38"/>
  <c r="T51" i="38" s="1"/>
  <c r="S15" i="38"/>
  <c r="S51" i="38" s="1"/>
  <c r="R15" i="38"/>
  <c r="R51" i="38" s="1"/>
  <c r="Q15" i="38"/>
  <c r="Q51" i="38" s="1"/>
  <c r="P15" i="38"/>
  <c r="P51" i="38" s="1"/>
  <c r="O15" i="38"/>
  <c r="O51" i="38" s="1"/>
  <c r="N15" i="38"/>
  <c r="N51" i="38" s="1"/>
  <c r="M15" i="38"/>
  <c r="M51" i="38" s="1"/>
  <c r="L15" i="38"/>
  <c r="L51" i="38" s="1"/>
  <c r="K15" i="38"/>
  <c r="K51" i="38" s="1"/>
  <c r="J15" i="38"/>
  <c r="J51" i="38" s="1"/>
  <c r="I15" i="38"/>
  <c r="I51" i="38" s="1"/>
  <c r="H15" i="38"/>
  <c r="H51" i="38" s="1"/>
  <c r="G15" i="38"/>
  <c r="G51" i="38" s="1"/>
  <c r="F15" i="38"/>
  <c r="F51" i="38" s="1"/>
  <c r="E15" i="38"/>
  <c r="E51" i="38" s="1"/>
  <c r="D15" i="38"/>
  <c r="D51" i="38" s="1"/>
  <c r="AD14" i="38"/>
  <c r="AD50" i="38" s="1"/>
  <c r="AC14" i="38"/>
  <c r="AC50" i="38" s="1"/>
  <c r="AB14" i="38"/>
  <c r="AB50" i="38" s="1"/>
  <c r="AA14" i="38"/>
  <c r="AA50" i="38" s="1"/>
  <c r="Z14" i="38"/>
  <c r="Z50" i="38" s="1"/>
  <c r="Y14" i="38"/>
  <c r="Y50" i="38" s="1"/>
  <c r="X14" i="38"/>
  <c r="X50" i="38" s="1"/>
  <c r="W14" i="38"/>
  <c r="W50" i="38" s="1"/>
  <c r="V14" i="38"/>
  <c r="V50" i="38" s="1"/>
  <c r="U14" i="38"/>
  <c r="U50" i="38" s="1"/>
  <c r="T14" i="38"/>
  <c r="T50" i="38" s="1"/>
  <c r="S14" i="38"/>
  <c r="S50" i="38" s="1"/>
  <c r="R14" i="38"/>
  <c r="R50" i="38" s="1"/>
  <c r="Q14" i="38"/>
  <c r="Q50" i="38" s="1"/>
  <c r="P14" i="38"/>
  <c r="P50" i="38" s="1"/>
  <c r="O14" i="38"/>
  <c r="O50" i="38" s="1"/>
  <c r="N14" i="38"/>
  <c r="N50" i="38" s="1"/>
  <c r="M14" i="38"/>
  <c r="M50" i="38" s="1"/>
  <c r="L14" i="38"/>
  <c r="L50" i="38" s="1"/>
  <c r="K14" i="38"/>
  <c r="K50" i="38" s="1"/>
  <c r="J14" i="38"/>
  <c r="J50" i="38" s="1"/>
  <c r="I14" i="38"/>
  <c r="I50" i="38" s="1"/>
  <c r="H14" i="38"/>
  <c r="H50" i="38" s="1"/>
  <c r="G14" i="38"/>
  <c r="G50" i="38" s="1"/>
  <c r="F14" i="38"/>
  <c r="F50" i="38" s="1"/>
  <c r="E14" i="38"/>
  <c r="E50" i="38" s="1"/>
  <c r="D14" i="38"/>
  <c r="D50" i="38" s="1"/>
  <c r="AD13" i="38"/>
  <c r="AD49" i="38" s="1"/>
  <c r="AC13" i="38"/>
  <c r="AC49" i="38" s="1"/>
  <c r="AB13" i="38"/>
  <c r="AB49" i="38" s="1"/>
  <c r="AA13" i="38"/>
  <c r="AA49" i="38" s="1"/>
  <c r="Z13" i="38"/>
  <c r="Z49" i="38" s="1"/>
  <c r="Y13" i="38"/>
  <c r="Y49" i="38" s="1"/>
  <c r="X13" i="38"/>
  <c r="X49" i="38" s="1"/>
  <c r="W13" i="38"/>
  <c r="W49" i="38" s="1"/>
  <c r="V13" i="38"/>
  <c r="V49" i="38" s="1"/>
  <c r="U13" i="38"/>
  <c r="U49" i="38" s="1"/>
  <c r="T13" i="38"/>
  <c r="T49" i="38" s="1"/>
  <c r="S13" i="38"/>
  <c r="S49" i="38" s="1"/>
  <c r="R13" i="38"/>
  <c r="R49" i="38" s="1"/>
  <c r="Q13" i="38"/>
  <c r="Q49" i="38" s="1"/>
  <c r="P13" i="38"/>
  <c r="P49" i="38" s="1"/>
  <c r="O13" i="38"/>
  <c r="O49" i="38" s="1"/>
  <c r="N13" i="38"/>
  <c r="N49" i="38" s="1"/>
  <c r="M13" i="38"/>
  <c r="M49" i="38" s="1"/>
  <c r="L13" i="38"/>
  <c r="L49" i="38" s="1"/>
  <c r="K13" i="38"/>
  <c r="K49" i="38" s="1"/>
  <c r="J13" i="38"/>
  <c r="J49" i="38" s="1"/>
  <c r="I13" i="38"/>
  <c r="I49" i="38" s="1"/>
  <c r="H13" i="38"/>
  <c r="H49" i="38" s="1"/>
  <c r="G13" i="38"/>
  <c r="G49" i="38" s="1"/>
  <c r="F13" i="38"/>
  <c r="F49" i="38" s="1"/>
  <c r="E13" i="38"/>
  <c r="E49" i="38" s="1"/>
  <c r="D13" i="38"/>
  <c r="D49" i="38" s="1"/>
  <c r="AD15" i="23"/>
  <c r="AD52" i="23" s="1"/>
  <c r="AC15" i="23"/>
  <c r="AC52" i="23" s="1"/>
  <c r="AB15" i="23"/>
  <c r="AB52" i="23" s="1"/>
  <c r="AA15" i="23"/>
  <c r="AA52" i="23" s="1"/>
  <c r="Z15" i="23"/>
  <c r="Z52" i="23" s="1"/>
  <c r="Y15" i="23"/>
  <c r="Y52" i="23" s="1"/>
  <c r="X15" i="23"/>
  <c r="X52" i="23" s="1"/>
  <c r="W15" i="23"/>
  <c r="W52" i="23" s="1"/>
  <c r="V15" i="23"/>
  <c r="V52" i="23" s="1"/>
  <c r="U15" i="23"/>
  <c r="U52" i="23" s="1"/>
  <c r="T15" i="23"/>
  <c r="T52" i="23" s="1"/>
  <c r="S15" i="23"/>
  <c r="S52" i="23" s="1"/>
  <c r="R15" i="23"/>
  <c r="R52" i="23" s="1"/>
  <c r="Q15" i="23"/>
  <c r="Q52" i="23" s="1"/>
  <c r="P15" i="23"/>
  <c r="P52" i="23" s="1"/>
  <c r="O15" i="23"/>
  <c r="O52" i="23" s="1"/>
  <c r="N15" i="23"/>
  <c r="N52" i="23" s="1"/>
  <c r="M15" i="23"/>
  <c r="M52" i="23" s="1"/>
  <c r="L15" i="23"/>
  <c r="L52" i="23" s="1"/>
  <c r="K15" i="23"/>
  <c r="K52" i="23" s="1"/>
  <c r="J15" i="23"/>
  <c r="J52" i="23" s="1"/>
  <c r="I15" i="23"/>
  <c r="I52" i="23" s="1"/>
  <c r="H15" i="23"/>
  <c r="H52" i="23" s="1"/>
  <c r="G15" i="23"/>
  <c r="G52" i="23" s="1"/>
  <c r="F15" i="23"/>
  <c r="F52" i="23" s="1"/>
  <c r="E15" i="23"/>
  <c r="E52" i="23" s="1"/>
  <c r="D15" i="23"/>
  <c r="D52" i="23" s="1"/>
  <c r="AD14" i="23"/>
  <c r="AD51" i="23" s="1"/>
  <c r="AC14" i="23"/>
  <c r="AC51" i="23" s="1"/>
  <c r="AB14" i="23"/>
  <c r="AB51" i="23" s="1"/>
  <c r="AA14" i="23"/>
  <c r="AA51" i="23" s="1"/>
  <c r="Z14" i="23"/>
  <c r="Z51" i="23" s="1"/>
  <c r="Y14" i="23"/>
  <c r="Y51" i="23" s="1"/>
  <c r="X14" i="23"/>
  <c r="X51" i="23" s="1"/>
  <c r="W14" i="23"/>
  <c r="W51" i="23" s="1"/>
  <c r="V14" i="23"/>
  <c r="V51" i="23" s="1"/>
  <c r="U14" i="23"/>
  <c r="U51" i="23" s="1"/>
  <c r="T14" i="23"/>
  <c r="T51" i="23" s="1"/>
  <c r="S14" i="23"/>
  <c r="S51" i="23" s="1"/>
  <c r="R14" i="23"/>
  <c r="R51" i="23" s="1"/>
  <c r="Q14" i="23"/>
  <c r="Q51" i="23" s="1"/>
  <c r="P14" i="23"/>
  <c r="P51" i="23" s="1"/>
  <c r="O14" i="23"/>
  <c r="O51" i="23" s="1"/>
  <c r="N14" i="23"/>
  <c r="N51" i="23" s="1"/>
  <c r="M14" i="23"/>
  <c r="M51" i="23" s="1"/>
  <c r="L14" i="23"/>
  <c r="L51" i="23" s="1"/>
  <c r="K14" i="23"/>
  <c r="K51" i="23" s="1"/>
  <c r="J14" i="23"/>
  <c r="J51" i="23" s="1"/>
  <c r="I14" i="23"/>
  <c r="I51" i="23" s="1"/>
  <c r="H14" i="23"/>
  <c r="H51" i="23" s="1"/>
  <c r="G14" i="23"/>
  <c r="G51" i="23" s="1"/>
  <c r="F14" i="23"/>
  <c r="F51" i="23" s="1"/>
  <c r="E14" i="23"/>
  <c r="E51" i="23" s="1"/>
  <c r="D14" i="23"/>
  <c r="D51" i="23" s="1"/>
  <c r="AD13" i="23"/>
  <c r="AD50" i="23" s="1"/>
  <c r="AC13" i="23"/>
  <c r="AC50" i="23" s="1"/>
  <c r="AB13" i="23"/>
  <c r="AB50" i="23" s="1"/>
  <c r="AA13" i="23"/>
  <c r="AA50" i="23" s="1"/>
  <c r="Z13" i="23"/>
  <c r="Z50" i="23" s="1"/>
  <c r="Y13" i="23"/>
  <c r="Y50" i="23" s="1"/>
  <c r="X13" i="23"/>
  <c r="X50" i="23" s="1"/>
  <c r="W13" i="23"/>
  <c r="W50" i="23" s="1"/>
  <c r="V13" i="23"/>
  <c r="V50" i="23" s="1"/>
  <c r="U13" i="23"/>
  <c r="U50" i="23" s="1"/>
  <c r="T13" i="23"/>
  <c r="T50" i="23" s="1"/>
  <c r="S13" i="23"/>
  <c r="S50" i="23" s="1"/>
  <c r="R13" i="23"/>
  <c r="R50" i="23" s="1"/>
  <c r="Q13" i="23"/>
  <c r="Q50" i="23" s="1"/>
  <c r="P13" i="23"/>
  <c r="P50" i="23" s="1"/>
  <c r="O13" i="23"/>
  <c r="O50" i="23" s="1"/>
  <c r="N13" i="23"/>
  <c r="N50" i="23" s="1"/>
  <c r="M13" i="23"/>
  <c r="M50" i="23" s="1"/>
  <c r="L13" i="23"/>
  <c r="L50" i="23" s="1"/>
  <c r="K13" i="23"/>
  <c r="K50" i="23" s="1"/>
  <c r="J13" i="23"/>
  <c r="J50" i="23" s="1"/>
  <c r="I13" i="23"/>
  <c r="I50" i="23" s="1"/>
  <c r="H13" i="23"/>
  <c r="H50" i="23" s="1"/>
  <c r="G13" i="23"/>
  <c r="G50" i="23" s="1"/>
  <c r="F13" i="23"/>
  <c r="F50" i="23" s="1"/>
  <c r="E13" i="23"/>
  <c r="E50" i="23" s="1"/>
  <c r="D13" i="23"/>
  <c r="D50" i="23" s="1"/>
  <c r="AD15" i="15"/>
  <c r="AD51" i="15" s="1"/>
  <c r="AC15" i="15"/>
  <c r="AC51" i="15" s="1"/>
  <c r="AB15" i="15"/>
  <c r="AB51" i="15" s="1"/>
  <c r="AA15" i="15"/>
  <c r="AA51" i="15" s="1"/>
  <c r="Z15" i="15"/>
  <c r="Z51" i="15" s="1"/>
  <c r="Y15" i="15"/>
  <c r="Y51" i="15" s="1"/>
  <c r="X15" i="15"/>
  <c r="X51" i="15" s="1"/>
  <c r="W15" i="15"/>
  <c r="W51" i="15" s="1"/>
  <c r="V15" i="15"/>
  <c r="V51" i="15" s="1"/>
  <c r="U15" i="15"/>
  <c r="U51" i="15" s="1"/>
  <c r="T15" i="15"/>
  <c r="T51" i="15" s="1"/>
  <c r="S15" i="15"/>
  <c r="S51" i="15" s="1"/>
  <c r="R15" i="15"/>
  <c r="R51" i="15" s="1"/>
  <c r="Q15" i="15"/>
  <c r="Q51" i="15" s="1"/>
  <c r="P15" i="15"/>
  <c r="P51" i="15" s="1"/>
  <c r="O15" i="15"/>
  <c r="O51" i="15" s="1"/>
  <c r="N15" i="15"/>
  <c r="N51" i="15" s="1"/>
  <c r="M15" i="15"/>
  <c r="M51" i="15" s="1"/>
  <c r="L15" i="15"/>
  <c r="L51" i="15" s="1"/>
  <c r="K15" i="15"/>
  <c r="K51" i="15" s="1"/>
  <c r="J15" i="15"/>
  <c r="J51" i="15" s="1"/>
  <c r="I15" i="15"/>
  <c r="I51" i="15" s="1"/>
  <c r="H15" i="15"/>
  <c r="H51" i="15" s="1"/>
  <c r="G15" i="15"/>
  <c r="G51" i="15" s="1"/>
  <c r="F15" i="15"/>
  <c r="F51" i="15" s="1"/>
  <c r="E15" i="15"/>
  <c r="E51" i="15" s="1"/>
  <c r="D15" i="15"/>
  <c r="D51" i="15" s="1"/>
  <c r="AD14" i="15"/>
  <c r="AD50" i="15" s="1"/>
  <c r="AC14" i="15"/>
  <c r="AC50" i="15" s="1"/>
  <c r="AB14" i="15"/>
  <c r="AB50" i="15" s="1"/>
  <c r="AA14" i="15"/>
  <c r="AA50" i="15" s="1"/>
  <c r="Z14" i="15"/>
  <c r="Z50" i="15" s="1"/>
  <c r="Y14" i="15"/>
  <c r="Y50" i="15" s="1"/>
  <c r="X14" i="15"/>
  <c r="X50" i="15" s="1"/>
  <c r="W14" i="15"/>
  <c r="W50" i="15" s="1"/>
  <c r="V14" i="15"/>
  <c r="V50" i="15" s="1"/>
  <c r="U14" i="15"/>
  <c r="U50" i="15" s="1"/>
  <c r="T14" i="15"/>
  <c r="T50" i="15" s="1"/>
  <c r="S14" i="15"/>
  <c r="S50" i="15" s="1"/>
  <c r="R14" i="15"/>
  <c r="R50" i="15" s="1"/>
  <c r="Q14" i="15"/>
  <c r="Q50" i="15" s="1"/>
  <c r="P14" i="15"/>
  <c r="P50" i="15" s="1"/>
  <c r="O14" i="15"/>
  <c r="O50" i="15" s="1"/>
  <c r="N14" i="15"/>
  <c r="N50" i="15" s="1"/>
  <c r="M14" i="15"/>
  <c r="M50" i="15" s="1"/>
  <c r="L14" i="15"/>
  <c r="L50" i="15" s="1"/>
  <c r="K14" i="15"/>
  <c r="K50" i="15" s="1"/>
  <c r="J14" i="15"/>
  <c r="J50" i="15" s="1"/>
  <c r="I14" i="15"/>
  <c r="I50" i="15" s="1"/>
  <c r="H14" i="15"/>
  <c r="H50" i="15" s="1"/>
  <c r="G14" i="15"/>
  <c r="G50" i="15" s="1"/>
  <c r="F14" i="15"/>
  <c r="F50" i="15" s="1"/>
  <c r="E14" i="15"/>
  <c r="E50" i="15" s="1"/>
  <c r="D14" i="15"/>
  <c r="D50" i="15" s="1"/>
  <c r="AD13" i="15"/>
  <c r="AD49" i="15" s="1"/>
  <c r="AC13" i="15"/>
  <c r="AC49" i="15" s="1"/>
  <c r="AB13" i="15"/>
  <c r="AB49" i="15" s="1"/>
  <c r="AA13" i="15"/>
  <c r="AA49" i="15" s="1"/>
  <c r="Z13" i="15"/>
  <c r="Z49" i="15" s="1"/>
  <c r="Y13" i="15"/>
  <c r="Y49" i="15" s="1"/>
  <c r="X13" i="15"/>
  <c r="X49" i="15" s="1"/>
  <c r="W13" i="15"/>
  <c r="W49" i="15" s="1"/>
  <c r="V13" i="15"/>
  <c r="V49" i="15" s="1"/>
  <c r="U13" i="15"/>
  <c r="U49" i="15" s="1"/>
  <c r="T13" i="15"/>
  <c r="T49" i="15" s="1"/>
  <c r="S13" i="15"/>
  <c r="S49" i="15" s="1"/>
  <c r="R13" i="15"/>
  <c r="R49" i="15" s="1"/>
  <c r="Q13" i="15"/>
  <c r="Q49" i="15" s="1"/>
  <c r="P13" i="15"/>
  <c r="P49" i="15" s="1"/>
  <c r="O13" i="15"/>
  <c r="O49" i="15" s="1"/>
  <c r="N13" i="15"/>
  <c r="N49" i="15" s="1"/>
  <c r="M13" i="15"/>
  <c r="M49" i="15" s="1"/>
  <c r="L13" i="15"/>
  <c r="L49" i="15" s="1"/>
  <c r="K13" i="15"/>
  <c r="K49" i="15" s="1"/>
  <c r="J13" i="15"/>
  <c r="J49" i="15" s="1"/>
  <c r="I13" i="15"/>
  <c r="I49" i="15" s="1"/>
  <c r="H13" i="15"/>
  <c r="H49" i="15" s="1"/>
  <c r="G13" i="15"/>
  <c r="G49" i="15" s="1"/>
  <c r="F13" i="15"/>
  <c r="F49" i="15" s="1"/>
  <c r="E13" i="15"/>
  <c r="E49" i="15" s="1"/>
  <c r="D13" i="15"/>
  <c r="D49" i="15" s="1"/>
  <c r="AD15" i="13"/>
  <c r="AD51" i="13" s="1"/>
  <c r="AC15" i="13"/>
  <c r="AC51" i="13" s="1"/>
  <c r="AB15" i="13"/>
  <c r="AB51" i="13" s="1"/>
  <c r="AA15" i="13"/>
  <c r="AA51" i="13" s="1"/>
  <c r="Z15" i="13"/>
  <c r="Z51" i="13" s="1"/>
  <c r="Y15" i="13"/>
  <c r="Y51" i="13" s="1"/>
  <c r="X15" i="13"/>
  <c r="X51" i="13" s="1"/>
  <c r="W15" i="13"/>
  <c r="W51" i="13" s="1"/>
  <c r="V15" i="13"/>
  <c r="V51" i="13" s="1"/>
  <c r="U15" i="13"/>
  <c r="U51" i="13" s="1"/>
  <c r="T15" i="13"/>
  <c r="T51" i="13" s="1"/>
  <c r="S15" i="13"/>
  <c r="S51" i="13" s="1"/>
  <c r="R15" i="13"/>
  <c r="R51" i="13" s="1"/>
  <c r="Q15" i="13"/>
  <c r="Q51" i="13" s="1"/>
  <c r="P15" i="13"/>
  <c r="P51" i="13" s="1"/>
  <c r="O15" i="13"/>
  <c r="O51" i="13" s="1"/>
  <c r="N15" i="13"/>
  <c r="N51" i="13" s="1"/>
  <c r="M15" i="13"/>
  <c r="M51" i="13" s="1"/>
  <c r="L15" i="13"/>
  <c r="L51" i="13" s="1"/>
  <c r="K15" i="13"/>
  <c r="K51" i="13" s="1"/>
  <c r="J15" i="13"/>
  <c r="J51" i="13" s="1"/>
  <c r="I15" i="13"/>
  <c r="I51" i="13" s="1"/>
  <c r="H15" i="13"/>
  <c r="H51" i="13" s="1"/>
  <c r="G15" i="13"/>
  <c r="G51" i="13" s="1"/>
  <c r="F15" i="13"/>
  <c r="F51" i="13" s="1"/>
  <c r="E15" i="13"/>
  <c r="E51" i="13" s="1"/>
  <c r="D15" i="13"/>
  <c r="D51" i="13" s="1"/>
  <c r="AD14" i="13"/>
  <c r="AD50" i="13" s="1"/>
  <c r="AC14" i="13"/>
  <c r="AC50" i="13" s="1"/>
  <c r="AB14" i="13"/>
  <c r="AB50" i="13" s="1"/>
  <c r="AA14" i="13"/>
  <c r="AA50" i="13" s="1"/>
  <c r="Z14" i="13"/>
  <c r="Z50" i="13" s="1"/>
  <c r="Y14" i="13"/>
  <c r="Y50" i="13" s="1"/>
  <c r="X14" i="13"/>
  <c r="X50" i="13" s="1"/>
  <c r="W14" i="13"/>
  <c r="W50" i="13" s="1"/>
  <c r="V14" i="13"/>
  <c r="V50" i="13" s="1"/>
  <c r="U14" i="13"/>
  <c r="U50" i="13" s="1"/>
  <c r="T14" i="13"/>
  <c r="T50" i="13" s="1"/>
  <c r="S14" i="13"/>
  <c r="S50" i="13" s="1"/>
  <c r="R14" i="13"/>
  <c r="R50" i="13" s="1"/>
  <c r="Q14" i="13"/>
  <c r="Q50" i="13" s="1"/>
  <c r="P14" i="13"/>
  <c r="P50" i="13" s="1"/>
  <c r="O14" i="13"/>
  <c r="O50" i="13" s="1"/>
  <c r="N14" i="13"/>
  <c r="N50" i="13" s="1"/>
  <c r="M14" i="13"/>
  <c r="M50" i="13" s="1"/>
  <c r="L14" i="13"/>
  <c r="L50" i="13" s="1"/>
  <c r="K14" i="13"/>
  <c r="K50" i="13" s="1"/>
  <c r="J14" i="13"/>
  <c r="J50" i="13" s="1"/>
  <c r="I14" i="13"/>
  <c r="I50" i="13" s="1"/>
  <c r="H14" i="13"/>
  <c r="H50" i="13" s="1"/>
  <c r="G14" i="13"/>
  <c r="G50" i="13" s="1"/>
  <c r="F14" i="13"/>
  <c r="F50" i="13" s="1"/>
  <c r="E14" i="13"/>
  <c r="E50" i="13" s="1"/>
  <c r="D14" i="13"/>
  <c r="D50" i="13" s="1"/>
  <c r="AD13" i="13"/>
  <c r="AD49" i="13" s="1"/>
  <c r="AC13" i="13"/>
  <c r="AC49" i="13" s="1"/>
  <c r="AB13" i="13"/>
  <c r="AB49" i="13" s="1"/>
  <c r="AA13" i="13"/>
  <c r="AA49" i="13" s="1"/>
  <c r="Z13" i="13"/>
  <c r="Z49" i="13" s="1"/>
  <c r="Y13" i="13"/>
  <c r="Y49" i="13" s="1"/>
  <c r="X13" i="13"/>
  <c r="X49" i="13" s="1"/>
  <c r="W13" i="13"/>
  <c r="W49" i="13" s="1"/>
  <c r="V13" i="13"/>
  <c r="V49" i="13" s="1"/>
  <c r="U13" i="13"/>
  <c r="U49" i="13" s="1"/>
  <c r="T13" i="13"/>
  <c r="T49" i="13" s="1"/>
  <c r="S13" i="13"/>
  <c r="S49" i="13" s="1"/>
  <c r="R13" i="13"/>
  <c r="R49" i="13" s="1"/>
  <c r="Q13" i="13"/>
  <c r="Q49" i="13" s="1"/>
  <c r="P13" i="13"/>
  <c r="P49" i="13" s="1"/>
  <c r="O13" i="13"/>
  <c r="O49" i="13" s="1"/>
  <c r="N13" i="13"/>
  <c r="N49" i="13" s="1"/>
  <c r="M13" i="13"/>
  <c r="M49" i="13" s="1"/>
  <c r="L13" i="13"/>
  <c r="L49" i="13" s="1"/>
  <c r="K13" i="13"/>
  <c r="K49" i="13" s="1"/>
  <c r="J13" i="13"/>
  <c r="J49" i="13" s="1"/>
  <c r="I13" i="13"/>
  <c r="I49" i="13" s="1"/>
  <c r="H13" i="13"/>
  <c r="H49" i="13" s="1"/>
  <c r="G13" i="13"/>
  <c r="G49" i="13" s="1"/>
  <c r="F13" i="13"/>
  <c r="F49" i="13" s="1"/>
  <c r="E13" i="13"/>
  <c r="E49" i="13" s="1"/>
  <c r="D13" i="13"/>
  <c r="D49" i="13" s="1"/>
  <c r="AD15" i="12"/>
  <c r="AD52" i="12" s="1"/>
  <c r="AC15" i="12"/>
  <c r="AC52" i="12" s="1"/>
  <c r="AB15" i="12"/>
  <c r="AB52" i="12" s="1"/>
  <c r="AA15" i="12"/>
  <c r="AA52" i="12" s="1"/>
  <c r="Z15" i="12"/>
  <c r="Z52" i="12" s="1"/>
  <c r="Y15" i="12"/>
  <c r="Y52" i="12" s="1"/>
  <c r="X15" i="12"/>
  <c r="X52" i="12" s="1"/>
  <c r="W15" i="12"/>
  <c r="W52" i="12" s="1"/>
  <c r="V15" i="12"/>
  <c r="V52" i="12" s="1"/>
  <c r="U15" i="12"/>
  <c r="U52" i="12" s="1"/>
  <c r="T15" i="12"/>
  <c r="T52" i="12" s="1"/>
  <c r="S15" i="12"/>
  <c r="S52" i="12" s="1"/>
  <c r="R15" i="12"/>
  <c r="R52" i="12" s="1"/>
  <c r="Q15" i="12"/>
  <c r="Q52" i="12" s="1"/>
  <c r="P15" i="12"/>
  <c r="P52" i="12" s="1"/>
  <c r="O15" i="12"/>
  <c r="O52" i="12" s="1"/>
  <c r="N15" i="12"/>
  <c r="N52" i="12" s="1"/>
  <c r="M15" i="12"/>
  <c r="M52" i="12" s="1"/>
  <c r="L15" i="12"/>
  <c r="L52" i="12" s="1"/>
  <c r="K15" i="12"/>
  <c r="K52" i="12" s="1"/>
  <c r="J15" i="12"/>
  <c r="J52" i="12" s="1"/>
  <c r="I15" i="12"/>
  <c r="I52" i="12" s="1"/>
  <c r="H15" i="12"/>
  <c r="H52" i="12" s="1"/>
  <c r="G15" i="12"/>
  <c r="G52" i="12" s="1"/>
  <c r="F15" i="12"/>
  <c r="F52" i="12" s="1"/>
  <c r="E15" i="12"/>
  <c r="E52" i="12" s="1"/>
  <c r="D15" i="12"/>
  <c r="D52" i="12" s="1"/>
  <c r="AD14" i="12"/>
  <c r="AD51" i="12" s="1"/>
  <c r="AC14" i="12"/>
  <c r="AC51" i="12" s="1"/>
  <c r="AB14" i="12"/>
  <c r="AB51" i="12" s="1"/>
  <c r="AA14" i="12"/>
  <c r="AA51" i="12" s="1"/>
  <c r="Z14" i="12"/>
  <c r="Z51" i="12" s="1"/>
  <c r="Y14" i="12"/>
  <c r="Y51" i="12" s="1"/>
  <c r="X14" i="12"/>
  <c r="X51" i="12" s="1"/>
  <c r="W14" i="12"/>
  <c r="W51" i="12" s="1"/>
  <c r="V14" i="12"/>
  <c r="V51" i="12" s="1"/>
  <c r="U14" i="12"/>
  <c r="U51" i="12" s="1"/>
  <c r="T14" i="12"/>
  <c r="T51" i="12" s="1"/>
  <c r="S14" i="12"/>
  <c r="S51" i="12" s="1"/>
  <c r="R14" i="12"/>
  <c r="R51" i="12" s="1"/>
  <c r="Q14" i="12"/>
  <c r="Q51" i="12" s="1"/>
  <c r="P14" i="12"/>
  <c r="P51" i="12" s="1"/>
  <c r="O14" i="12"/>
  <c r="O51" i="12" s="1"/>
  <c r="N14" i="12"/>
  <c r="N51" i="12" s="1"/>
  <c r="M14" i="12"/>
  <c r="M51" i="12" s="1"/>
  <c r="L14" i="12"/>
  <c r="L51" i="12" s="1"/>
  <c r="K14" i="12"/>
  <c r="K51" i="12" s="1"/>
  <c r="J14" i="12"/>
  <c r="J51" i="12" s="1"/>
  <c r="I14" i="12"/>
  <c r="I51" i="12" s="1"/>
  <c r="H14" i="12"/>
  <c r="H51" i="12" s="1"/>
  <c r="G14" i="12"/>
  <c r="G51" i="12" s="1"/>
  <c r="F14" i="12"/>
  <c r="F51" i="12" s="1"/>
  <c r="E14" i="12"/>
  <c r="E51" i="12" s="1"/>
  <c r="D14" i="12"/>
  <c r="D51" i="12" s="1"/>
  <c r="AD13" i="12"/>
  <c r="AD50" i="12" s="1"/>
  <c r="AC13" i="12"/>
  <c r="AC50" i="12" s="1"/>
  <c r="AB13" i="12"/>
  <c r="AB50" i="12" s="1"/>
  <c r="AA13" i="12"/>
  <c r="AA50" i="12" s="1"/>
  <c r="Z13" i="12"/>
  <c r="Z50" i="12" s="1"/>
  <c r="Y13" i="12"/>
  <c r="Y50" i="12" s="1"/>
  <c r="X13" i="12"/>
  <c r="X50" i="12" s="1"/>
  <c r="W13" i="12"/>
  <c r="W50" i="12" s="1"/>
  <c r="V13" i="12"/>
  <c r="V50" i="12" s="1"/>
  <c r="U13" i="12"/>
  <c r="U50" i="12" s="1"/>
  <c r="T13" i="12"/>
  <c r="T50" i="12" s="1"/>
  <c r="S13" i="12"/>
  <c r="S50" i="12" s="1"/>
  <c r="R13" i="12"/>
  <c r="R50" i="12" s="1"/>
  <c r="Q13" i="12"/>
  <c r="Q50" i="12" s="1"/>
  <c r="P13" i="12"/>
  <c r="P50" i="12" s="1"/>
  <c r="O13" i="12"/>
  <c r="O50" i="12" s="1"/>
  <c r="N13" i="12"/>
  <c r="M13" i="12"/>
  <c r="L13" i="12"/>
  <c r="K13" i="12"/>
  <c r="J13" i="12"/>
  <c r="J50" i="12" s="1"/>
  <c r="I13" i="12"/>
  <c r="I50" i="12" s="1"/>
  <c r="H13" i="12"/>
  <c r="H50" i="12" s="1"/>
  <c r="G13" i="12"/>
  <c r="G50" i="12" s="1"/>
  <c r="F13" i="12"/>
  <c r="F50" i="12" s="1"/>
  <c r="E13" i="12"/>
  <c r="E50" i="12" s="1"/>
  <c r="D13" i="12"/>
  <c r="D50" i="12" s="1"/>
  <c r="AD15" i="11"/>
  <c r="AD51" i="11" s="1"/>
  <c r="AC15" i="11"/>
  <c r="AC51" i="11" s="1"/>
  <c r="AB15" i="11"/>
  <c r="AB51" i="11" s="1"/>
  <c r="AA15" i="11"/>
  <c r="AA51" i="11" s="1"/>
  <c r="Z15" i="11"/>
  <c r="Z51" i="11" s="1"/>
  <c r="Y15" i="11"/>
  <c r="Y51" i="11" s="1"/>
  <c r="X15" i="11"/>
  <c r="X51" i="11" s="1"/>
  <c r="W15" i="11"/>
  <c r="W51" i="11" s="1"/>
  <c r="V15" i="11"/>
  <c r="V51" i="11" s="1"/>
  <c r="U15" i="11"/>
  <c r="U51" i="11" s="1"/>
  <c r="T15" i="11"/>
  <c r="T51" i="11" s="1"/>
  <c r="S15" i="11"/>
  <c r="S51" i="11" s="1"/>
  <c r="R15" i="11"/>
  <c r="R51" i="11" s="1"/>
  <c r="Q15" i="11"/>
  <c r="Q51" i="11" s="1"/>
  <c r="P15" i="11"/>
  <c r="P51" i="11" s="1"/>
  <c r="O15" i="11"/>
  <c r="O51" i="11" s="1"/>
  <c r="N15" i="11"/>
  <c r="N51" i="11" s="1"/>
  <c r="M15" i="11"/>
  <c r="M51" i="11" s="1"/>
  <c r="L15" i="11"/>
  <c r="L51" i="11" s="1"/>
  <c r="K15" i="11"/>
  <c r="K51" i="11" s="1"/>
  <c r="J15" i="11"/>
  <c r="J51" i="11" s="1"/>
  <c r="I15" i="11"/>
  <c r="I51" i="11" s="1"/>
  <c r="H15" i="11"/>
  <c r="H51" i="11" s="1"/>
  <c r="G15" i="11"/>
  <c r="G51" i="11" s="1"/>
  <c r="F15" i="11"/>
  <c r="F51" i="11" s="1"/>
  <c r="E15" i="11"/>
  <c r="E51" i="11" s="1"/>
  <c r="D15" i="11"/>
  <c r="D51" i="11" s="1"/>
  <c r="AD14" i="11"/>
  <c r="AD50" i="11" s="1"/>
  <c r="AC14" i="11"/>
  <c r="AC50" i="11" s="1"/>
  <c r="AB14" i="11"/>
  <c r="AB50" i="11" s="1"/>
  <c r="AA14" i="11"/>
  <c r="AA50" i="11" s="1"/>
  <c r="Z14" i="11"/>
  <c r="Z50" i="11" s="1"/>
  <c r="Y14" i="11"/>
  <c r="Y50" i="11" s="1"/>
  <c r="X14" i="11"/>
  <c r="X50" i="11" s="1"/>
  <c r="W14" i="11"/>
  <c r="W50" i="11" s="1"/>
  <c r="V14" i="11"/>
  <c r="V50" i="11" s="1"/>
  <c r="U14" i="11"/>
  <c r="U50" i="11" s="1"/>
  <c r="T14" i="11"/>
  <c r="T50" i="11" s="1"/>
  <c r="S14" i="11"/>
  <c r="S50" i="11" s="1"/>
  <c r="R14" i="11"/>
  <c r="R50" i="11" s="1"/>
  <c r="Q14" i="11"/>
  <c r="Q50" i="11" s="1"/>
  <c r="P14" i="11"/>
  <c r="P50" i="11" s="1"/>
  <c r="O14" i="11"/>
  <c r="O50" i="11" s="1"/>
  <c r="N14" i="11"/>
  <c r="N50" i="11" s="1"/>
  <c r="M14" i="11"/>
  <c r="M50" i="11" s="1"/>
  <c r="L14" i="11"/>
  <c r="L50" i="11" s="1"/>
  <c r="K14" i="11"/>
  <c r="K50" i="11" s="1"/>
  <c r="J14" i="11"/>
  <c r="J50" i="11" s="1"/>
  <c r="I14" i="11"/>
  <c r="I50" i="11" s="1"/>
  <c r="H14" i="11"/>
  <c r="H50" i="11" s="1"/>
  <c r="G14" i="11"/>
  <c r="G50" i="11" s="1"/>
  <c r="F14" i="11"/>
  <c r="F50" i="11" s="1"/>
  <c r="E14" i="11"/>
  <c r="E50" i="11" s="1"/>
  <c r="D14" i="11"/>
  <c r="D50" i="11" s="1"/>
  <c r="AD13" i="11"/>
  <c r="AD49" i="11" s="1"/>
  <c r="AC13" i="11"/>
  <c r="AC49" i="11" s="1"/>
  <c r="AB13" i="11"/>
  <c r="AB49" i="11" s="1"/>
  <c r="AA13" i="11"/>
  <c r="AA49" i="11" s="1"/>
  <c r="Z13" i="11"/>
  <c r="Z49" i="11" s="1"/>
  <c r="Y13" i="11"/>
  <c r="Y49" i="11" s="1"/>
  <c r="X13" i="11"/>
  <c r="X49" i="11" s="1"/>
  <c r="W13" i="11"/>
  <c r="W49" i="11" s="1"/>
  <c r="V13" i="11"/>
  <c r="V49" i="11" s="1"/>
  <c r="U13" i="11"/>
  <c r="U49" i="11" s="1"/>
  <c r="T13" i="11"/>
  <c r="T49" i="11" s="1"/>
  <c r="S13" i="11"/>
  <c r="S49" i="11" s="1"/>
  <c r="R13" i="11"/>
  <c r="R49" i="11" s="1"/>
  <c r="Q13" i="11"/>
  <c r="Q49" i="11" s="1"/>
  <c r="P13" i="11"/>
  <c r="P49" i="11" s="1"/>
  <c r="O13" i="11"/>
  <c r="O49" i="11" s="1"/>
  <c r="N13" i="11"/>
  <c r="M13" i="11"/>
  <c r="L13" i="11"/>
  <c r="K13" i="11"/>
  <c r="J13" i="11"/>
  <c r="J49" i="11" s="1"/>
  <c r="I13" i="11"/>
  <c r="I49" i="11" s="1"/>
  <c r="H13" i="11"/>
  <c r="H49" i="11" s="1"/>
  <c r="G13" i="11"/>
  <c r="G49" i="11" s="1"/>
  <c r="F13" i="11"/>
  <c r="F49" i="11" s="1"/>
  <c r="E13" i="11"/>
  <c r="E49" i="11" s="1"/>
  <c r="D13" i="11"/>
  <c r="D49" i="11" s="1"/>
  <c r="E15" i="10"/>
  <c r="E51" i="10" s="1"/>
  <c r="F15" i="10"/>
  <c r="F51" i="10" s="1"/>
  <c r="G15" i="10"/>
  <c r="G51" i="10" s="1"/>
  <c r="H15" i="10"/>
  <c r="H51" i="10" s="1"/>
  <c r="I15" i="10"/>
  <c r="I51" i="10" s="1"/>
  <c r="J15" i="10"/>
  <c r="J51" i="10" s="1"/>
  <c r="K15" i="10"/>
  <c r="K51" i="10" s="1"/>
  <c r="L15" i="10"/>
  <c r="L51" i="10" s="1"/>
  <c r="M15" i="10"/>
  <c r="M51" i="10" s="1"/>
  <c r="N15" i="10"/>
  <c r="N51" i="10" s="1"/>
  <c r="O15" i="10"/>
  <c r="O51" i="10" s="1"/>
  <c r="P15" i="10"/>
  <c r="P51" i="10" s="1"/>
  <c r="Q15" i="10"/>
  <c r="Q51" i="10" s="1"/>
  <c r="R15" i="10"/>
  <c r="R51" i="10" s="1"/>
  <c r="S15" i="10"/>
  <c r="S51" i="10" s="1"/>
  <c r="T15" i="10"/>
  <c r="T51" i="10" s="1"/>
  <c r="U15" i="10"/>
  <c r="U51" i="10" s="1"/>
  <c r="V15" i="10"/>
  <c r="V51" i="10" s="1"/>
  <c r="W15" i="10"/>
  <c r="W51" i="10" s="1"/>
  <c r="X15" i="10"/>
  <c r="X51" i="10" s="1"/>
  <c r="Y15" i="10"/>
  <c r="Y51" i="10" s="1"/>
  <c r="Z15" i="10"/>
  <c r="Z51" i="10" s="1"/>
  <c r="AA15" i="10"/>
  <c r="AA51" i="10" s="1"/>
  <c r="AB15" i="10"/>
  <c r="AB51" i="10" s="1"/>
  <c r="AC15" i="10"/>
  <c r="AC51" i="10" s="1"/>
  <c r="AD15" i="10"/>
  <c r="AD51" i="10" s="1"/>
  <c r="D15" i="10"/>
  <c r="D51" i="10" s="1"/>
  <c r="E13" i="10"/>
  <c r="E49" i="10" s="1"/>
  <c r="F13" i="10"/>
  <c r="F49" i="10" s="1"/>
  <c r="G13" i="10"/>
  <c r="G49" i="10" s="1"/>
  <c r="H13" i="10"/>
  <c r="H49" i="10" s="1"/>
  <c r="I13" i="10"/>
  <c r="I49" i="10" s="1"/>
  <c r="J13" i="10"/>
  <c r="J49" i="10" s="1"/>
  <c r="K13" i="10"/>
  <c r="K49" i="10" s="1"/>
  <c r="L13" i="10"/>
  <c r="L49" i="10" s="1"/>
  <c r="M13" i="10"/>
  <c r="M49" i="10" s="1"/>
  <c r="N13" i="10"/>
  <c r="N49" i="10" s="1"/>
  <c r="O13" i="10"/>
  <c r="O49" i="10" s="1"/>
  <c r="P13" i="10"/>
  <c r="P49" i="10" s="1"/>
  <c r="Q13" i="10"/>
  <c r="Q49" i="10" s="1"/>
  <c r="R13" i="10"/>
  <c r="R49" i="10" s="1"/>
  <c r="S13" i="10"/>
  <c r="S49" i="10" s="1"/>
  <c r="T13" i="10"/>
  <c r="T49" i="10" s="1"/>
  <c r="U13" i="10"/>
  <c r="U49" i="10" s="1"/>
  <c r="V13" i="10"/>
  <c r="V49" i="10" s="1"/>
  <c r="W13" i="10"/>
  <c r="W49" i="10" s="1"/>
  <c r="X13" i="10"/>
  <c r="X49" i="10" s="1"/>
  <c r="Y13" i="10"/>
  <c r="Y49" i="10" s="1"/>
  <c r="Z13" i="10"/>
  <c r="Z49" i="10" s="1"/>
  <c r="AA13" i="10"/>
  <c r="AA49" i="10" s="1"/>
  <c r="AB13" i="10"/>
  <c r="AB49" i="10" s="1"/>
  <c r="AC13" i="10"/>
  <c r="AC49" i="10" s="1"/>
  <c r="AD13" i="10"/>
  <c r="AD49" i="10" s="1"/>
  <c r="D13" i="10"/>
  <c r="D49" i="10" s="1"/>
  <c r="B51" i="15" l="1"/>
  <c r="G30" i="18" s="1"/>
  <c r="AP67" i="18" s="1"/>
  <c r="B51" i="50"/>
  <c r="N30" i="18" s="1"/>
  <c r="AP171" i="18" s="1"/>
  <c r="B51" i="38"/>
  <c r="I30" i="18" s="1"/>
  <c r="AP106" i="18" s="1"/>
  <c r="B52" i="12"/>
  <c r="E14" i="60" s="1"/>
  <c r="B51" i="43"/>
  <c r="K14" i="60" s="1"/>
  <c r="B51" i="11"/>
  <c r="B51" i="13"/>
  <c r="B51" i="61"/>
  <c r="B51" i="10"/>
  <c r="B50" i="15"/>
  <c r="B51" i="12"/>
  <c r="B50" i="13"/>
  <c r="B49" i="13"/>
  <c r="B51" i="58"/>
  <c r="B52" i="58"/>
  <c r="B52" i="45"/>
  <c r="B52" i="47"/>
  <c r="B51" i="23"/>
  <c r="B52" i="23"/>
  <c r="B51" i="47"/>
  <c r="B51" i="45"/>
  <c r="G14" i="60" l="1"/>
  <c r="E30" i="18"/>
  <c r="AP41" i="18" s="1"/>
  <c r="I14" i="60"/>
  <c r="N14" i="60"/>
  <c r="K30" i="18"/>
  <c r="AP132" i="18" s="1"/>
  <c r="C14" i="60"/>
  <c r="C30" i="18"/>
  <c r="AP12" i="18" s="1"/>
  <c r="F14" i="60"/>
  <c r="F30" i="18"/>
  <c r="AP54" i="18" s="1"/>
  <c r="J14" i="60"/>
  <c r="J30" i="18"/>
  <c r="AP119" i="18" s="1"/>
  <c r="D30" i="18"/>
  <c r="AP25" i="18" s="1"/>
  <c r="D14" i="60"/>
  <c r="L30" i="18"/>
  <c r="AP145" i="18" s="1"/>
  <c r="L14" i="60"/>
  <c r="O30" i="18"/>
  <c r="AP184" i="18" s="1"/>
  <c r="O14" i="60"/>
  <c r="H30" i="18"/>
  <c r="AP93" i="18" s="1"/>
  <c r="H14" i="60"/>
  <c r="M30" i="18"/>
  <c r="AP158" i="18" s="1"/>
  <c r="M14" i="60"/>
  <c r="B49" i="61"/>
  <c r="R14" i="60" l="1"/>
  <c r="P14" i="60"/>
  <c r="Q14" i="60"/>
  <c r="AQ118" i="18"/>
  <c r="AQ124" i="18"/>
  <c r="AQ121" i="18"/>
  <c r="E42" i="61"/>
  <c r="D42" i="61"/>
  <c r="AQ123" i="18" l="1"/>
  <c r="AQ120" i="18"/>
  <c r="AQ122" i="18"/>
  <c r="AQ117" i="18"/>
  <c r="AQ112" i="18"/>
  <c r="AQ113" i="18"/>
  <c r="F42" i="61"/>
  <c r="F43" i="61" s="1"/>
  <c r="G42" i="61"/>
  <c r="G43" i="61" s="1"/>
  <c r="E43" i="61"/>
  <c r="H42" i="61"/>
  <c r="H43" i="61" s="1"/>
  <c r="J42" i="61"/>
  <c r="J43" i="61" s="1"/>
  <c r="D43" i="61"/>
  <c r="L42" i="61"/>
  <c r="L43" i="61" s="1"/>
  <c r="I42" i="61"/>
  <c r="I43" i="61" s="1"/>
  <c r="M42" i="61"/>
  <c r="M43" i="61" s="1"/>
  <c r="K42" i="61"/>
  <c r="K43" i="61" s="1"/>
  <c r="B50" i="61" l="1"/>
  <c r="J13" i="60" s="1"/>
  <c r="AQ114" i="18"/>
  <c r="AQ116" i="18"/>
  <c r="AQ115" i="18"/>
  <c r="N42" i="61"/>
  <c r="J29" i="18" l="1"/>
  <c r="J28" i="18"/>
  <c r="J12" i="60"/>
  <c r="O42" i="61"/>
  <c r="N43" i="61"/>
  <c r="O43" i="61" l="1"/>
  <c r="J26" i="59" l="1"/>
  <c r="E35" i="59" l="1"/>
  <c r="AJ21" i="59"/>
  <c r="AK21" i="59" s="1"/>
  <c r="AK103" i="59"/>
  <c r="AK102" i="59"/>
  <c r="AK101" i="59"/>
  <c r="AK100" i="59"/>
  <c r="AK99" i="59"/>
  <c r="AK98" i="59"/>
  <c r="AK97" i="59"/>
  <c r="AK96" i="59"/>
  <c r="AK95" i="59"/>
  <c r="AK94" i="59"/>
  <c r="AK93" i="59"/>
  <c r="AK92" i="59"/>
  <c r="AK91" i="59"/>
  <c r="AK90" i="59"/>
  <c r="AK89" i="59"/>
  <c r="AK88" i="59"/>
  <c r="AK87" i="59"/>
  <c r="AK86" i="59"/>
  <c r="AK85" i="59"/>
  <c r="AK84" i="59"/>
  <c r="AK83" i="59"/>
  <c r="AK82" i="59"/>
  <c r="AK81" i="59"/>
  <c r="AK80" i="59"/>
  <c r="AK79" i="59"/>
  <c r="AK78" i="59"/>
  <c r="AK77" i="59"/>
  <c r="AK76" i="59"/>
  <c r="AK75" i="59"/>
  <c r="AK74" i="59"/>
  <c r="AK73" i="59"/>
  <c r="AK72" i="59"/>
  <c r="AK71" i="59"/>
  <c r="AK70" i="59"/>
  <c r="AK69" i="59"/>
  <c r="AK68" i="59"/>
  <c r="AK67" i="59"/>
  <c r="AK66" i="59"/>
  <c r="AK65" i="59"/>
  <c r="AK64" i="59"/>
  <c r="AK63" i="59"/>
  <c r="AK62" i="59"/>
  <c r="AK61" i="59"/>
  <c r="AK60" i="59"/>
  <c r="AK59" i="59"/>
  <c r="AK58" i="59"/>
  <c r="AK57" i="59"/>
  <c r="AK56" i="59"/>
  <c r="AK55" i="59"/>
  <c r="AK54" i="59"/>
  <c r="AK53" i="59"/>
  <c r="AK52" i="59"/>
  <c r="AK51" i="59"/>
  <c r="AK50" i="59"/>
  <c r="AK49" i="59"/>
  <c r="AK48" i="59"/>
  <c r="AK47" i="59"/>
  <c r="AK46" i="59"/>
  <c r="AK45" i="59"/>
  <c r="AK44" i="59"/>
  <c r="AK43" i="59"/>
  <c r="AK42" i="59"/>
  <c r="AK41" i="59"/>
  <c r="AJ40" i="59"/>
  <c r="AK40" i="59" s="1"/>
  <c r="AJ39" i="59"/>
  <c r="AK39" i="59" s="1"/>
  <c r="AJ38" i="59"/>
  <c r="AK38" i="59" s="1"/>
  <c r="AJ37" i="59"/>
  <c r="AK37" i="59" s="1"/>
  <c r="AJ35" i="59"/>
  <c r="AK35" i="59" s="1"/>
  <c r="AJ34" i="59"/>
  <c r="AK34" i="59" s="1"/>
  <c r="AJ33" i="59"/>
  <c r="AK33" i="59" s="1"/>
  <c r="AJ32" i="59"/>
  <c r="AK32" i="59" s="1"/>
  <c r="AJ31" i="59"/>
  <c r="AK31" i="59" s="1"/>
  <c r="AJ30" i="59"/>
  <c r="AK30" i="59" s="1"/>
  <c r="AJ29" i="59"/>
  <c r="AK29" i="59" s="1"/>
  <c r="AJ28" i="59"/>
  <c r="AK28" i="59" s="1"/>
  <c r="AJ27" i="59"/>
  <c r="AK27" i="59" s="1"/>
  <c r="P35" i="59"/>
  <c r="O35" i="59"/>
  <c r="N35" i="59"/>
  <c r="M35" i="59"/>
  <c r="L35" i="59"/>
  <c r="K35" i="59"/>
  <c r="J35" i="59"/>
  <c r="I35" i="59"/>
  <c r="H35" i="59"/>
  <c r="G35" i="59"/>
  <c r="F35" i="59"/>
  <c r="D35" i="59"/>
  <c r="C35" i="59"/>
  <c r="A35" i="59"/>
  <c r="AJ26" i="59"/>
  <c r="AK26" i="59" s="1"/>
  <c r="AJ25" i="59"/>
  <c r="AK25" i="59" s="1"/>
  <c r="AJ24" i="59"/>
  <c r="AK24" i="59" s="1"/>
  <c r="AJ23" i="59"/>
  <c r="AK23" i="59" s="1"/>
  <c r="AJ22" i="59"/>
  <c r="AK22" i="59" s="1"/>
  <c r="AJ20" i="59"/>
  <c r="AK20" i="59" s="1"/>
  <c r="AJ19" i="59"/>
  <c r="AK19" i="59" s="1"/>
  <c r="AJ18" i="59"/>
  <c r="AK18" i="59" s="1"/>
  <c r="AJ17" i="59"/>
  <c r="AK17" i="59" s="1"/>
  <c r="AJ16" i="59"/>
  <c r="AK16" i="59" s="1"/>
  <c r="AJ15" i="59"/>
  <c r="AK15" i="59" s="1"/>
  <c r="AJ14" i="59"/>
  <c r="AK14" i="59" s="1"/>
  <c r="AJ13" i="59"/>
  <c r="AK13" i="59" s="1"/>
  <c r="AK12" i="59"/>
  <c r="AJ11" i="59"/>
  <c r="AK11" i="59" s="1"/>
  <c r="AJ10" i="59"/>
  <c r="AK10" i="59" s="1"/>
  <c r="AJ9" i="59"/>
  <c r="AK9" i="59" s="1"/>
  <c r="AJ8" i="59"/>
  <c r="AK8" i="59" s="1"/>
  <c r="AJ7" i="59"/>
  <c r="AK7" i="59" s="1"/>
  <c r="AJ6" i="59"/>
  <c r="AK6" i="59" s="1"/>
  <c r="E40" i="59" l="1"/>
  <c r="G40" i="59" s="1"/>
  <c r="G39" i="59" s="1"/>
  <c r="C39" i="59"/>
  <c r="I40" i="59" l="1"/>
  <c r="K40" i="59" s="1"/>
  <c r="M40" i="59" s="1"/>
  <c r="O40" i="59" s="1"/>
  <c r="O39" i="59" s="1"/>
  <c r="E39" i="59"/>
  <c r="I39" i="59" l="1"/>
  <c r="K39" i="59"/>
  <c r="Q40" i="59"/>
  <c r="S40" i="59" s="1"/>
  <c r="M39" i="59"/>
  <c r="S39" i="59" l="1"/>
  <c r="U40" i="59"/>
  <c r="Q39" i="59"/>
  <c r="T47" i="18"/>
  <c r="R47" i="18"/>
  <c r="P47" i="18"/>
  <c r="P42" i="18"/>
  <c r="W40" i="59" l="1"/>
  <c r="U39" i="59"/>
  <c r="C87" i="58"/>
  <c r="Y40" i="59" l="1"/>
  <c r="AA40" i="59" s="1"/>
  <c r="AA39" i="59" s="1"/>
  <c r="W39" i="59"/>
  <c r="B50" i="50"/>
  <c r="B50" i="38"/>
  <c r="Y39" i="59" l="1"/>
  <c r="B50" i="43"/>
  <c r="K13" i="60" s="1"/>
  <c r="C61" i="11"/>
  <c r="C62" i="11"/>
  <c r="C63" i="11"/>
  <c r="B50" i="11"/>
  <c r="E14" i="10" l="1"/>
  <c r="E50" i="10" s="1"/>
  <c r="F14" i="10"/>
  <c r="F50" i="10" s="1"/>
  <c r="G14" i="10"/>
  <c r="G50" i="10" s="1"/>
  <c r="H14" i="10"/>
  <c r="H50" i="10" s="1"/>
  <c r="I14" i="10"/>
  <c r="I50" i="10" s="1"/>
  <c r="J14" i="10"/>
  <c r="J50" i="10" s="1"/>
  <c r="K14" i="10"/>
  <c r="K50" i="10" s="1"/>
  <c r="L14" i="10"/>
  <c r="L50" i="10" s="1"/>
  <c r="M14" i="10"/>
  <c r="M50" i="10" s="1"/>
  <c r="N14" i="10"/>
  <c r="N50" i="10" s="1"/>
  <c r="O14" i="10"/>
  <c r="O50" i="10" s="1"/>
  <c r="P14" i="10"/>
  <c r="P50" i="10" s="1"/>
  <c r="Q14" i="10"/>
  <c r="Q50" i="10" s="1"/>
  <c r="R14" i="10"/>
  <c r="R50" i="10" s="1"/>
  <c r="S14" i="10"/>
  <c r="S50" i="10" s="1"/>
  <c r="T14" i="10"/>
  <c r="T50" i="10" s="1"/>
  <c r="U14" i="10"/>
  <c r="U50" i="10" s="1"/>
  <c r="V14" i="10"/>
  <c r="V50" i="10" s="1"/>
  <c r="W14" i="10"/>
  <c r="W50" i="10" s="1"/>
  <c r="X14" i="10"/>
  <c r="X50" i="10" s="1"/>
  <c r="Y14" i="10"/>
  <c r="Y50" i="10" s="1"/>
  <c r="Z14" i="10"/>
  <c r="Z50" i="10" s="1"/>
  <c r="AA14" i="10"/>
  <c r="AA50" i="10" s="1"/>
  <c r="AB14" i="10"/>
  <c r="AB50" i="10" s="1"/>
  <c r="AC14" i="10"/>
  <c r="AC50" i="10" s="1"/>
  <c r="AD14" i="10"/>
  <c r="AD50" i="10" s="1"/>
  <c r="D14" i="10"/>
  <c r="D50" i="10" l="1"/>
  <c r="B50" i="10" s="1"/>
  <c r="AQ183" i="18"/>
  <c r="AO178" i="18"/>
  <c r="AO179" i="18"/>
  <c r="AO180" i="18"/>
  <c r="AO181" i="18"/>
  <c r="AO182" i="18"/>
  <c r="AO183" i="18"/>
  <c r="AO185" i="18"/>
  <c r="AO186" i="18"/>
  <c r="AO187" i="18"/>
  <c r="AO188" i="18"/>
  <c r="AO189" i="18"/>
  <c r="AO177" i="18"/>
  <c r="AD71" i="58" l="1"/>
  <c r="AC71" i="58"/>
  <c r="AB71" i="58"/>
  <c r="AA71" i="58"/>
  <c r="Z71" i="58"/>
  <c r="Y71" i="58"/>
  <c r="X71" i="58"/>
  <c r="W71" i="58"/>
  <c r="V71" i="58"/>
  <c r="U71" i="58"/>
  <c r="T71" i="58"/>
  <c r="S71" i="58"/>
  <c r="R71" i="58"/>
  <c r="Q71" i="58"/>
  <c r="P71" i="58"/>
  <c r="O71" i="58"/>
  <c r="N71" i="58"/>
  <c r="M71" i="58"/>
  <c r="L71" i="58"/>
  <c r="K71" i="58"/>
  <c r="J71" i="58"/>
  <c r="I71" i="58"/>
  <c r="H71" i="58"/>
  <c r="G71" i="58"/>
  <c r="F71" i="58"/>
  <c r="E71" i="58"/>
  <c r="D71" i="58"/>
  <c r="AD70" i="58"/>
  <c r="AC70" i="58"/>
  <c r="AB70" i="58"/>
  <c r="AA70" i="58"/>
  <c r="Z70" i="58"/>
  <c r="Y70" i="58"/>
  <c r="X70" i="58"/>
  <c r="W70" i="58"/>
  <c r="V70" i="58"/>
  <c r="U70" i="58"/>
  <c r="T70" i="58"/>
  <c r="S70" i="58"/>
  <c r="R70" i="58"/>
  <c r="Q70" i="58"/>
  <c r="P70" i="58"/>
  <c r="O70" i="58"/>
  <c r="N70" i="58"/>
  <c r="M70" i="58"/>
  <c r="L70" i="58"/>
  <c r="K70" i="58"/>
  <c r="J70" i="58"/>
  <c r="I70" i="58"/>
  <c r="H70" i="58"/>
  <c r="G70" i="58"/>
  <c r="F70" i="58"/>
  <c r="E70" i="58"/>
  <c r="D70" i="58"/>
  <c r="AD67" i="58"/>
  <c r="Y67" i="58"/>
  <c r="T67" i="58"/>
  <c r="J67" i="58"/>
  <c r="D67" i="58"/>
  <c r="AD66" i="58"/>
  <c r="Y66" i="58"/>
  <c r="T66" i="58"/>
  <c r="J66" i="58"/>
  <c r="D66" i="58"/>
  <c r="C64" i="58"/>
  <c r="B64" i="58"/>
  <c r="A64" i="58"/>
  <c r="C63" i="58"/>
  <c r="B63" i="58"/>
  <c r="A63" i="58"/>
  <c r="C62" i="58"/>
  <c r="B62" i="58"/>
  <c r="A62" i="58"/>
  <c r="C61" i="58"/>
  <c r="B61" i="58"/>
  <c r="A61" i="58"/>
  <c r="D39" i="58"/>
  <c r="E39" i="58" s="1"/>
  <c r="F39" i="58" s="1"/>
  <c r="G39" i="58" s="1"/>
  <c r="H39" i="58" s="1"/>
  <c r="I39" i="58" s="1"/>
  <c r="J39" i="58" s="1"/>
  <c r="K39" i="58" s="1"/>
  <c r="L39" i="58" s="1"/>
  <c r="M39" i="58" s="1"/>
  <c r="N39" i="58" s="1"/>
  <c r="O39" i="58" s="1"/>
  <c r="P39" i="58" s="1"/>
  <c r="Q39" i="58" s="1"/>
  <c r="R39" i="58" s="1"/>
  <c r="S39" i="58" s="1"/>
  <c r="T39" i="58" s="1"/>
  <c r="U39" i="58" s="1"/>
  <c r="V39" i="58" s="1"/>
  <c r="W39" i="58" s="1"/>
  <c r="X39" i="58" s="1"/>
  <c r="Y39" i="58" s="1"/>
  <c r="Z39" i="58" s="1"/>
  <c r="AA39" i="58" s="1"/>
  <c r="AB39" i="58" s="1"/>
  <c r="AC39" i="58" s="1"/>
  <c r="AD39" i="58" s="1"/>
  <c r="K66" i="58"/>
  <c r="N12" i="58"/>
  <c r="N57" i="58" s="1"/>
  <c r="J12" i="58"/>
  <c r="J57" i="58" s="1"/>
  <c r="E12" i="58"/>
  <c r="E57" i="58" s="1"/>
  <c r="D12" i="58"/>
  <c r="D57" i="58" s="1"/>
  <c r="N11" i="58"/>
  <c r="N56" i="58" s="1"/>
  <c r="J11" i="58"/>
  <c r="J56" i="58" s="1"/>
  <c r="E11" i="58"/>
  <c r="E56" i="58" s="1"/>
  <c r="D11" i="58"/>
  <c r="D56" i="58" s="1"/>
  <c r="N10" i="58"/>
  <c r="N55" i="58" s="1"/>
  <c r="J10" i="58"/>
  <c r="J55" i="58" s="1"/>
  <c r="E10" i="58"/>
  <c r="E55" i="58" s="1"/>
  <c r="D10" i="58"/>
  <c r="D55" i="58" s="1"/>
  <c r="N9" i="58"/>
  <c r="N54" i="58" s="1"/>
  <c r="J9" i="58"/>
  <c r="J54" i="58" s="1"/>
  <c r="E9" i="58"/>
  <c r="E54" i="58" s="1"/>
  <c r="D9" i="58"/>
  <c r="D54" i="58" s="1"/>
  <c r="N8" i="58"/>
  <c r="N53" i="58" s="1"/>
  <c r="J8" i="58"/>
  <c r="J53" i="58" s="1"/>
  <c r="E8" i="58"/>
  <c r="E53" i="58" s="1"/>
  <c r="D8" i="58"/>
  <c r="D53" i="58" s="1"/>
  <c r="N7" i="58"/>
  <c r="J7" i="58"/>
  <c r="J49" i="58" s="1"/>
  <c r="E7" i="58"/>
  <c r="D7" i="58"/>
  <c r="D49" i="58" s="1"/>
  <c r="N6" i="58"/>
  <c r="J6" i="58"/>
  <c r="J48" i="58" s="1"/>
  <c r="E6" i="58"/>
  <c r="E48" i="58" s="1"/>
  <c r="D6" i="58"/>
  <c r="D48" i="58" s="1"/>
  <c r="N5" i="58"/>
  <c r="J5" i="58"/>
  <c r="J47" i="58" s="1"/>
  <c r="E5" i="58"/>
  <c r="E47" i="58" s="1"/>
  <c r="D5" i="58"/>
  <c r="D47" i="58" s="1"/>
  <c r="O4" i="58"/>
  <c r="O46" i="58" s="1"/>
  <c r="N4" i="58"/>
  <c r="K4" i="58"/>
  <c r="J4" i="58"/>
  <c r="J46" i="58" s="1"/>
  <c r="F4" i="58"/>
  <c r="E4" i="58"/>
  <c r="D4" i="58"/>
  <c r="D46" i="58" s="1"/>
  <c r="U3" i="58"/>
  <c r="O3" i="58"/>
  <c r="O45" i="58" s="1"/>
  <c r="N3" i="58"/>
  <c r="J3" i="58"/>
  <c r="J45" i="58" s="1"/>
  <c r="F3" i="58"/>
  <c r="E3" i="58"/>
  <c r="D3" i="58"/>
  <c r="D45" i="58" s="1"/>
  <c r="F2" i="58"/>
  <c r="F43" i="58" s="1"/>
  <c r="E2" i="58"/>
  <c r="E43" i="58" s="1"/>
  <c r="D2" i="58"/>
  <c r="D43" i="58" s="1"/>
  <c r="E46" i="58" l="1"/>
  <c r="K46" i="58"/>
  <c r="J68" i="58"/>
  <c r="E45" i="58"/>
  <c r="U45" i="58"/>
  <c r="E72" i="58"/>
  <c r="M72" i="58"/>
  <c r="U72" i="58"/>
  <c r="AC72" i="58"/>
  <c r="T68" i="58"/>
  <c r="J72" i="58"/>
  <c r="R72" i="58"/>
  <c r="Z72" i="58"/>
  <c r="Y68" i="58"/>
  <c r="AD68" i="58"/>
  <c r="F45" i="58"/>
  <c r="F72" i="58"/>
  <c r="N72" i="58"/>
  <c r="V72" i="58"/>
  <c r="AD72" i="58"/>
  <c r="D68" i="58"/>
  <c r="AQ179" i="18"/>
  <c r="N45" i="58"/>
  <c r="AQ180" i="18"/>
  <c r="AQ188" i="18"/>
  <c r="AQ189" i="18"/>
  <c r="E44" i="58"/>
  <c r="AQ177" i="18"/>
  <c r="I72" i="58"/>
  <c r="Q72" i="58"/>
  <c r="Y72" i="58"/>
  <c r="F44" i="58"/>
  <c r="AQ178" i="18"/>
  <c r="AQ187" i="18"/>
  <c r="K72" i="58"/>
  <c r="S72" i="58"/>
  <c r="D72" i="58"/>
  <c r="L72" i="58"/>
  <c r="T72" i="58"/>
  <c r="AB72" i="58"/>
  <c r="C71" i="58"/>
  <c r="AA72" i="58"/>
  <c r="G72" i="58"/>
  <c r="W72" i="58"/>
  <c r="H72" i="58"/>
  <c r="P72" i="58"/>
  <c r="X72" i="58"/>
  <c r="O72" i="58"/>
  <c r="N47" i="58"/>
  <c r="D44" i="58"/>
  <c r="F46" i="58"/>
  <c r="N46" i="58"/>
  <c r="E49" i="58"/>
  <c r="N49" i="58"/>
  <c r="N48" i="58"/>
  <c r="C70" i="58"/>
  <c r="O29" i="18" l="1"/>
  <c r="AP183" i="18" s="1"/>
  <c r="AQ181" i="18"/>
  <c r="C72" i="58"/>
  <c r="O24" i="59" s="1"/>
  <c r="AL97" i="59" s="1"/>
  <c r="N67" i="58"/>
  <c r="N66" i="58"/>
  <c r="N68" i="58" l="1"/>
  <c r="AQ185" i="18"/>
  <c r="AQ186" i="18"/>
  <c r="D17" i="17" l="1"/>
  <c r="D60" i="61" l="1"/>
  <c r="D73" i="61" s="1"/>
  <c r="D32" i="17"/>
  <c r="B50" i="47"/>
  <c r="D61" i="58"/>
  <c r="D74" i="58" s="1"/>
  <c r="B12" i="16" l="1"/>
  <c r="D82" i="47" l="1"/>
  <c r="D81" i="15"/>
  <c r="D82" i="58"/>
  <c r="D81" i="11"/>
  <c r="D81" i="38"/>
  <c r="D82" i="45"/>
  <c r="D81" i="50"/>
  <c r="D81" i="10"/>
  <c r="D82" i="23"/>
  <c r="D81" i="43"/>
  <c r="D82" i="12"/>
  <c r="AD81" i="38"/>
  <c r="AD81" i="11"/>
  <c r="AD82" i="45"/>
  <c r="AD81" i="50"/>
  <c r="AD82" i="23"/>
  <c r="AD81" i="10"/>
  <c r="AD81" i="43"/>
  <c r="AD82" i="12"/>
  <c r="AD82" i="47"/>
  <c r="AD81" i="15"/>
  <c r="AD82" i="58"/>
  <c r="AQ21" i="18"/>
  <c r="AN21" i="18"/>
  <c r="AO21" i="18" s="1"/>
  <c r="D69" i="10" l="1"/>
  <c r="D20" i="17" l="1"/>
  <c r="D18" i="17"/>
  <c r="D64" i="58" l="1"/>
  <c r="D79" i="58" s="1"/>
  <c r="D63" i="61"/>
  <c r="D36" i="17"/>
  <c r="D61" i="61"/>
  <c r="D77" i="61" s="1"/>
  <c r="D62" i="58"/>
  <c r="D78" i="58" s="1"/>
  <c r="D19" i="17"/>
  <c r="E17" i="17"/>
  <c r="J66" i="23"/>
  <c r="N66" i="23"/>
  <c r="T66" i="23"/>
  <c r="Y66" i="23"/>
  <c r="AD66" i="23"/>
  <c r="J67" i="23"/>
  <c r="N67" i="23"/>
  <c r="T67" i="23"/>
  <c r="Y67" i="23"/>
  <c r="AD67" i="23"/>
  <c r="D80" i="58" l="1"/>
  <c r="E60" i="61"/>
  <c r="E73" i="61" s="1"/>
  <c r="E32" i="17"/>
  <c r="D62" i="61"/>
  <c r="J68" i="23"/>
  <c r="F17" i="17"/>
  <c r="E61" i="58"/>
  <c r="D63" i="58"/>
  <c r="T68" i="23"/>
  <c r="AD68" i="23"/>
  <c r="Y68" i="23"/>
  <c r="N68" i="23"/>
  <c r="F60" i="61" l="1"/>
  <c r="F73" i="61" s="1"/>
  <c r="F32" i="17"/>
  <c r="B50" i="23"/>
  <c r="E78" i="58"/>
  <c r="E74" i="58"/>
  <c r="G17" i="17"/>
  <c r="F61" i="58"/>
  <c r="G60" i="61" l="1"/>
  <c r="G73" i="61" s="1"/>
  <c r="G32" i="17"/>
  <c r="B50" i="45"/>
  <c r="H17" i="17"/>
  <c r="G61" i="58"/>
  <c r="F78" i="58"/>
  <c r="F74" i="58"/>
  <c r="AQ22" i="18"/>
  <c r="AQ20" i="18"/>
  <c r="AN22" i="18"/>
  <c r="AO22" i="18" s="1"/>
  <c r="AN20" i="18"/>
  <c r="AO20" i="18" s="1"/>
  <c r="AO13" i="18"/>
  <c r="AQ11" i="18"/>
  <c r="AO11" i="18"/>
  <c r="O42" i="18"/>
  <c r="N42" i="18"/>
  <c r="M42" i="18"/>
  <c r="L42" i="18"/>
  <c r="K42" i="18"/>
  <c r="J42" i="18"/>
  <c r="E70" i="23"/>
  <c r="F70" i="23"/>
  <c r="G70" i="23"/>
  <c r="H70" i="23"/>
  <c r="I70" i="23"/>
  <c r="J70" i="23"/>
  <c r="K70" i="23"/>
  <c r="L70" i="23"/>
  <c r="M70" i="23"/>
  <c r="N70" i="23"/>
  <c r="O70" i="23"/>
  <c r="P70" i="23"/>
  <c r="Q70" i="23"/>
  <c r="R70" i="23"/>
  <c r="S70" i="23"/>
  <c r="T70" i="23"/>
  <c r="U70" i="23"/>
  <c r="V70" i="23"/>
  <c r="W70" i="23"/>
  <c r="X70" i="23"/>
  <c r="Y70" i="23"/>
  <c r="Z70" i="23"/>
  <c r="AA70" i="23"/>
  <c r="AB70" i="23"/>
  <c r="E71" i="23"/>
  <c r="F71" i="23"/>
  <c r="F72" i="23" s="1"/>
  <c r="G71" i="23"/>
  <c r="H71" i="23"/>
  <c r="I71" i="23"/>
  <c r="J71" i="23"/>
  <c r="K71" i="23"/>
  <c r="L71" i="23"/>
  <c r="M71" i="23"/>
  <c r="N71" i="23"/>
  <c r="N72" i="23" s="1"/>
  <c r="O71" i="23"/>
  <c r="P71" i="23"/>
  <c r="Q71" i="23"/>
  <c r="Q72" i="23" s="1"/>
  <c r="R71" i="23"/>
  <c r="R72" i="23" s="1"/>
  <c r="S71" i="23"/>
  <c r="T71" i="23"/>
  <c r="U71" i="23"/>
  <c r="V71" i="23"/>
  <c r="V72" i="23" s="1"/>
  <c r="W71" i="23"/>
  <c r="X71" i="23"/>
  <c r="Y71" i="23"/>
  <c r="Y72" i="23" s="1"/>
  <c r="Z71" i="23"/>
  <c r="Z72" i="23" s="1"/>
  <c r="AA71" i="23"/>
  <c r="AB71" i="23"/>
  <c r="D71" i="23"/>
  <c r="D70" i="23"/>
  <c r="D67" i="23"/>
  <c r="D66" i="23"/>
  <c r="H60" i="61" l="1"/>
  <c r="H73" i="61" s="1"/>
  <c r="H32" i="17"/>
  <c r="I72" i="23"/>
  <c r="G78" i="58"/>
  <c r="G74" i="58"/>
  <c r="I17" i="17"/>
  <c r="H61" i="58"/>
  <c r="D72" i="23"/>
  <c r="AB72" i="23"/>
  <c r="H72" i="23"/>
  <c r="W72" i="23"/>
  <c r="O72" i="23"/>
  <c r="G72" i="23"/>
  <c r="D68" i="23"/>
  <c r="T72" i="23"/>
  <c r="L72" i="23"/>
  <c r="U72" i="23"/>
  <c r="M72" i="23"/>
  <c r="E72" i="23"/>
  <c r="X72" i="23"/>
  <c r="P72" i="23"/>
  <c r="AA72" i="23"/>
  <c r="S72" i="23"/>
  <c r="K72" i="23"/>
  <c r="J72" i="23"/>
  <c r="I60" i="61" l="1"/>
  <c r="I73" i="61" s="1"/>
  <c r="I32" i="17"/>
  <c r="J17" i="17"/>
  <c r="I61" i="58"/>
  <c r="H78" i="58"/>
  <c r="H74" i="58"/>
  <c r="J60" i="61" l="1"/>
  <c r="J73" i="61" s="1"/>
  <c r="J32" i="17"/>
  <c r="I78" i="58"/>
  <c r="I74" i="58"/>
  <c r="K17" i="17"/>
  <c r="J61" i="58"/>
  <c r="E69" i="50"/>
  <c r="F69" i="50"/>
  <c r="G69" i="50"/>
  <c r="H69" i="50"/>
  <c r="I69" i="50"/>
  <c r="J69" i="50"/>
  <c r="K69" i="50"/>
  <c r="L69" i="50"/>
  <c r="M69" i="50"/>
  <c r="N69" i="50"/>
  <c r="O69" i="50"/>
  <c r="P69" i="50"/>
  <c r="Q69" i="50"/>
  <c r="R69" i="50"/>
  <c r="S69" i="50"/>
  <c r="T69" i="50"/>
  <c r="U69" i="50"/>
  <c r="V69" i="50"/>
  <c r="W69" i="50"/>
  <c r="X69" i="50"/>
  <c r="Y69" i="50"/>
  <c r="Z69" i="50"/>
  <c r="AA69" i="50"/>
  <c r="AB69" i="50"/>
  <c r="E70" i="50"/>
  <c r="F70" i="50"/>
  <c r="G70" i="50"/>
  <c r="H70" i="50"/>
  <c r="I70" i="50"/>
  <c r="J70" i="50"/>
  <c r="K70" i="50"/>
  <c r="L70" i="50"/>
  <c r="M70" i="50"/>
  <c r="N70" i="50"/>
  <c r="O70" i="50"/>
  <c r="O71" i="50" s="1"/>
  <c r="P70" i="50"/>
  <c r="Q70" i="50"/>
  <c r="Q71" i="50" s="1"/>
  <c r="R70" i="50"/>
  <c r="S70" i="50"/>
  <c r="T70" i="50"/>
  <c r="U70" i="50"/>
  <c r="V70" i="50"/>
  <c r="W70" i="50"/>
  <c r="W71" i="50" s="1"/>
  <c r="X70" i="50"/>
  <c r="Y70" i="50"/>
  <c r="Y71" i="50" s="1"/>
  <c r="Z70" i="50"/>
  <c r="AA70" i="50"/>
  <c r="AA71" i="50" s="1"/>
  <c r="AB70" i="50"/>
  <c r="D70" i="50"/>
  <c r="D69" i="50"/>
  <c r="J65" i="50"/>
  <c r="N65" i="50"/>
  <c r="T65" i="50"/>
  <c r="Y65" i="50"/>
  <c r="AD65" i="50"/>
  <c r="J66" i="50"/>
  <c r="N66" i="50"/>
  <c r="T66" i="50"/>
  <c r="Y66" i="50"/>
  <c r="AD66" i="50"/>
  <c r="D66" i="50"/>
  <c r="D65" i="50"/>
  <c r="E70" i="47"/>
  <c r="F70" i="47"/>
  <c r="G70" i="47"/>
  <c r="H70" i="47"/>
  <c r="I70" i="47"/>
  <c r="J70" i="47"/>
  <c r="K70" i="47"/>
  <c r="L70" i="47"/>
  <c r="M70" i="47"/>
  <c r="N70" i="47"/>
  <c r="O70" i="47"/>
  <c r="P70" i="47"/>
  <c r="Q70" i="47"/>
  <c r="R70" i="47"/>
  <c r="S70" i="47"/>
  <c r="T70" i="47"/>
  <c r="U70" i="47"/>
  <c r="V70" i="47"/>
  <c r="W70" i="47"/>
  <c r="X70" i="47"/>
  <c r="Y70" i="47"/>
  <c r="Z70" i="47"/>
  <c r="AA70" i="47"/>
  <c r="AB70" i="47"/>
  <c r="E71" i="47"/>
  <c r="F71" i="47"/>
  <c r="F72" i="47" s="1"/>
  <c r="G71" i="47"/>
  <c r="H71" i="47"/>
  <c r="I71" i="47"/>
  <c r="J71" i="47"/>
  <c r="K71" i="47"/>
  <c r="L71" i="47"/>
  <c r="M71" i="47"/>
  <c r="N71" i="47"/>
  <c r="O71" i="47"/>
  <c r="P71" i="47"/>
  <c r="Q71" i="47"/>
  <c r="Q72" i="47" s="1"/>
  <c r="R71" i="47"/>
  <c r="S71" i="47"/>
  <c r="T71" i="47"/>
  <c r="U71" i="47"/>
  <c r="V71" i="47"/>
  <c r="V72" i="47" s="1"/>
  <c r="W71" i="47"/>
  <c r="X71" i="47"/>
  <c r="X72" i="47" s="1"/>
  <c r="Y71" i="47"/>
  <c r="Y72" i="47" s="1"/>
  <c r="Z71" i="47"/>
  <c r="AA71" i="47"/>
  <c r="AB71" i="47"/>
  <c r="D71" i="47"/>
  <c r="D70" i="47"/>
  <c r="J66" i="47"/>
  <c r="N66" i="47"/>
  <c r="T66" i="47"/>
  <c r="Y66" i="47"/>
  <c r="AD66" i="47"/>
  <c r="J67" i="47"/>
  <c r="N67" i="47"/>
  <c r="T67" i="47"/>
  <c r="Y67" i="47"/>
  <c r="AD67" i="47"/>
  <c r="D67" i="47"/>
  <c r="D66" i="47"/>
  <c r="E70" i="45"/>
  <c r="F70" i="45"/>
  <c r="G70" i="45"/>
  <c r="H70" i="45"/>
  <c r="I70" i="45"/>
  <c r="J70" i="45"/>
  <c r="K70" i="45"/>
  <c r="L70" i="45"/>
  <c r="M70" i="45"/>
  <c r="N70" i="45"/>
  <c r="O70" i="45"/>
  <c r="P70" i="45"/>
  <c r="Q70" i="45"/>
  <c r="R70" i="45"/>
  <c r="S70" i="45"/>
  <c r="T70" i="45"/>
  <c r="U70" i="45"/>
  <c r="V70" i="45"/>
  <c r="W70" i="45"/>
  <c r="X70" i="45"/>
  <c r="Y70" i="45"/>
  <c r="Z70" i="45"/>
  <c r="AA70" i="45"/>
  <c r="AB70" i="45"/>
  <c r="E71" i="45"/>
  <c r="E72" i="45" s="1"/>
  <c r="F71" i="45"/>
  <c r="G71" i="45"/>
  <c r="H71" i="45"/>
  <c r="H72" i="45" s="1"/>
  <c r="I71" i="45"/>
  <c r="I72" i="45" s="1"/>
  <c r="J71" i="45"/>
  <c r="K71" i="45"/>
  <c r="L71" i="45"/>
  <c r="M71" i="45"/>
  <c r="M72" i="45" s="1"/>
  <c r="N71" i="45"/>
  <c r="O71" i="45"/>
  <c r="P71" i="45"/>
  <c r="P72" i="45" s="1"/>
  <c r="Q71" i="45"/>
  <c r="R71" i="45"/>
  <c r="S71" i="45"/>
  <c r="T71" i="45"/>
  <c r="U71" i="45"/>
  <c r="U72" i="45" s="1"/>
  <c r="V71" i="45"/>
  <c r="W71" i="45"/>
  <c r="X71" i="45"/>
  <c r="Y71" i="45"/>
  <c r="Y72" i="45" s="1"/>
  <c r="Z71" i="45"/>
  <c r="AA71" i="45"/>
  <c r="AB71" i="45"/>
  <c r="D70" i="43"/>
  <c r="D71" i="45"/>
  <c r="D70" i="45"/>
  <c r="J66" i="45"/>
  <c r="N66" i="45"/>
  <c r="T66" i="45"/>
  <c r="Y66" i="45"/>
  <c r="AD66" i="45"/>
  <c r="J67" i="45"/>
  <c r="N67" i="45"/>
  <c r="T67" i="45"/>
  <c r="Y67" i="45"/>
  <c r="AD67" i="45"/>
  <c r="D67" i="45"/>
  <c r="D66" i="45"/>
  <c r="E69" i="43"/>
  <c r="F69" i="43"/>
  <c r="G69" i="43"/>
  <c r="H69" i="43"/>
  <c r="I69" i="43"/>
  <c r="J69" i="43"/>
  <c r="K69" i="43"/>
  <c r="L69" i="43"/>
  <c r="M69" i="43"/>
  <c r="N69" i="43"/>
  <c r="O69" i="43"/>
  <c r="P69" i="43"/>
  <c r="Q69" i="43"/>
  <c r="R69" i="43"/>
  <c r="S69" i="43"/>
  <c r="T69" i="43"/>
  <c r="U69" i="43"/>
  <c r="V69" i="43"/>
  <c r="W69" i="43"/>
  <c r="X69" i="43"/>
  <c r="Y69" i="43"/>
  <c r="Z69" i="43"/>
  <c r="AA69" i="43"/>
  <c r="AB69" i="43"/>
  <c r="E70" i="43"/>
  <c r="F70" i="43"/>
  <c r="G70" i="43"/>
  <c r="H70" i="43"/>
  <c r="H71" i="43" s="1"/>
  <c r="I70" i="43"/>
  <c r="J70" i="43"/>
  <c r="K70" i="43"/>
  <c r="L70" i="43"/>
  <c r="M70" i="43"/>
  <c r="N70" i="43"/>
  <c r="O70" i="43"/>
  <c r="P70" i="43"/>
  <c r="P71" i="43" s="1"/>
  <c r="Q70" i="43"/>
  <c r="R70" i="43"/>
  <c r="S70" i="43"/>
  <c r="T70" i="43"/>
  <c r="U70" i="43"/>
  <c r="V70" i="43"/>
  <c r="W70" i="43"/>
  <c r="X70" i="43"/>
  <c r="Y70" i="43"/>
  <c r="Z70" i="43"/>
  <c r="AA70" i="43"/>
  <c r="AB70" i="43"/>
  <c r="D69" i="43"/>
  <c r="J65" i="43"/>
  <c r="T65" i="43"/>
  <c r="Y65" i="43"/>
  <c r="AD65" i="43"/>
  <c r="J66" i="43"/>
  <c r="T66" i="43"/>
  <c r="Y66" i="43"/>
  <c r="AD66" i="43"/>
  <c r="D66" i="43"/>
  <c r="D65" i="43"/>
  <c r="E69" i="38"/>
  <c r="F69" i="38"/>
  <c r="G69" i="38"/>
  <c r="H69" i="38"/>
  <c r="I69" i="38"/>
  <c r="J69" i="38"/>
  <c r="K69" i="38"/>
  <c r="L69" i="38"/>
  <c r="M69" i="38"/>
  <c r="N69" i="38"/>
  <c r="O69" i="38"/>
  <c r="P69" i="38"/>
  <c r="Q69" i="38"/>
  <c r="R69" i="38"/>
  <c r="S69" i="38"/>
  <c r="T69" i="38"/>
  <c r="U69" i="38"/>
  <c r="V69" i="38"/>
  <c r="W69" i="38"/>
  <c r="X69" i="38"/>
  <c r="Y69" i="38"/>
  <c r="Z69" i="38"/>
  <c r="AA69" i="38"/>
  <c r="AB69" i="38"/>
  <c r="E70" i="38"/>
  <c r="E71" i="38" s="1"/>
  <c r="F70" i="38"/>
  <c r="G70" i="38"/>
  <c r="H70" i="38"/>
  <c r="I70" i="38"/>
  <c r="J70" i="38"/>
  <c r="K70" i="38"/>
  <c r="K71" i="38" s="1"/>
  <c r="L70" i="38"/>
  <c r="L71" i="38" s="1"/>
  <c r="M70" i="38"/>
  <c r="N70" i="38"/>
  <c r="O70" i="38"/>
  <c r="O71" i="38" s="1"/>
  <c r="P70" i="38"/>
  <c r="P71" i="38" s="1"/>
  <c r="Q70" i="38"/>
  <c r="R70" i="38"/>
  <c r="S70" i="38"/>
  <c r="S71" i="38" s="1"/>
  <c r="T70" i="38"/>
  <c r="T71" i="38" s="1"/>
  <c r="U70" i="38"/>
  <c r="V70" i="38"/>
  <c r="W70" i="38"/>
  <c r="W71" i="38" s="1"/>
  <c r="X70" i="38"/>
  <c r="X71" i="38" s="1"/>
  <c r="Y70" i="38"/>
  <c r="Z70" i="38"/>
  <c r="AA70" i="38"/>
  <c r="AA71" i="38" s="1"/>
  <c r="AB70" i="38"/>
  <c r="AB71" i="38" s="1"/>
  <c r="D70" i="38"/>
  <c r="D69" i="38"/>
  <c r="J65" i="38"/>
  <c r="N65" i="38"/>
  <c r="T65" i="38"/>
  <c r="Y65" i="38"/>
  <c r="AD65" i="38"/>
  <c r="J66" i="38"/>
  <c r="N66" i="38"/>
  <c r="T66" i="38"/>
  <c r="Y66" i="38"/>
  <c r="AD66" i="38"/>
  <c r="D66" i="38"/>
  <c r="D65" i="38"/>
  <c r="K60" i="61" l="1"/>
  <c r="K73" i="61" s="1"/>
  <c r="K32" i="17"/>
  <c r="H71" i="38"/>
  <c r="G71" i="50"/>
  <c r="S71" i="50"/>
  <c r="M71" i="50"/>
  <c r="X71" i="43"/>
  <c r="P72" i="47"/>
  <c r="J78" i="58"/>
  <c r="J74" i="58"/>
  <c r="D68" i="47"/>
  <c r="L17" i="17"/>
  <c r="K61" i="58"/>
  <c r="U71" i="50"/>
  <c r="K71" i="50"/>
  <c r="X71" i="50"/>
  <c r="H72" i="47"/>
  <c r="X72" i="45"/>
  <c r="Q72" i="45"/>
  <c r="N71" i="43"/>
  <c r="F71" i="43"/>
  <c r="U71" i="38"/>
  <c r="M71" i="38"/>
  <c r="G71" i="38"/>
  <c r="D71" i="38"/>
  <c r="V71" i="38"/>
  <c r="I72" i="47"/>
  <c r="K71" i="43"/>
  <c r="P71" i="50"/>
  <c r="J68" i="47"/>
  <c r="W72" i="45"/>
  <c r="O72" i="45"/>
  <c r="Z71" i="43"/>
  <c r="R71" i="43"/>
  <c r="J71" i="43"/>
  <c r="D71" i="50"/>
  <c r="Z71" i="50"/>
  <c r="R71" i="50"/>
  <c r="J71" i="50"/>
  <c r="AA72" i="45"/>
  <c r="S72" i="45"/>
  <c r="K72" i="45"/>
  <c r="I71" i="50"/>
  <c r="N67" i="38"/>
  <c r="N71" i="38"/>
  <c r="F71" i="38"/>
  <c r="U71" i="43"/>
  <c r="M71" i="43"/>
  <c r="Z72" i="47"/>
  <c r="R72" i="47"/>
  <c r="Y68" i="45"/>
  <c r="T67" i="38"/>
  <c r="AD68" i="45"/>
  <c r="E71" i="43"/>
  <c r="J72" i="47"/>
  <c r="Z71" i="38"/>
  <c r="R71" i="38"/>
  <c r="J71" i="38"/>
  <c r="T67" i="43"/>
  <c r="D71" i="43"/>
  <c r="V71" i="43"/>
  <c r="Y68" i="47"/>
  <c r="V71" i="50"/>
  <c r="N71" i="50"/>
  <c r="F71" i="50"/>
  <c r="Y71" i="38"/>
  <c r="Q71" i="38"/>
  <c r="I71" i="38"/>
  <c r="G72" i="45"/>
  <c r="E71" i="50"/>
  <c r="J67" i="43"/>
  <c r="W72" i="47"/>
  <c r="O72" i="47"/>
  <c r="G72" i="47"/>
  <c r="AA71" i="43"/>
  <c r="S71" i="43"/>
  <c r="N72" i="47"/>
  <c r="Y67" i="38"/>
  <c r="Y67" i="43"/>
  <c r="W71" i="43"/>
  <c r="G71" i="43"/>
  <c r="Y71" i="43"/>
  <c r="I71" i="43"/>
  <c r="AD67" i="38"/>
  <c r="D67" i="43"/>
  <c r="T68" i="45"/>
  <c r="V72" i="45"/>
  <c r="N72" i="45"/>
  <c r="F72" i="45"/>
  <c r="N68" i="47"/>
  <c r="J67" i="50"/>
  <c r="AA72" i="47"/>
  <c r="S72" i="47"/>
  <c r="K72" i="47"/>
  <c r="U72" i="47"/>
  <c r="M72" i="47"/>
  <c r="E72" i="47"/>
  <c r="AB71" i="50"/>
  <c r="T71" i="50"/>
  <c r="L71" i="50"/>
  <c r="AB71" i="43"/>
  <c r="T71" i="43"/>
  <c r="L71" i="43"/>
  <c r="Z72" i="45"/>
  <c r="R72" i="45"/>
  <c r="J72" i="45"/>
  <c r="AB72" i="45"/>
  <c r="T72" i="45"/>
  <c r="L72" i="45"/>
  <c r="T68" i="47"/>
  <c r="D72" i="47"/>
  <c r="AB72" i="47"/>
  <c r="T72" i="47"/>
  <c r="L72" i="47"/>
  <c r="N67" i="50"/>
  <c r="AD67" i="43"/>
  <c r="N68" i="45"/>
  <c r="AD67" i="50"/>
  <c r="O71" i="43"/>
  <c r="Q71" i="43"/>
  <c r="J68" i="45"/>
  <c r="AD68" i="47"/>
  <c r="H71" i="50"/>
  <c r="Y67" i="50"/>
  <c r="T67" i="50"/>
  <c r="J67" i="38"/>
  <c r="D67" i="50"/>
  <c r="D68" i="45"/>
  <c r="D67" i="38"/>
  <c r="D72" i="45"/>
  <c r="L60" i="61" l="1"/>
  <c r="L73" i="61" s="1"/>
  <c r="L32" i="17"/>
  <c r="K78" i="58"/>
  <c r="K74" i="58"/>
  <c r="M17" i="17"/>
  <c r="L61" i="58"/>
  <c r="N66" i="43"/>
  <c r="N65" i="43"/>
  <c r="M60" i="61" l="1"/>
  <c r="M73" i="61" s="1"/>
  <c r="M32" i="17"/>
  <c r="L78" i="58"/>
  <c r="L74" i="58"/>
  <c r="N17" i="17"/>
  <c r="M61" i="58"/>
  <c r="N67" i="43"/>
  <c r="N60" i="61" l="1"/>
  <c r="N73" i="61" s="1"/>
  <c r="N32" i="17"/>
  <c r="M78" i="58"/>
  <c r="M74" i="58"/>
  <c r="O17" i="17"/>
  <c r="N61" i="58"/>
  <c r="O60" i="61" l="1"/>
  <c r="O73" i="61" s="1"/>
  <c r="O32" i="17"/>
  <c r="B50" i="58"/>
  <c r="N78" i="58"/>
  <c r="N74" i="58"/>
  <c r="P17" i="17"/>
  <c r="O61" i="58"/>
  <c r="E69" i="15"/>
  <c r="F69" i="15"/>
  <c r="G69" i="15"/>
  <c r="H69" i="15"/>
  <c r="I69" i="15"/>
  <c r="J69" i="15"/>
  <c r="K69" i="15"/>
  <c r="L69" i="15"/>
  <c r="M69" i="15"/>
  <c r="N69" i="15"/>
  <c r="O69" i="15"/>
  <c r="P69" i="15"/>
  <c r="Q69" i="15"/>
  <c r="R69" i="15"/>
  <c r="S69" i="15"/>
  <c r="T69" i="15"/>
  <c r="U69" i="15"/>
  <c r="V69" i="15"/>
  <c r="W69" i="15"/>
  <c r="X69" i="15"/>
  <c r="Y69" i="15"/>
  <c r="Z69" i="15"/>
  <c r="AA69" i="15"/>
  <c r="AB69" i="15"/>
  <c r="E70" i="15"/>
  <c r="F70" i="15"/>
  <c r="G70" i="15"/>
  <c r="H70" i="15"/>
  <c r="I70" i="15"/>
  <c r="I71" i="15" s="1"/>
  <c r="J70" i="15"/>
  <c r="J71" i="15" s="1"/>
  <c r="K70" i="15"/>
  <c r="L70" i="15"/>
  <c r="M70" i="15"/>
  <c r="N70" i="15"/>
  <c r="O70" i="15"/>
  <c r="O71" i="15" s="1"/>
  <c r="P70" i="15"/>
  <c r="Q70" i="15"/>
  <c r="Q71" i="15" s="1"/>
  <c r="R70" i="15"/>
  <c r="R71" i="15" s="1"/>
  <c r="S70" i="15"/>
  <c r="T70" i="15"/>
  <c r="U70" i="15"/>
  <c r="V70" i="15"/>
  <c r="V71" i="15" s="1"/>
  <c r="W70" i="15"/>
  <c r="X70" i="15"/>
  <c r="Y70" i="15"/>
  <c r="Y71" i="15" s="1"/>
  <c r="Z70" i="15"/>
  <c r="Z71" i="15" s="1"/>
  <c r="AA70" i="15"/>
  <c r="AB70" i="15"/>
  <c r="D70" i="15"/>
  <c r="D69" i="15"/>
  <c r="J65" i="15"/>
  <c r="T65" i="15"/>
  <c r="Y65" i="15"/>
  <c r="AD65" i="15"/>
  <c r="J66" i="15"/>
  <c r="T66" i="15"/>
  <c r="Y66" i="15"/>
  <c r="AD66" i="15"/>
  <c r="D66" i="15"/>
  <c r="D65" i="15"/>
  <c r="P60" i="61" l="1"/>
  <c r="P73" i="61" s="1"/>
  <c r="P32" i="17"/>
  <c r="AQ182" i="18"/>
  <c r="F71" i="15"/>
  <c r="W71" i="15"/>
  <c r="O78" i="58"/>
  <c r="O74" i="58"/>
  <c r="Q17" i="17"/>
  <c r="P61" i="58"/>
  <c r="N71" i="15"/>
  <c r="AB71" i="15"/>
  <c r="T71" i="15"/>
  <c r="L71" i="15"/>
  <c r="D67" i="15"/>
  <c r="AA71" i="15"/>
  <c r="S71" i="15"/>
  <c r="K71" i="15"/>
  <c r="D71" i="15"/>
  <c r="X71" i="15"/>
  <c r="P71" i="15"/>
  <c r="H71" i="15"/>
  <c r="G71" i="15"/>
  <c r="Y67" i="15"/>
  <c r="J67" i="15"/>
  <c r="T67" i="15"/>
  <c r="U71" i="15"/>
  <c r="M71" i="15"/>
  <c r="E71" i="15"/>
  <c r="AD67" i="15"/>
  <c r="N66" i="15"/>
  <c r="N65" i="15"/>
  <c r="Q60" i="61" l="1"/>
  <c r="Q73" i="61" s="1"/>
  <c r="Q32" i="17"/>
  <c r="P78" i="58"/>
  <c r="P74" i="58"/>
  <c r="R17" i="17"/>
  <c r="Q61" i="58"/>
  <c r="N67" i="15"/>
  <c r="E69" i="13"/>
  <c r="F69" i="13"/>
  <c r="G69" i="13"/>
  <c r="H69" i="13"/>
  <c r="I69" i="13"/>
  <c r="J69" i="13"/>
  <c r="K69" i="13"/>
  <c r="L69" i="13"/>
  <c r="M69" i="13"/>
  <c r="N69" i="13"/>
  <c r="O69" i="13"/>
  <c r="P69" i="13"/>
  <c r="Q69" i="13"/>
  <c r="R69" i="13"/>
  <c r="S69" i="13"/>
  <c r="T69" i="13"/>
  <c r="U69" i="13"/>
  <c r="V69" i="13"/>
  <c r="W69" i="13"/>
  <c r="X69" i="13"/>
  <c r="Y69" i="13"/>
  <c r="Z69" i="13"/>
  <c r="AA69" i="13"/>
  <c r="AB69" i="13"/>
  <c r="E70" i="13"/>
  <c r="F70" i="13"/>
  <c r="G70" i="13"/>
  <c r="H70" i="13"/>
  <c r="H71" i="13" s="1"/>
  <c r="I70" i="13"/>
  <c r="I71" i="13" s="1"/>
  <c r="J70" i="13"/>
  <c r="K70" i="13"/>
  <c r="L70" i="13"/>
  <c r="M70" i="13"/>
  <c r="M71" i="13" s="1"/>
  <c r="N70" i="13"/>
  <c r="O70" i="13"/>
  <c r="P70" i="13"/>
  <c r="Q70" i="13"/>
  <c r="Q71" i="13" s="1"/>
  <c r="R70" i="13"/>
  <c r="S70" i="13"/>
  <c r="T70" i="13"/>
  <c r="U70" i="13"/>
  <c r="V70" i="13"/>
  <c r="W70" i="13"/>
  <c r="X70" i="13"/>
  <c r="X71" i="13" s="1"/>
  <c r="Y70" i="13"/>
  <c r="Y71" i="13" s="1"/>
  <c r="Z70" i="13"/>
  <c r="AA70" i="13"/>
  <c r="AB70" i="13"/>
  <c r="D70" i="13"/>
  <c r="D69" i="13"/>
  <c r="J65" i="13"/>
  <c r="N65" i="13"/>
  <c r="T65" i="13"/>
  <c r="Y65" i="13"/>
  <c r="AD65" i="13"/>
  <c r="J66" i="13"/>
  <c r="N66" i="13"/>
  <c r="T66" i="13"/>
  <c r="Y66" i="13"/>
  <c r="AD66" i="13"/>
  <c r="D66" i="13"/>
  <c r="D65" i="13"/>
  <c r="R60" i="61" l="1"/>
  <c r="R73" i="61" s="1"/>
  <c r="R32" i="17"/>
  <c r="E71" i="13"/>
  <c r="Q78" i="58"/>
  <c r="Q74" i="58"/>
  <c r="S17" i="17"/>
  <c r="R61" i="58"/>
  <c r="P71" i="13"/>
  <c r="G71" i="13"/>
  <c r="O71" i="13"/>
  <c r="R71" i="13"/>
  <c r="J71" i="13"/>
  <c r="Z71" i="13"/>
  <c r="W71" i="13"/>
  <c r="T67" i="13"/>
  <c r="N67" i="13"/>
  <c r="AD67" i="13"/>
  <c r="F71" i="13"/>
  <c r="Y67" i="13"/>
  <c r="U71" i="13"/>
  <c r="AB71" i="13"/>
  <c r="T71" i="13"/>
  <c r="L71" i="13"/>
  <c r="AA71" i="13"/>
  <c r="S71" i="13"/>
  <c r="K71" i="13"/>
  <c r="V71" i="13"/>
  <c r="N71" i="13"/>
  <c r="J67" i="13"/>
  <c r="D67" i="13"/>
  <c r="S60" i="61" l="1"/>
  <c r="S73" i="61" s="1"/>
  <c r="S32" i="17"/>
  <c r="B49" i="50"/>
  <c r="R78" i="58"/>
  <c r="R74" i="58"/>
  <c r="T17" i="17"/>
  <c r="S61" i="58"/>
  <c r="E70" i="12"/>
  <c r="F70" i="12"/>
  <c r="G70" i="12"/>
  <c r="H70" i="12"/>
  <c r="I70" i="12"/>
  <c r="J70" i="12"/>
  <c r="K70" i="12"/>
  <c r="L70" i="12"/>
  <c r="M70" i="12"/>
  <c r="N70" i="12"/>
  <c r="O70" i="12"/>
  <c r="P70" i="12"/>
  <c r="Q70" i="12"/>
  <c r="R70" i="12"/>
  <c r="S70" i="12"/>
  <c r="T70" i="12"/>
  <c r="U70" i="12"/>
  <c r="V70" i="12"/>
  <c r="W70" i="12"/>
  <c r="X70" i="12"/>
  <c r="Y70" i="12"/>
  <c r="Z70" i="12"/>
  <c r="AA70" i="12"/>
  <c r="AB70" i="12"/>
  <c r="E71" i="12"/>
  <c r="F71" i="12"/>
  <c r="G71" i="12"/>
  <c r="H71" i="12"/>
  <c r="I71" i="12"/>
  <c r="I72" i="12" s="1"/>
  <c r="J71" i="12"/>
  <c r="K71" i="12"/>
  <c r="L71" i="12"/>
  <c r="M71" i="12"/>
  <c r="N71" i="12"/>
  <c r="O71" i="12"/>
  <c r="P71" i="12"/>
  <c r="Q71" i="12"/>
  <c r="Q72" i="12" s="1"/>
  <c r="R71" i="12"/>
  <c r="S71" i="12"/>
  <c r="T71" i="12"/>
  <c r="U71" i="12"/>
  <c r="V71" i="12"/>
  <c r="W71" i="12"/>
  <c r="X71" i="12"/>
  <c r="Y71" i="12"/>
  <c r="Z71" i="12"/>
  <c r="AA71" i="12"/>
  <c r="AB71" i="12"/>
  <c r="D71" i="12"/>
  <c r="D70" i="12"/>
  <c r="J66" i="12"/>
  <c r="T66" i="12"/>
  <c r="Y66" i="12"/>
  <c r="AD66" i="12"/>
  <c r="J67" i="12"/>
  <c r="T67" i="12"/>
  <c r="Y67" i="12"/>
  <c r="AD67" i="12"/>
  <c r="D67" i="12"/>
  <c r="D66" i="12"/>
  <c r="T60" i="61" l="1"/>
  <c r="T73" i="61" s="1"/>
  <c r="T32" i="17"/>
  <c r="M72" i="12"/>
  <c r="O12" i="60"/>
  <c r="O28" i="18"/>
  <c r="AP182" i="18" s="1"/>
  <c r="U72" i="12"/>
  <c r="E72" i="12"/>
  <c r="S78" i="58"/>
  <c r="S74" i="58"/>
  <c r="U17" i="17"/>
  <c r="T61" i="58"/>
  <c r="S72" i="12"/>
  <c r="K72" i="12"/>
  <c r="D72" i="12"/>
  <c r="AA72" i="12"/>
  <c r="Y72" i="12"/>
  <c r="J72" i="12"/>
  <c r="X72" i="12"/>
  <c r="P72" i="12"/>
  <c r="H72" i="12"/>
  <c r="R72" i="12"/>
  <c r="AB72" i="12"/>
  <c r="T72" i="12"/>
  <c r="L72" i="12"/>
  <c r="Z72" i="12"/>
  <c r="W72" i="12"/>
  <c r="O72" i="12"/>
  <c r="G72" i="12"/>
  <c r="V72" i="12"/>
  <c r="F72" i="12"/>
  <c r="N72" i="12"/>
  <c r="N67" i="12"/>
  <c r="N66" i="12"/>
  <c r="U60" i="61" l="1"/>
  <c r="U73" i="61" s="1"/>
  <c r="U32" i="17"/>
  <c r="T78" i="58"/>
  <c r="T74" i="58"/>
  <c r="V17" i="17"/>
  <c r="U61" i="58"/>
  <c r="E69" i="11"/>
  <c r="F69" i="11"/>
  <c r="G69" i="11"/>
  <c r="H69" i="11"/>
  <c r="I69" i="11"/>
  <c r="J69" i="11"/>
  <c r="K69" i="11"/>
  <c r="L69" i="11"/>
  <c r="M69" i="11"/>
  <c r="N69" i="11"/>
  <c r="O69" i="11"/>
  <c r="P69" i="11"/>
  <c r="Q69" i="11"/>
  <c r="R69" i="11"/>
  <c r="S69" i="11"/>
  <c r="T69" i="11"/>
  <c r="U69" i="11"/>
  <c r="V69" i="11"/>
  <c r="W69" i="11"/>
  <c r="X69" i="11"/>
  <c r="Y69" i="11"/>
  <c r="Z69" i="11"/>
  <c r="AA69" i="11"/>
  <c r="AB69" i="11"/>
  <c r="E70" i="11"/>
  <c r="F70" i="11"/>
  <c r="G70" i="11"/>
  <c r="H70" i="11"/>
  <c r="I70" i="11"/>
  <c r="J70" i="11"/>
  <c r="K70" i="11"/>
  <c r="L70" i="11"/>
  <c r="M70" i="11"/>
  <c r="N70" i="11"/>
  <c r="O70" i="11"/>
  <c r="P70" i="11"/>
  <c r="Q70" i="11"/>
  <c r="R70" i="11"/>
  <c r="S70" i="11"/>
  <c r="T70" i="11"/>
  <c r="U70" i="11"/>
  <c r="V70" i="11"/>
  <c r="W70" i="11"/>
  <c r="X70" i="11"/>
  <c r="Y70" i="11"/>
  <c r="Z70" i="11"/>
  <c r="AA70" i="11"/>
  <c r="AB70" i="11"/>
  <c r="D70" i="11"/>
  <c r="J65" i="11"/>
  <c r="N65" i="11"/>
  <c r="T65" i="11"/>
  <c r="Y65" i="11"/>
  <c r="AD65" i="11"/>
  <c r="J66" i="11"/>
  <c r="N66" i="11"/>
  <c r="T66" i="11"/>
  <c r="Y66" i="11"/>
  <c r="AD66" i="11"/>
  <c r="D66" i="11"/>
  <c r="D65" i="11"/>
  <c r="D69" i="11"/>
  <c r="V60" i="61" l="1"/>
  <c r="V73" i="61" s="1"/>
  <c r="V32" i="17"/>
  <c r="U78" i="58"/>
  <c r="U74" i="58"/>
  <c r="W17" i="17"/>
  <c r="V61" i="58"/>
  <c r="W60" i="61" l="1"/>
  <c r="W73" i="61" s="1"/>
  <c r="W32" i="17"/>
  <c r="X17" i="17"/>
  <c r="W61" i="58"/>
  <c r="V78" i="58"/>
  <c r="V74" i="58"/>
  <c r="D70" i="10"/>
  <c r="E70" i="10"/>
  <c r="F70" i="10"/>
  <c r="G70" i="10"/>
  <c r="H70" i="10"/>
  <c r="I70" i="10"/>
  <c r="J70" i="10"/>
  <c r="K70" i="10"/>
  <c r="L70" i="10"/>
  <c r="M70" i="10"/>
  <c r="N70" i="10"/>
  <c r="O70" i="10"/>
  <c r="P70" i="10"/>
  <c r="Q70" i="10"/>
  <c r="R70" i="10"/>
  <c r="S70" i="10"/>
  <c r="T70" i="10"/>
  <c r="U70" i="10"/>
  <c r="V70" i="10"/>
  <c r="W70" i="10"/>
  <c r="X70" i="10"/>
  <c r="Y70" i="10"/>
  <c r="Z70" i="10"/>
  <c r="AA70" i="10"/>
  <c r="AB70" i="10"/>
  <c r="E69" i="10"/>
  <c r="F69" i="10"/>
  <c r="G69" i="10"/>
  <c r="H69" i="10"/>
  <c r="I69" i="10"/>
  <c r="J69" i="10"/>
  <c r="K69" i="10"/>
  <c r="L69" i="10"/>
  <c r="M69" i="10"/>
  <c r="N69" i="10"/>
  <c r="O69" i="10"/>
  <c r="P69" i="10"/>
  <c r="Q69" i="10"/>
  <c r="R69" i="10"/>
  <c r="S69" i="10"/>
  <c r="T69" i="10"/>
  <c r="U69" i="10"/>
  <c r="V69" i="10"/>
  <c r="W69" i="10"/>
  <c r="X69" i="10"/>
  <c r="Y69" i="10"/>
  <c r="Z69" i="10"/>
  <c r="AA69" i="10"/>
  <c r="AB69" i="10"/>
  <c r="D66" i="10"/>
  <c r="J66" i="10"/>
  <c r="N66" i="10"/>
  <c r="T66" i="10"/>
  <c r="Y66" i="10"/>
  <c r="AD66" i="10"/>
  <c r="J65" i="10"/>
  <c r="N65" i="10"/>
  <c r="T65" i="10"/>
  <c r="Y65" i="10"/>
  <c r="AD65" i="10"/>
  <c r="D65" i="10"/>
  <c r="X60" i="61" l="1"/>
  <c r="X73" i="61" s="1"/>
  <c r="X32" i="17"/>
  <c r="W78" i="58"/>
  <c r="W74" i="58"/>
  <c r="Y17" i="17"/>
  <c r="X61" i="58"/>
  <c r="E71" i="10"/>
  <c r="D71" i="10"/>
  <c r="Y60" i="61" l="1"/>
  <c r="Y73" i="61" s="1"/>
  <c r="Y32" i="17"/>
  <c r="Z17" i="17"/>
  <c r="Y61" i="58"/>
  <c r="X78" i="58"/>
  <c r="X74" i="58"/>
  <c r="Z60" i="61" l="1"/>
  <c r="Z73" i="61" s="1"/>
  <c r="Z32" i="17"/>
  <c r="Y78" i="58"/>
  <c r="Y74" i="58"/>
  <c r="AA17" i="17"/>
  <c r="Z61" i="58"/>
  <c r="C41" i="17"/>
  <c r="C40" i="17"/>
  <c r="AA60" i="61" l="1"/>
  <c r="AA73" i="61" s="1"/>
  <c r="AA32" i="17"/>
  <c r="R81" i="43"/>
  <c r="R81" i="11"/>
  <c r="R81" i="38"/>
  <c r="R81" i="10"/>
  <c r="R82" i="23"/>
  <c r="R81" i="15"/>
  <c r="R82" i="58"/>
  <c r="R81" i="50"/>
  <c r="R82" i="12"/>
  <c r="R82" i="45"/>
  <c r="R82" i="47"/>
  <c r="H82" i="47"/>
  <c r="H82" i="45"/>
  <c r="H82" i="12"/>
  <c r="H81" i="43"/>
  <c r="H81" i="38"/>
  <c r="H82" i="23"/>
  <c r="H81" i="15"/>
  <c r="H81" i="10"/>
  <c r="H82" i="58"/>
  <c r="H81" i="11"/>
  <c r="H81" i="50"/>
  <c r="Z81" i="43"/>
  <c r="Z81" i="11"/>
  <c r="Z81" i="38"/>
  <c r="Z81" i="10"/>
  <c r="Z82" i="23"/>
  <c r="Z81" i="15"/>
  <c r="Z82" i="58"/>
  <c r="Z82" i="45"/>
  <c r="Z81" i="50"/>
  <c r="Z82" i="12"/>
  <c r="Z82" i="47"/>
  <c r="Q82" i="45"/>
  <c r="Q81" i="10"/>
  <c r="Q81" i="43"/>
  <c r="Q82" i="47"/>
  <c r="Q81" i="38"/>
  <c r="Q82" i="23"/>
  <c r="Q81" i="15"/>
  <c r="Q81" i="11"/>
  <c r="Q82" i="58"/>
  <c r="Q81" i="50"/>
  <c r="Q82" i="12"/>
  <c r="P82" i="47"/>
  <c r="P82" i="45"/>
  <c r="P81" i="50"/>
  <c r="P81" i="43"/>
  <c r="P81" i="38"/>
  <c r="P82" i="23"/>
  <c r="P81" i="15"/>
  <c r="P82" i="12"/>
  <c r="P82" i="58"/>
  <c r="P81" i="11"/>
  <c r="P81" i="10"/>
  <c r="W81" i="50"/>
  <c r="W82" i="12"/>
  <c r="W82" i="47"/>
  <c r="W82" i="45"/>
  <c r="W81" i="43"/>
  <c r="W81" i="38"/>
  <c r="W82" i="58"/>
  <c r="W82" i="23"/>
  <c r="W81" i="11"/>
  <c r="W81" i="15"/>
  <c r="W81" i="10"/>
  <c r="O81" i="50"/>
  <c r="O82" i="12"/>
  <c r="O82" i="47"/>
  <c r="O82" i="58"/>
  <c r="O82" i="45"/>
  <c r="O81" i="43"/>
  <c r="O81" i="38"/>
  <c r="O82" i="23"/>
  <c r="O81" i="11"/>
  <c r="O81" i="15"/>
  <c r="O81" i="10"/>
  <c r="G81" i="50"/>
  <c r="G82" i="12"/>
  <c r="G82" i="47"/>
  <c r="G82" i="45"/>
  <c r="G81" i="43"/>
  <c r="G81" i="38"/>
  <c r="G82" i="23"/>
  <c r="G81" i="11"/>
  <c r="G81" i="15"/>
  <c r="G81" i="10"/>
  <c r="G82" i="58"/>
  <c r="Y82" i="45"/>
  <c r="Y81" i="10"/>
  <c r="Y81" i="43"/>
  <c r="Y81" i="11"/>
  <c r="Y81" i="38"/>
  <c r="Y82" i="23"/>
  <c r="Y81" i="15"/>
  <c r="Y82" i="58"/>
  <c r="Y82" i="47"/>
  <c r="Y81" i="50"/>
  <c r="Y82" i="12"/>
  <c r="X82" i="47"/>
  <c r="X82" i="45"/>
  <c r="X81" i="43"/>
  <c r="X81" i="38"/>
  <c r="X82" i="23"/>
  <c r="X81" i="15"/>
  <c r="X81" i="50"/>
  <c r="X82" i="58"/>
  <c r="X81" i="11"/>
  <c r="X82" i="12"/>
  <c r="X81" i="10"/>
  <c r="V82" i="58"/>
  <c r="V81" i="50"/>
  <c r="V82" i="12"/>
  <c r="V82" i="47"/>
  <c r="V82" i="45"/>
  <c r="V81" i="43"/>
  <c r="V81" i="11"/>
  <c r="V81" i="38"/>
  <c r="V81" i="10"/>
  <c r="V82" i="23"/>
  <c r="V81" i="15"/>
  <c r="N82" i="58"/>
  <c r="N81" i="50"/>
  <c r="N82" i="12"/>
  <c r="N81" i="15"/>
  <c r="N82" i="47"/>
  <c r="N82" i="45"/>
  <c r="N81" i="43"/>
  <c r="N81" i="11"/>
  <c r="N81" i="38"/>
  <c r="N81" i="10"/>
  <c r="N82" i="23"/>
  <c r="F82" i="58"/>
  <c r="F81" i="50"/>
  <c r="F82" i="12"/>
  <c r="F82" i="47"/>
  <c r="F82" i="45"/>
  <c r="F81" i="43"/>
  <c r="F81" i="11"/>
  <c r="F81" i="38"/>
  <c r="F81" i="10"/>
  <c r="F82" i="23"/>
  <c r="F81" i="15"/>
  <c r="J81" i="43"/>
  <c r="J81" i="11"/>
  <c r="J81" i="38"/>
  <c r="J81" i="10"/>
  <c r="J82" i="45"/>
  <c r="J82" i="23"/>
  <c r="J81" i="15"/>
  <c r="J82" i="58"/>
  <c r="J81" i="50"/>
  <c r="J82" i="12"/>
  <c r="J82" i="47"/>
  <c r="I82" i="45"/>
  <c r="I81" i="10"/>
  <c r="I81" i="43"/>
  <c r="I81" i="38"/>
  <c r="I82" i="23"/>
  <c r="I81" i="15"/>
  <c r="I82" i="58"/>
  <c r="I81" i="50"/>
  <c r="I82" i="12"/>
  <c r="I82" i="47"/>
  <c r="I81" i="11"/>
  <c r="AC81" i="15"/>
  <c r="AC82" i="58"/>
  <c r="AC81" i="10"/>
  <c r="AC82" i="23"/>
  <c r="AC81" i="50"/>
  <c r="AC82" i="12"/>
  <c r="AC82" i="47"/>
  <c r="AC81" i="11"/>
  <c r="AC82" i="45"/>
  <c r="AC81" i="43"/>
  <c r="AC81" i="38"/>
  <c r="U81" i="15"/>
  <c r="U82" i="58"/>
  <c r="U81" i="50"/>
  <c r="U82" i="12"/>
  <c r="U82" i="47"/>
  <c r="U81" i="11"/>
  <c r="U82" i="45"/>
  <c r="U81" i="10"/>
  <c r="U81" i="43"/>
  <c r="U81" i="38"/>
  <c r="U82" i="23"/>
  <c r="M81" i="15"/>
  <c r="M82" i="58"/>
  <c r="M81" i="50"/>
  <c r="M82" i="12"/>
  <c r="M82" i="47"/>
  <c r="M81" i="11"/>
  <c r="M82" i="45"/>
  <c r="M81" i="10"/>
  <c r="M81" i="43"/>
  <c r="M82" i="23"/>
  <c r="M81" i="38"/>
  <c r="E81" i="15"/>
  <c r="E82" i="58"/>
  <c r="E81" i="50"/>
  <c r="E82" i="12"/>
  <c r="E82" i="47"/>
  <c r="E81" i="11"/>
  <c r="E82" i="45"/>
  <c r="E81" i="10"/>
  <c r="E82" i="23"/>
  <c r="E81" i="43"/>
  <c r="E81" i="38"/>
  <c r="AB82" i="23"/>
  <c r="AB81" i="15"/>
  <c r="AB82" i="58"/>
  <c r="AB81" i="11"/>
  <c r="AB81" i="50"/>
  <c r="AB82" i="12"/>
  <c r="AB81" i="10"/>
  <c r="AB82" i="47"/>
  <c r="AB82" i="45"/>
  <c r="AB81" i="43"/>
  <c r="AB81" i="38"/>
  <c r="T82" i="23"/>
  <c r="T81" i="15"/>
  <c r="T82" i="58"/>
  <c r="T81" i="11"/>
  <c r="T81" i="50"/>
  <c r="T82" i="12"/>
  <c r="T81" i="10"/>
  <c r="T82" i="47"/>
  <c r="T81" i="38"/>
  <c r="T82" i="45"/>
  <c r="T81" i="43"/>
  <c r="L82" i="23"/>
  <c r="L81" i="15"/>
  <c r="L82" i="58"/>
  <c r="L81" i="11"/>
  <c r="L81" i="50"/>
  <c r="L82" i="12"/>
  <c r="L81" i="10"/>
  <c r="L82" i="47"/>
  <c r="L82" i="45"/>
  <c r="L81" i="38"/>
  <c r="L81" i="43"/>
  <c r="AA81" i="38"/>
  <c r="AA82" i="23"/>
  <c r="AA81" i="11"/>
  <c r="AA81" i="15"/>
  <c r="AA81" i="10"/>
  <c r="AA82" i="58"/>
  <c r="AA81" i="50"/>
  <c r="AA82" i="12"/>
  <c r="AA82" i="47"/>
  <c r="AA82" i="45"/>
  <c r="AA81" i="43"/>
  <c r="S81" i="38"/>
  <c r="S82" i="23"/>
  <c r="S81" i="11"/>
  <c r="S81" i="15"/>
  <c r="S81" i="10"/>
  <c r="S82" i="58"/>
  <c r="S81" i="50"/>
  <c r="S82" i="12"/>
  <c r="S82" i="47"/>
  <c r="S81" i="43"/>
  <c r="S82" i="45"/>
  <c r="K81" i="38"/>
  <c r="K82" i="23"/>
  <c r="K81" i="11"/>
  <c r="K81" i="43"/>
  <c r="K81" i="15"/>
  <c r="K81" i="10"/>
  <c r="K82" i="58"/>
  <c r="K81" i="50"/>
  <c r="K82" i="12"/>
  <c r="K82" i="47"/>
  <c r="K82" i="45"/>
  <c r="Z78" i="58"/>
  <c r="Z74" i="58"/>
  <c r="AB17" i="17"/>
  <c r="AA61" i="58"/>
  <c r="C42" i="17"/>
  <c r="K66" i="23"/>
  <c r="AB60" i="61" l="1"/>
  <c r="AB73" i="61" s="1"/>
  <c r="AB32" i="17"/>
  <c r="C82" i="12"/>
  <c r="C81" i="38"/>
  <c r="I29" i="59" s="1"/>
  <c r="AL60" i="59" s="1"/>
  <c r="C81" i="50"/>
  <c r="N29" i="59" s="1"/>
  <c r="AL95" i="59" s="1"/>
  <c r="C81" i="43"/>
  <c r="K29" i="59" s="1"/>
  <c r="AL74" i="59" s="1"/>
  <c r="C81" i="13"/>
  <c r="C82" i="23"/>
  <c r="H29" i="59" s="1"/>
  <c r="AL53" i="59" s="1"/>
  <c r="C82" i="58"/>
  <c r="O29" i="59" s="1"/>
  <c r="AL102" i="59" s="1"/>
  <c r="C81" i="10"/>
  <c r="C81" i="15"/>
  <c r="G29" i="59" s="1"/>
  <c r="AL39" i="59" s="1"/>
  <c r="C82" i="45"/>
  <c r="L29" i="59" s="1"/>
  <c r="AL81" i="59" s="1"/>
  <c r="J29" i="59"/>
  <c r="AL67" i="59" s="1"/>
  <c r="C81" i="11"/>
  <c r="C82" i="47"/>
  <c r="M29" i="59" s="1"/>
  <c r="AL88" i="59" s="1"/>
  <c r="K67" i="23"/>
  <c r="K68" i="23" s="1"/>
  <c r="K67" i="58"/>
  <c r="K68" i="58" s="1"/>
  <c r="O67" i="23"/>
  <c r="O67" i="58"/>
  <c r="AA78" i="58"/>
  <c r="AA74" i="58"/>
  <c r="AC17" i="17"/>
  <c r="AB61" i="58"/>
  <c r="O66" i="23"/>
  <c r="O66" i="58"/>
  <c r="U66" i="23"/>
  <c r="U66" i="58"/>
  <c r="U67" i="23"/>
  <c r="U67" i="58"/>
  <c r="E66" i="23"/>
  <c r="E66" i="58"/>
  <c r="Z66" i="23"/>
  <c r="Z66" i="58"/>
  <c r="E67" i="23"/>
  <c r="E67" i="58"/>
  <c r="Z67" i="23"/>
  <c r="Z67" i="58"/>
  <c r="Z67" i="47"/>
  <c r="Z66" i="38"/>
  <c r="Z66" i="43"/>
  <c r="Z67" i="45"/>
  <c r="Z66" i="50"/>
  <c r="Z66" i="15"/>
  <c r="Z66" i="13"/>
  <c r="Z67" i="12"/>
  <c r="Z66" i="11"/>
  <c r="Z66" i="10"/>
  <c r="AA66" i="58"/>
  <c r="Z65" i="38"/>
  <c r="Z65" i="43"/>
  <c r="Z66" i="45"/>
  <c r="Z65" i="50"/>
  <c r="Z66" i="47"/>
  <c r="Z65" i="15"/>
  <c r="Z65" i="13"/>
  <c r="Z66" i="12"/>
  <c r="Z65" i="11"/>
  <c r="Z65" i="10"/>
  <c r="U67" i="47"/>
  <c r="U66" i="43"/>
  <c r="U66" i="50"/>
  <c r="U66" i="38"/>
  <c r="U67" i="45"/>
  <c r="U66" i="15"/>
  <c r="U66" i="13"/>
  <c r="U67" i="12"/>
  <c r="U66" i="11"/>
  <c r="U66" i="10"/>
  <c r="V66" i="58"/>
  <c r="U65" i="38"/>
  <c r="U66" i="45"/>
  <c r="U66" i="47"/>
  <c r="U65" i="43"/>
  <c r="U65" i="50"/>
  <c r="U65" i="15"/>
  <c r="U65" i="13"/>
  <c r="U66" i="12"/>
  <c r="U65" i="11"/>
  <c r="U65" i="10"/>
  <c r="O66" i="47"/>
  <c r="O66" i="45"/>
  <c r="O65" i="43"/>
  <c r="O65" i="50"/>
  <c r="O65" i="38"/>
  <c r="O65" i="15"/>
  <c r="O65" i="13"/>
  <c r="O66" i="12"/>
  <c r="O65" i="11"/>
  <c r="O65" i="10"/>
  <c r="O66" i="50"/>
  <c r="O66" i="38"/>
  <c r="O67" i="47"/>
  <c r="O66" i="43"/>
  <c r="O67" i="45"/>
  <c r="O66" i="15"/>
  <c r="O66" i="13"/>
  <c r="O67" i="12"/>
  <c r="O66" i="11"/>
  <c r="O66" i="10"/>
  <c r="K66" i="45"/>
  <c r="K65" i="38"/>
  <c r="K65" i="50"/>
  <c r="K66" i="47"/>
  <c r="K65" i="43"/>
  <c r="K65" i="15"/>
  <c r="K65" i="13"/>
  <c r="K66" i="12"/>
  <c r="K65" i="11"/>
  <c r="K65" i="10"/>
  <c r="K66" i="50"/>
  <c r="K67" i="47"/>
  <c r="K66" i="43"/>
  <c r="K67" i="43" s="1"/>
  <c r="K66" i="38"/>
  <c r="K67" i="45"/>
  <c r="K66" i="15"/>
  <c r="K66" i="13"/>
  <c r="K67" i="12"/>
  <c r="K66" i="11"/>
  <c r="K66" i="10"/>
  <c r="E66" i="45"/>
  <c r="E65" i="38"/>
  <c r="E65" i="50"/>
  <c r="E66" i="47"/>
  <c r="E65" i="43"/>
  <c r="E65" i="15"/>
  <c r="E65" i="13"/>
  <c r="E66" i="12"/>
  <c r="E65" i="11"/>
  <c r="E65" i="10"/>
  <c r="E67" i="45"/>
  <c r="E66" i="38"/>
  <c r="E66" i="43"/>
  <c r="E67" i="47"/>
  <c r="E66" i="50"/>
  <c r="E66" i="15"/>
  <c r="E66" i="13"/>
  <c r="E67" i="12"/>
  <c r="E66" i="11"/>
  <c r="E66" i="10"/>
  <c r="AC60" i="61" l="1"/>
  <c r="AC73" i="61" s="1"/>
  <c r="AC32" i="17"/>
  <c r="E29" i="59"/>
  <c r="AL25" i="59" s="1"/>
  <c r="I46" i="59" s="1"/>
  <c r="C29" i="59"/>
  <c r="AL11" i="59" s="1"/>
  <c r="AA46" i="59" s="1"/>
  <c r="D29" i="59"/>
  <c r="AL18" i="59" s="1"/>
  <c r="O46" i="59" s="1"/>
  <c r="F29" i="59"/>
  <c r="AL32" i="59" s="1"/>
  <c r="C46" i="59"/>
  <c r="O68" i="23"/>
  <c r="U68" i="23"/>
  <c r="Z68" i="23"/>
  <c r="M46" i="59"/>
  <c r="K46" i="59"/>
  <c r="E68" i="23"/>
  <c r="Z68" i="47"/>
  <c r="E68" i="58"/>
  <c r="AB78" i="58"/>
  <c r="AB74" i="58"/>
  <c r="P66" i="23"/>
  <c r="P66" i="58"/>
  <c r="AA67" i="23"/>
  <c r="AB67" i="58"/>
  <c r="AA67" i="58"/>
  <c r="AA68" i="58" s="1"/>
  <c r="AD17" i="17"/>
  <c r="AC61" i="58"/>
  <c r="P67" i="23"/>
  <c r="P67" i="58"/>
  <c r="V67" i="23"/>
  <c r="V67" i="58"/>
  <c r="V68" i="58" s="1"/>
  <c r="L67" i="23"/>
  <c r="L67" i="58"/>
  <c r="U68" i="58"/>
  <c r="F66" i="23"/>
  <c r="F66" i="58"/>
  <c r="Z68" i="58"/>
  <c r="O68" i="58"/>
  <c r="F67" i="23"/>
  <c r="F67" i="58"/>
  <c r="K68" i="45"/>
  <c r="L66" i="23"/>
  <c r="L66" i="58"/>
  <c r="V66" i="23"/>
  <c r="AB65" i="50"/>
  <c r="AA66" i="23"/>
  <c r="K67" i="15"/>
  <c r="Z68" i="45"/>
  <c r="E67" i="15"/>
  <c r="Z67" i="43"/>
  <c r="Z67" i="38"/>
  <c r="W65" i="43"/>
  <c r="K67" i="38"/>
  <c r="U67" i="38"/>
  <c r="AA66" i="47"/>
  <c r="AA65" i="38"/>
  <c r="AA65" i="43"/>
  <c r="AA66" i="45"/>
  <c r="AA65" i="50"/>
  <c r="AA65" i="15"/>
  <c r="AA65" i="13"/>
  <c r="AA66" i="12"/>
  <c r="AA65" i="11"/>
  <c r="AA65" i="10"/>
  <c r="Z67" i="15"/>
  <c r="U67" i="50"/>
  <c r="U68" i="47"/>
  <c r="Z67" i="50"/>
  <c r="U68" i="45"/>
  <c r="Z67" i="13"/>
  <c r="AA66" i="50"/>
  <c r="AA67" i="47"/>
  <c r="AA66" i="38"/>
  <c r="AA66" i="43"/>
  <c r="AA67" i="45"/>
  <c r="AA66" i="15"/>
  <c r="AA66" i="13"/>
  <c r="AA67" i="12"/>
  <c r="AA66" i="11"/>
  <c r="AA66" i="10"/>
  <c r="V65" i="38"/>
  <c r="V66" i="45"/>
  <c r="V66" i="47"/>
  <c r="V65" i="43"/>
  <c r="V65" i="50"/>
  <c r="V65" i="15"/>
  <c r="V65" i="13"/>
  <c r="V66" i="12"/>
  <c r="V65" i="11"/>
  <c r="V65" i="10"/>
  <c r="O68" i="45"/>
  <c r="U67" i="15"/>
  <c r="O67" i="13"/>
  <c r="O67" i="15"/>
  <c r="U67" i="43"/>
  <c r="O67" i="43"/>
  <c r="U67" i="13"/>
  <c r="V67" i="45"/>
  <c r="V67" i="47"/>
  <c r="V66" i="43"/>
  <c r="V66" i="50"/>
  <c r="V66" i="38"/>
  <c r="V66" i="15"/>
  <c r="V66" i="13"/>
  <c r="V67" i="12"/>
  <c r="V66" i="11"/>
  <c r="V66" i="10"/>
  <c r="O67" i="38"/>
  <c r="O67" i="50"/>
  <c r="P66" i="50"/>
  <c r="P66" i="38"/>
  <c r="P67" i="47"/>
  <c r="P67" i="45"/>
  <c r="P66" i="43"/>
  <c r="P66" i="15"/>
  <c r="P66" i="13"/>
  <c r="P67" i="12"/>
  <c r="P66" i="11"/>
  <c r="P66" i="10"/>
  <c r="P66" i="47"/>
  <c r="P65" i="43"/>
  <c r="P66" i="45"/>
  <c r="P65" i="50"/>
  <c r="P65" i="38"/>
  <c r="P65" i="15"/>
  <c r="P65" i="13"/>
  <c r="P66" i="12"/>
  <c r="P65" i="11"/>
  <c r="P65" i="10"/>
  <c r="O68" i="47"/>
  <c r="K68" i="47"/>
  <c r="E68" i="47"/>
  <c r="K67" i="50"/>
  <c r="L66" i="38"/>
  <c r="L66" i="50"/>
  <c r="L67" i="47"/>
  <c r="L66" i="43"/>
  <c r="L67" i="45"/>
  <c r="L66" i="15"/>
  <c r="L66" i="13"/>
  <c r="L67" i="12"/>
  <c r="L66" i="11"/>
  <c r="L66" i="10"/>
  <c r="L66" i="45"/>
  <c r="L65" i="38"/>
  <c r="L65" i="43"/>
  <c r="L65" i="50"/>
  <c r="L66" i="47"/>
  <c r="L65" i="15"/>
  <c r="L65" i="13"/>
  <c r="L66" i="12"/>
  <c r="L65" i="11"/>
  <c r="L65" i="10"/>
  <c r="K67" i="13"/>
  <c r="E67" i="43"/>
  <c r="E67" i="50"/>
  <c r="E67" i="13"/>
  <c r="E67" i="38"/>
  <c r="F66" i="45"/>
  <c r="F65" i="38"/>
  <c r="F66" i="47"/>
  <c r="F65" i="50"/>
  <c r="F65" i="43"/>
  <c r="F65" i="15"/>
  <c r="F65" i="13"/>
  <c r="F66" i="12"/>
  <c r="F65" i="11"/>
  <c r="F65" i="10"/>
  <c r="F66" i="43"/>
  <c r="F67" i="45"/>
  <c r="F66" i="38"/>
  <c r="F66" i="50"/>
  <c r="F67" i="47"/>
  <c r="F66" i="15"/>
  <c r="F66" i="13"/>
  <c r="F67" i="12"/>
  <c r="F66" i="11"/>
  <c r="F66" i="10"/>
  <c r="E68" i="45"/>
  <c r="Y46" i="59" l="1"/>
  <c r="AD61" i="58"/>
  <c r="AD60" i="61"/>
  <c r="AD73" i="61" s="1"/>
  <c r="AD32" i="17"/>
  <c r="U46" i="59"/>
  <c r="W46" i="59"/>
  <c r="E46" i="59"/>
  <c r="G46" i="59"/>
  <c r="Q46" i="59"/>
  <c r="S46" i="59"/>
  <c r="P68" i="23"/>
  <c r="F68" i="23"/>
  <c r="P68" i="58"/>
  <c r="X66" i="23"/>
  <c r="AA68" i="23"/>
  <c r="V68" i="23"/>
  <c r="AB65" i="10"/>
  <c r="AB65" i="13"/>
  <c r="F68" i="58"/>
  <c r="AB65" i="15"/>
  <c r="Q67" i="23"/>
  <c r="Q67" i="58"/>
  <c r="W65" i="13"/>
  <c r="G66" i="23"/>
  <c r="G66" i="58"/>
  <c r="W65" i="15"/>
  <c r="L68" i="23"/>
  <c r="M67" i="23"/>
  <c r="M67" i="58"/>
  <c r="G67" i="23"/>
  <c r="G67" i="58"/>
  <c r="AC66" i="23"/>
  <c r="AC66" i="58"/>
  <c r="Q66" i="23"/>
  <c r="Q66" i="58"/>
  <c r="W67" i="23"/>
  <c r="W67" i="58"/>
  <c r="AB67" i="23"/>
  <c r="AB66" i="23"/>
  <c r="AB66" i="58"/>
  <c r="AB68" i="58" s="1"/>
  <c r="AC78" i="58"/>
  <c r="AC74" i="58"/>
  <c r="W66" i="23"/>
  <c r="W66" i="58"/>
  <c r="AD78" i="58"/>
  <c r="AD74" i="58"/>
  <c r="W66" i="12"/>
  <c r="AB66" i="12"/>
  <c r="L68" i="58"/>
  <c r="M66" i="23"/>
  <c r="M66" i="58"/>
  <c r="W66" i="47"/>
  <c r="W65" i="10"/>
  <c r="W65" i="50"/>
  <c r="AB66" i="45"/>
  <c r="AB65" i="43"/>
  <c r="F67" i="43"/>
  <c r="W66" i="45"/>
  <c r="AB65" i="38"/>
  <c r="W65" i="11"/>
  <c r="W65" i="38"/>
  <c r="AA68" i="45"/>
  <c r="AB65" i="11"/>
  <c r="AB66" i="47"/>
  <c r="V67" i="38"/>
  <c r="V68" i="47"/>
  <c r="F67" i="13"/>
  <c r="AA67" i="15"/>
  <c r="P67" i="15"/>
  <c r="L67" i="38"/>
  <c r="AA68" i="47"/>
  <c r="V67" i="43"/>
  <c r="AB67" i="45"/>
  <c r="AB66" i="50"/>
  <c r="AB67" i="50" s="1"/>
  <c r="AB67" i="47"/>
  <c r="AB66" i="38"/>
  <c r="AB66" i="43"/>
  <c r="AB66" i="15"/>
  <c r="AB66" i="13"/>
  <c r="AB67" i="12"/>
  <c r="AB66" i="11"/>
  <c r="AB66" i="10"/>
  <c r="AA67" i="13"/>
  <c r="AC66" i="45"/>
  <c r="AC65" i="50"/>
  <c r="AC66" i="47"/>
  <c r="AC65" i="38"/>
  <c r="AC65" i="43"/>
  <c r="AC65" i="15"/>
  <c r="AC65" i="13"/>
  <c r="AC66" i="12"/>
  <c r="AC65" i="11"/>
  <c r="AC65" i="10"/>
  <c r="AA67" i="43"/>
  <c r="V67" i="50"/>
  <c r="AA67" i="38"/>
  <c r="AA67" i="50"/>
  <c r="X67" i="58"/>
  <c r="W66" i="38"/>
  <c r="W67" i="45"/>
  <c r="W67" i="47"/>
  <c r="W66" i="43"/>
  <c r="W67" i="43" s="1"/>
  <c r="W66" i="50"/>
  <c r="W66" i="15"/>
  <c r="W66" i="13"/>
  <c r="W67" i="12"/>
  <c r="W66" i="11"/>
  <c r="W66" i="10"/>
  <c r="P67" i="38"/>
  <c r="V68" i="45"/>
  <c r="V67" i="13"/>
  <c r="X65" i="13"/>
  <c r="P67" i="50"/>
  <c r="P67" i="13"/>
  <c r="P68" i="45"/>
  <c r="V67" i="15"/>
  <c r="Q65" i="50"/>
  <c r="Q65" i="38"/>
  <c r="Q66" i="47"/>
  <c r="Q65" i="43"/>
  <c r="Q66" i="45"/>
  <c r="Q65" i="15"/>
  <c r="Q65" i="13"/>
  <c r="Q66" i="12"/>
  <c r="Q65" i="11"/>
  <c r="Q65" i="10"/>
  <c r="P68" i="47"/>
  <c r="L68" i="45"/>
  <c r="L67" i="43"/>
  <c r="L68" i="47"/>
  <c r="Q67" i="45"/>
  <c r="Q66" i="50"/>
  <c r="Q66" i="38"/>
  <c r="Q67" i="47"/>
  <c r="Q66" i="43"/>
  <c r="Q66" i="15"/>
  <c r="Q66" i="13"/>
  <c r="Q67" i="12"/>
  <c r="Q66" i="11"/>
  <c r="Q66" i="10"/>
  <c r="L67" i="13"/>
  <c r="L67" i="15"/>
  <c r="P67" i="43"/>
  <c r="M66" i="47"/>
  <c r="M65" i="43"/>
  <c r="M66" i="45"/>
  <c r="M65" i="38"/>
  <c r="M65" i="50"/>
  <c r="M65" i="15"/>
  <c r="M65" i="13"/>
  <c r="M66" i="12"/>
  <c r="M65" i="11"/>
  <c r="M65" i="10"/>
  <c r="M66" i="38"/>
  <c r="M66" i="50"/>
  <c r="M67" i="45"/>
  <c r="M67" i="47"/>
  <c r="M66" i="43"/>
  <c r="M66" i="15"/>
  <c r="M66" i="13"/>
  <c r="M67" i="12"/>
  <c r="M66" i="11"/>
  <c r="M66" i="10"/>
  <c r="L67" i="50"/>
  <c r="F68" i="45"/>
  <c r="F67" i="15"/>
  <c r="G66" i="45"/>
  <c r="G65" i="38"/>
  <c r="G66" i="47"/>
  <c r="G65" i="50"/>
  <c r="G65" i="43"/>
  <c r="G65" i="15"/>
  <c r="G65" i="13"/>
  <c r="G66" i="12"/>
  <c r="G65" i="11"/>
  <c r="G65" i="10"/>
  <c r="F67" i="38"/>
  <c r="F67" i="50"/>
  <c r="G66" i="50"/>
  <c r="G66" i="43"/>
  <c r="G67" i="45"/>
  <c r="G66" i="38"/>
  <c r="G67" i="47"/>
  <c r="G66" i="15"/>
  <c r="G66" i="13"/>
  <c r="G67" i="12"/>
  <c r="G66" i="11"/>
  <c r="G66" i="10"/>
  <c r="F68" i="47"/>
  <c r="C73" i="61" l="1"/>
  <c r="C32" i="17"/>
  <c r="W68" i="58"/>
  <c r="G68" i="23"/>
  <c r="W68" i="23"/>
  <c r="X65" i="15"/>
  <c r="X66" i="47"/>
  <c r="X66" i="45"/>
  <c r="X65" i="38"/>
  <c r="X65" i="10"/>
  <c r="X65" i="43"/>
  <c r="X65" i="11"/>
  <c r="X65" i="50"/>
  <c r="X66" i="12"/>
  <c r="X66" i="58"/>
  <c r="X68" i="58" s="1"/>
  <c r="M68" i="23"/>
  <c r="Q68" i="23"/>
  <c r="W67" i="15"/>
  <c r="AB68" i="23"/>
  <c r="AB67" i="43"/>
  <c r="AB67" i="15"/>
  <c r="M68" i="58"/>
  <c r="AB68" i="45"/>
  <c r="AB67" i="13"/>
  <c r="Q68" i="58"/>
  <c r="W67" i="13"/>
  <c r="G68" i="58"/>
  <c r="C78" i="58"/>
  <c r="R66" i="23"/>
  <c r="R66" i="58"/>
  <c r="Q67" i="13"/>
  <c r="H66" i="23"/>
  <c r="H66" i="58"/>
  <c r="R67" i="23"/>
  <c r="R67" i="58"/>
  <c r="H67" i="23"/>
  <c r="H67" i="58"/>
  <c r="C74" i="58"/>
  <c r="W67" i="50"/>
  <c r="W68" i="47"/>
  <c r="W68" i="45"/>
  <c r="M67" i="15"/>
  <c r="AC67" i="23"/>
  <c r="AC68" i="23" s="1"/>
  <c r="AC67" i="58"/>
  <c r="W67" i="38"/>
  <c r="AB67" i="38"/>
  <c r="AB68" i="47"/>
  <c r="X67" i="23"/>
  <c r="X68" i="23" s="1"/>
  <c r="M67" i="13"/>
  <c r="G68" i="45"/>
  <c r="G67" i="38"/>
  <c r="AC66" i="43"/>
  <c r="AC67" i="43" s="1"/>
  <c r="AC67" i="45"/>
  <c r="AC68" i="45" s="1"/>
  <c r="AC66" i="50"/>
  <c r="AC67" i="50" s="1"/>
  <c r="AC67" i="47"/>
  <c r="AC68" i="47" s="1"/>
  <c r="AC66" i="38"/>
  <c r="AC67" i="38" s="1"/>
  <c r="AC66" i="15"/>
  <c r="AC67" i="15" s="1"/>
  <c r="AC66" i="13"/>
  <c r="AC67" i="13" s="1"/>
  <c r="AC67" i="12"/>
  <c r="AC66" i="11"/>
  <c r="AC66" i="10"/>
  <c r="Q67" i="15"/>
  <c r="Q68" i="45"/>
  <c r="X66" i="38"/>
  <c r="X67" i="45"/>
  <c r="X67" i="47"/>
  <c r="X66" i="43"/>
  <c r="X66" i="50"/>
  <c r="X66" i="15"/>
  <c r="X66" i="13"/>
  <c r="X67" i="13" s="1"/>
  <c r="X67" i="12"/>
  <c r="X66" i="11"/>
  <c r="X66" i="10"/>
  <c r="Q67" i="43"/>
  <c r="Q68" i="47"/>
  <c r="Q67" i="38"/>
  <c r="Q67" i="50"/>
  <c r="R66" i="43"/>
  <c r="R67" i="45"/>
  <c r="R66" i="38"/>
  <c r="R66" i="50"/>
  <c r="R67" i="47"/>
  <c r="R66" i="15"/>
  <c r="R66" i="13"/>
  <c r="R67" i="12"/>
  <c r="R66" i="11"/>
  <c r="R66" i="10"/>
  <c r="R65" i="50"/>
  <c r="R65" i="38"/>
  <c r="R66" i="47"/>
  <c r="R65" i="43"/>
  <c r="R66" i="45"/>
  <c r="R65" i="15"/>
  <c r="R65" i="13"/>
  <c r="R66" i="12"/>
  <c r="R65" i="11"/>
  <c r="R65" i="10"/>
  <c r="M67" i="50"/>
  <c r="M67" i="38"/>
  <c r="M68" i="45"/>
  <c r="M67" i="43"/>
  <c r="M68" i="47"/>
  <c r="G67" i="15"/>
  <c r="G67" i="50"/>
  <c r="G68" i="47"/>
  <c r="H65" i="50"/>
  <c r="H66" i="45"/>
  <c r="H65" i="38"/>
  <c r="H66" i="47"/>
  <c r="H65" i="43"/>
  <c r="H65" i="15"/>
  <c r="H65" i="13"/>
  <c r="H66" i="12"/>
  <c r="H65" i="11"/>
  <c r="H65" i="10"/>
  <c r="H67" i="47"/>
  <c r="H66" i="50"/>
  <c r="H66" i="43"/>
  <c r="H67" i="45"/>
  <c r="H66" i="38"/>
  <c r="H66" i="15"/>
  <c r="H66" i="13"/>
  <c r="H67" i="12"/>
  <c r="H66" i="11"/>
  <c r="H66" i="10"/>
  <c r="G67" i="43"/>
  <c r="G67" i="13"/>
  <c r="X67" i="15" l="1"/>
  <c r="X68" i="47"/>
  <c r="X68" i="45"/>
  <c r="X67" i="43"/>
  <c r="X67" i="50"/>
  <c r="X67" i="38"/>
  <c r="R68" i="23"/>
  <c r="H68" i="23"/>
  <c r="I66" i="23"/>
  <c r="I66" i="58"/>
  <c r="S66" i="23"/>
  <c r="S66" i="58"/>
  <c r="R68" i="58"/>
  <c r="I67" i="23"/>
  <c r="I67" i="58"/>
  <c r="S67" i="23"/>
  <c r="S67" i="58"/>
  <c r="H68" i="58"/>
  <c r="H67" i="38"/>
  <c r="AC68" i="58"/>
  <c r="R67" i="50"/>
  <c r="R67" i="43"/>
  <c r="R67" i="38"/>
  <c r="R68" i="45"/>
  <c r="R67" i="13"/>
  <c r="R68" i="47"/>
  <c r="S66" i="43"/>
  <c r="S66" i="38"/>
  <c r="S67" i="45"/>
  <c r="S66" i="50"/>
  <c r="S67" i="47"/>
  <c r="S66" i="15"/>
  <c r="S66" i="13"/>
  <c r="S67" i="12"/>
  <c r="S66" i="11"/>
  <c r="S66" i="10"/>
  <c r="S66" i="45"/>
  <c r="S65" i="50"/>
  <c r="S65" i="38"/>
  <c r="S66" i="47"/>
  <c r="S65" i="43"/>
  <c r="S65" i="15"/>
  <c r="S65" i="13"/>
  <c r="S66" i="12"/>
  <c r="S65" i="11"/>
  <c r="S65" i="10"/>
  <c r="R67" i="15"/>
  <c r="H67" i="43"/>
  <c r="H67" i="15"/>
  <c r="I67" i="47"/>
  <c r="I67" i="45"/>
  <c r="I66" i="50"/>
  <c r="I66" i="43"/>
  <c r="I66" i="38"/>
  <c r="I66" i="15"/>
  <c r="I66" i="13"/>
  <c r="I67" i="12"/>
  <c r="I66" i="11"/>
  <c r="I66" i="10"/>
  <c r="H68" i="47"/>
  <c r="H68" i="45"/>
  <c r="H67" i="50"/>
  <c r="H67" i="13"/>
  <c r="I65" i="50"/>
  <c r="I65" i="43"/>
  <c r="I66" i="47"/>
  <c r="I66" i="45"/>
  <c r="I65" i="38"/>
  <c r="I65" i="15"/>
  <c r="I65" i="13"/>
  <c r="I66" i="12"/>
  <c r="I65" i="11"/>
  <c r="I65" i="10"/>
  <c r="S68" i="58" l="1"/>
  <c r="I68" i="23"/>
  <c r="C67" i="58"/>
  <c r="S68" i="23"/>
  <c r="I68" i="58"/>
  <c r="C66" i="58"/>
  <c r="I68" i="45"/>
  <c r="I68" i="47"/>
  <c r="S67" i="50"/>
  <c r="S68" i="47"/>
  <c r="S68" i="45"/>
  <c r="S67" i="15"/>
  <c r="S67" i="38"/>
  <c r="S67" i="13"/>
  <c r="S67" i="43"/>
  <c r="I67" i="50"/>
  <c r="I67" i="13"/>
  <c r="I67" i="38"/>
  <c r="I67" i="43"/>
  <c r="I67" i="15"/>
  <c r="C68" i="58" l="1"/>
  <c r="O26" i="59" s="1"/>
  <c r="AL99" i="59" s="1"/>
  <c r="AQ13" i="18" l="1"/>
  <c r="C54" i="17" l="1"/>
  <c r="AC70" i="23"/>
  <c r="AC70" i="45"/>
  <c r="AC69" i="50"/>
  <c r="AC69" i="43"/>
  <c r="AC69" i="38"/>
  <c r="AC70" i="47"/>
  <c r="AC69" i="15"/>
  <c r="AC69" i="13"/>
  <c r="AC70" i="12"/>
  <c r="AC69" i="11"/>
  <c r="AC69" i="10"/>
  <c r="AD69" i="50"/>
  <c r="AD70" i="47"/>
  <c r="AD70" i="45"/>
  <c r="AD69" i="43"/>
  <c r="AD69" i="38"/>
  <c r="AD69" i="15"/>
  <c r="AD69" i="13"/>
  <c r="AD70" i="12"/>
  <c r="AD69" i="11"/>
  <c r="AD69" i="10"/>
  <c r="AC71" i="23"/>
  <c r="AC70" i="38"/>
  <c r="AC71" i="47"/>
  <c r="AC71" i="45"/>
  <c r="AC70" i="50"/>
  <c r="AC70" i="43"/>
  <c r="AC70" i="15"/>
  <c r="AC70" i="13"/>
  <c r="AC71" i="12"/>
  <c r="AC70" i="11"/>
  <c r="AC70" i="10"/>
  <c r="AD71" i="23"/>
  <c r="AD70" i="38"/>
  <c r="AD70" i="50"/>
  <c r="AD71" i="47"/>
  <c r="AD71" i="45"/>
  <c r="AD70" i="43"/>
  <c r="AD70" i="15"/>
  <c r="AD70" i="13"/>
  <c r="AD71" i="12"/>
  <c r="AD70" i="11"/>
  <c r="AD70" i="10"/>
  <c r="AC72" i="47" l="1"/>
  <c r="AC71" i="38"/>
  <c r="AC72" i="45"/>
  <c r="AC72" i="12"/>
  <c r="C69" i="10"/>
  <c r="AC71" i="43"/>
  <c r="AD71" i="15"/>
  <c r="AD72" i="23"/>
  <c r="AD72" i="47"/>
  <c r="AC71" i="15"/>
  <c r="AD71" i="13"/>
  <c r="AD72" i="12"/>
  <c r="AD71" i="38"/>
  <c r="AC71" i="50"/>
  <c r="AD71" i="43"/>
  <c r="AD71" i="50"/>
  <c r="AD72" i="45"/>
  <c r="AC71" i="13"/>
  <c r="AC72" i="23"/>
  <c r="Z8" i="58" l="1"/>
  <c r="Z53" i="58" s="1"/>
  <c r="Z9" i="58"/>
  <c r="Z54" i="58" s="1"/>
  <c r="Z10" i="58"/>
  <c r="Z55" i="58" s="1"/>
  <c r="U5" i="58"/>
  <c r="U47" i="58" s="1"/>
  <c r="U12" i="58"/>
  <c r="U57" i="58" s="1"/>
  <c r="U4" i="58"/>
  <c r="U46" i="58" s="1"/>
  <c r="U9" i="58"/>
  <c r="U54" i="58" s="1"/>
  <c r="Z11" i="58"/>
  <c r="Z56" i="58" s="1"/>
  <c r="U8" i="58"/>
  <c r="U53" i="58" s="1"/>
  <c r="U10" i="58"/>
  <c r="U55" i="58" s="1"/>
  <c r="Z7" i="58"/>
  <c r="Z49" i="58" s="1"/>
  <c r="Z12" i="58"/>
  <c r="Z57" i="58" s="1"/>
  <c r="Z4" i="58"/>
  <c r="Z46" i="58" s="1"/>
  <c r="U11" i="58"/>
  <c r="U56" i="58" s="1"/>
  <c r="U7" i="58"/>
  <c r="U49" i="58" s="1"/>
  <c r="U6" i="58"/>
  <c r="U48" i="58" s="1"/>
  <c r="Z6" i="58"/>
  <c r="Z48" i="58" s="1"/>
  <c r="Z5" i="58"/>
  <c r="Z47" i="58" s="1"/>
  <c r="Z3" i="58"/>
  <c r="Z45" i="58" s="1"/>
  <c r="O9" i="58" l="1"/>
  <c r="O54" i="58" s="1"/>
  <c r="O11" i="58"/>
  <c r="O56" i="58" s="1"/>
  <c r="O7" i="58"/>
  <c r="O49" i="58" s="1"/>
  <c r="O6" i="58"/>
  <c r="O48" i="58" s="1"/>
  <c r="O5" i="58"/>
  <c r="O47" i="58" s="1"/>
  <c r="O10" i="58"/>
  <c r="O55" i="58" s="1"/>
  <c r="O12" i="58"/>
  <c r="O57" i="58" s="1"/>
  <c r="K12" i="58"/>
  <c r="K57" i="58" s="1"/>
  <c r="M12" i="58" l="1"/>
  <c r="M57" i="58" s="1"/>
  <c r="L12" i="58"/>
  <c r="L57" i="58" s="1"/>
  <c r="K3" i="58"/>
  <c r="K45" i="58" s="1"/>
  <c r="K11" i="58"/>
  <c r="K56" i="58" s="1"/>
  <c r="K7" i="58"/>
  <c r="K49" i="58" s="1"/>
  <c r="K8" i="58"/>
  <c r="K53" i="58" s="1"/>
  <c r="K10" i="58"/>
  <c r="K55" i="58" s="1"/>
  <c r="K6" i="58"/>
  <c r="K48" i="58" s="1"/>
  <c r="K9" i="58"/>
  <c r="K54" i="58" s="1"/>
  <c r="K5" i="58"/>
  <c r="K47" i="58" s="1"/>
  <c r="O8" i="58"/>
  <c r="O53" i="58" s="1"/>
  <c r="M4" i="58"/>
  <c r="M46" i="58" s="1"/>
  <c r="L4" i="58"/>
  <c r="L46" i="58" s="1"/>
  <c r="M7" i="58" l="1"/>
  <c r="M49" i="58" s="1"/>
  <c r="L7" i="58"/>
  <c r="L49" i="58" s="1"/>
  <c r="M10" i="58"/>
  <c r="M55" i="58" s="1"/>
  <c r="L10" i="58"/>
  <c r="L55" i="58" s="1"/>
  <c r="M8" i="58"/>
  <c r="M53" i="58" s="1"/>
  <c r="L8" i="58"/>
  <c r="L53" i="58" s="1"/>
  <c r="M11" i="58"/>
  <c r="M56" i="58" s="1"/>
  <c r="L11" i="58"/>
  <c r="L56" i="58" s="1"/>
  <c r="M6" i="58"/>
  <c r="M48" i="58" s="1"/>
  <c r="L6" i="58"/>
  <c r="L48" i="58" s="1"/>
  <c r="M3" i="58"/>
  <c r="M45" i="58" s="1"/>
  <c r="L3" i="58"/>
  <c r="L45" i="58" s="1"/>
  <c r="M5" i="58"/>
  <c r="M47" i="58" s="1"/>
  <c r="L5" i="58"/>
  <c r="L47" i="58" s="1"/>
  <c r="M9" i="58"/>
  <c r="M54" i="58" s="1"/>
  <c r="L9" i="58"/>
  <c r="L54" i="58" s="1"/>
  <c r="N47" i="18" l="1"/>
  <c r="L47" i="18"/>
  <c r="J47" i="18"/>
  <c r="H47" i="18"/>
  <c r="C42" i="18" l="1"/>
  <c r="D42" i="18"/>
  <c r="E42" i="18"/>
  <c r="F42" i="18"/>
  <c r="G42" i="18"/>
  <c r="H42" i="18"/>
  <c r="I42" i="18"/>
  <c r="B63" i="11" l="1"/>
  <c r="A63" i="11"/>
  <c r="B62" i="11"/>
  <c r="A62" i="11"/>
  <c r="B61" i="11"/>
  <c r="A61" i="11"/>
  <c r="C60" i="11"/>
  <c r="B60" i="11"/>
  <c r="A60" i="11"/>
  <c r="AQ165" i="18"/>
  <c r="AQ166" i="18"/>
  <c r="AQ167" i="18"/>
  <c r="AQ168" i="18"/>
  <c r="AQ172" i="18"/>
  <c r="AQ173" i="18"/>
  <c r="AQ174" i="18"/>
  <c r="AQ175" i="18"/>
  <c r="AQ176" i="18"/>
  <c r="AQ164" i="18"/>
  <c r="AQ152" i="18"/>
  <c r="AQ153" i="18"/>
  <c r="AQ154" i="18"/>
  <c r="AQ155" i="18"/>
  <c r="AQ160" i="18"/>
  <c r="AQ161" i="18"/>
  <c r="AQ162" i="18"/>
  <c r="AQ163" i="18"/>
  <c r="AQ144" i="18"/>
  <c r="AQ146" i="18"/>
  <c r="AQ147" i="18"/>
  <c r="AQ148" i="18"/>
  <c r="AQ149" i="18"/>
  <c r="AQ150" i="18"/>
  <c r="AQ126" i="18"/>
  <c r="AQ127" i="18"/>
  <c r="AQ128" i="18"/>
  <c r="AQ129" i="18"/>
  <c r="AQ131" i="18"/>
  <c r="AQ125" i="18"/>
  <c r="AQ105" i="18"/>
  <c r="AQ92" i="18"/>
  <c r="AQ61" i="18"/>
  <c r="AQ62" i="18"/>
  <c r="AQ63" i="18"/>
  <c r="AQ64" i="18"/>
  <c r="AQ66" i="18"/>
  <c r="AQ68" i="18"/>
  <c r="AQ69" i="18"/>
  <c r="AQ70" i="18"/>
  <c r="AQ71" i="18"/>
  <c r="AQ72" i="18"/>
  <c r="AQ60" i="18"/>
  <c r="AQ48" i="18"/>
  <c r="AQ49" i="18"/>
  <c r="AQ50" i="18"/>
  <c r="AQ51" i="18"/>
  <c r="AQ53" i="18"/>
  <c r="AQ55" i="18"/>
  <c r="AQ56" i="18"/>
  <c r="AQ57" i="18"/>
  <c r="AQ58" i="18"/>
  <c r="AQ59" i="18"/>
  <c r="AQ47" i="18"/>
  <c r="AQ40" i="18"/>
  <c r="AQ19" i="18"/>
  <c r="AQ24" i="18"/>
  <c r="AQ18" i="18"/>
  <c r="AQ14" i="18"/>
  <c r="AQ15" i="18"/>
  <c r="AQ16" i="18"/>
  <c r="AQ17" i="18"/>
  <c r="C63" i="50" l="1"/>
  <c r="B63" i="50"/>
  <c r="A63" i="50"/>
  <c r="C62" i="50"/>
  <c r="B62" i="50"/>
  <c r="A62" i="50"/>
  <c r="C61" i="50"/>
  <c r="B61" i="50"/>
  <c r="A61" i="50"/>
  <c r="C60" i="50"/>
  <c r="B60" i="50"/>
  <c r="A60" i="50"/>
  <c r="C64" i="47"/>
  <c r="B64" i="47"/>
  <c r="A64" i="47"/>
  <c r="C63" i="47"/>
  <c r="B63" i="47"/>
  <c r="A63" i="47"/>
  <c r="C62" i="47"/>
  <c r="B62" i="47"/>
  <c r="A62" i="47"/>
  <c r="C61" i="47"/>
  <c r="B61" i="47"/>
  <c r="A61" i="47"/>
  <c r="C64" i="45"/>
  <c r="B64" i="45"/>
  <c r="A64" i="45"/>
  <c r="C63" i="45"/>
  <c r="B63" i="45"/>
  <c r="A63" i="45"/>
  <c r="C62" i="45"/>
  <c r="B62" i="45"/>
  <c r="A62" i="45"/>
  <c r="C61" i="45"/>
  <c r="B61" i="45"/>
  <c r="A61" i="45"/>
  <c r="C63" i="43"/>
  <c r="B63" i="43"/>
  <c r="A63" i="43"/>
  <c r="C62" i="43"/>
  <c r="B62" i="43"/>
  <c r="A62" i="43"/>
  <c r="C61" i="43"/>
  <c r="B61" i="43"/>
  <c r="A61" i="43"/>
  <c r="C60" i="43"/>
  <c r="B60" i="43"/>
  <c r="A60" i="43"/>
  <c r="C63" i="38"/>
  <c r="B63" i="38"/>
  <c r="A63" i="38"/>
  <c r="C62" i="38"/>
  <c r="B62" i="38"/>
  <c r="A62" i="38"/>
  <c r="C61" i="38"/>
  <c r="B61" i="38"/>
  <c r="A61" i="38"/>
  <c r="C60" i="38"/>
  <c r="B60" i="38"/>
  <c r="A60" i="38"/>
  <c r="C64" i="23"/>
  <c r="B64" i="23"/>
  <c r="A64" i="23"/>
  <c r="C63" i="23"/>
  <c r="B63" i="23"/>
  <c r="A63" i="23"/>
  <c r="C62" i="23"/>
  <c r="B62" i="23"/>
  <c r="A62" i="23"/>
  <c r="C61" i="23"/>
  <c r="B61" i="23"/>
  <c r="A61" i="23"/>
  <c r="C63" i="15"/>
  <c r="B63" i="15"/>
  <c r="A63" i="15"/>
  <c r="C62" i="15"/>
  <c r="B62" i="15"/>
  <c r="A62" i="15"/>
  <c r="C61" i="15"/>
  <c r="B61" i="15"/>
  <c r="A61" i="15"/>
  <c r="C60" i="15"/>
  <c r="B60" i="15"/>
  <c r="A60" i="15"/>
  <c r="C63" i="13"/>
  <c r="B63" i="13"/>
  <c r="A63" i="13"/>
  <c r="C62" i="13"/>
  <c r="B62" i="13"/>
  <c r="A62" i="13"/>
  <c r="C61" i="13"/>
  <c r="B61" i="13"/>
  <c r="A61" i="13"/>
  <c r="C60" i="13"/>
  <c r="B60" i="13"/>
  <c r="A60" i="13"/>
  <c r="C64" i="12"/>
  <c r="B64" i="12"/>
  <c r="A64" i="12"/>
  <c r="C63" i="12"/>
  <c r="B63" i="12"/>
  <c r="A63" i="12"/>
  <c r="C62" i="12"/>
  <c r="B62" i="12"/>
  <c r="A62" i="12"/>
  <c r="C61" i="12"/>
  <c r="B61" i="12"/>
  <c r="A61" i="12"/>
  <c r="D22" i="17" l="1"/>
  <c r="E22" i="17" s="1"/>
  <c r="F22" i="17" s="1"/>
  <c r="G22" i="17" s="1"/>
  <c r="H22" i="17" s="1"/>
  <c r="I22" i="17" s="1"/>
  <c r="J22" i="17" s="1"/>
  <c r="K22" i="17" s="1"/>
  <c r="L22" i="17" s="1"/>
  <c r="M22" i="17" s="1"/>
  <c r="N22" i="17" s="1"/>
  <c r="O22" i="17" s="1"/>
  <c r="P22" i="17" s="1"/>
  <c r="Q22" i="17" s="1"/>
  <c r="R22" i="17" s="1"/>
  <c r="S22" i="17" s="1"/>
  <c r="T22" i="17" s="1"/>
  <c r="U22" i="17" s="1"/>
  <c r="V22" i="17" s="1"/>
  <c r="W22" i="17" s="1"/>
  <c r="X22" i="17" s="1"/>
  <c r="Y22" i="17" s="1"/>
  <c r="Z22" i="17" s="1"/>
  <c r="AA22" i="17" s="1"/>
  <c r="AB22" i="17" s="1"/>
  <c r="AC22" i="17" s="1"/>
  <c r="AD22" i="17" s="1"/>
  <c r="D21" i="17"/>
  <c r="E21" i="17" s="1"/>
  <c r="F21" i="17" s="1"/>
  <c r="G21" i="17" s="1"/>
  <c r="H21" i="17" s="1"/>
  <c r="I21" i="17" s="1"/>
  <c r="J21" i="17" s="1"/>
  <c r="K21" i="17" s="1"/>
  <c r="L21" i="17" s="1"/>
  <c r="M21" i="17" s="1"/>
  <c r="N21" i="17" s="1"/>
  <c r="O21" i="17" s="1"/>
  <c r="P21" i="17" s="1"/>
  <c r="Q21" i="17" s="1"/>
  <c r="R21" i="17" s="1"/>
  <c r="S21" i="17" s="1"/>
  <c r="T21" i="17" s="1"/>
  <c r="U21" i="17" s="1"/>
  <c r="V21" i="17" s="1"/>
  <c r="W21" i="17" s="1"/>
  <c r="X21" i="17" s="1"/>
  <c r="Y21" i="17" s="1"/>
  <c r="Z21" i="17" s="1"/>
  <c r="AA21" i="17" s="1"/>
  <c r="AB21" i="17" s="1"/>
  <c r="AC21" i="17" s="1"/>
  <c r="AD21" i="17" s="1"/>
  <c r="B60" i="10"/>
  <c r="C60" i="10"/>
  <c r="B61" i="10"/>
  <c r="C61" i="10"/>
  <c r="B62" i="10"/>
  <c r="C62" i="10"/>
  <c r="B63" i="10"/>
  <c r="C63" i="10"/>
  <c r="A61" i="10"/>
  <c r="A62" i="10"/>
  <c r="A63" i="10"/>
  <c r="A60" i="10"/>
  <c r="AQ159" i="18" l="1"/>
  <c r="AQ151" i="18"/>
  <c r="D38" i="50"/>
  <c r="E38" i="50" s="1"/>
  <c r="F38" i="50" s="1"/>
  <c r="G38" i="50" s="1"/>
  <c r="H38" i="50" s="1"/>
  <c r="I38" i="50" s="1"/>
  <c r="J38" i="50" s="1"/>
  <c r="K38" i="50" s="1"/>
  <c r="L38" i="50" s="1"/>
  <c r="M38" i="50" s="1"/>
  <c r="N38" i="50" s="1"/>
  <c r="O38" i="50" s="1"/>
  <c r="P38" i="50" s="1"/>
  <c r="Q38" i="50" s="1"/>
  <c r="R38" i="50" s="1"/>
  <c r="S38" i="50" s="1"/>
  <c r="T38" i="50" s="1"/>
  <c r="U38" i="50" s="1"/>
  <c r="V38" i="50" s="1"/>
  <c r="W38" i="50" s="1"/>
  <c r="X38" i="50" s="1"/>
  <c r="Y38" i="50" s="1"/>
  <c r="Z38" i="50" s="1"/>
  <c r="AA38" i="50" s="1"/>
  <c r="AB38" i="50" s="1"/>
  <c r="AC38" i="50" s="1"/>
  <c r="AD38" i="50" s="1"/>
  <c r="AQ170" i="18"/>
  <c r="J12" i="50"/>
  <c r="J56" i="50" s="1"/>
  <c r="E12" i="50"/>
  <c r="E56" i="50" s="1"/>
  <c r="D12" i="50"/>
  <c r="D56" i="50" s="1"/>
  <c r="J11" i="50"/>
  <c r="J55" i="50" s="1"/>
  <c r="E11" i="50"/>
  <c r="E55" i="50" s="1"/>
  <c r="D11" i="50"/>
  <c r="D55" i="50" s="1"/>
  <c r="J10" i="50"/>
  <c r="J54" i="50" s="1"/>
  <c r="E10" i="50"/>
  <c r="E54" i="50" s="1"/>
  <c r="D10" i="50"/>
  <c r="D54" i="50" s="1"/>
  <c r="J9" i="50"/>
  <c r="J53" i="50" s="1"/>
  <c r="E9" i="50"/>
  <c r="E53" i="50" s="1"/>
  <c r="D9" i="50"/>
  <c r="D53" i="50" s="1"/>
  <c r="J8" i="50"/>
  <c r="J52" i="50" s="1"/>
  <c r="E8" i="50"/>
  <c r="E52" i="50" s="1"/>
  <c r="D8" i="50"/>
  <c r="D52" i="50" s="1"/>
  <c r="J7" i="50"/>
  <c r="J48" i="50" s="1"/>
  <c r="E7" i="50"/>
  <c r="E48" i="50" s="1"/>
  <c r="D7" i="50"/>
  <c r="D48" i="50" s="1"/>
  <c r="K6" i="50"/>
  <c r="K47" i="50" s="1"/>
  <c r="J6" i="50"/>
  <c r="J47" i="50" s="1"/>
  <c r="E6" i="50"/>
  <c r="E47" i="50" s="1"/>
  <c r="D6" i="50"/>
  <c r="D47" i="50" s="1"/>
  <c r="K5" i="50"/>
  <c r="K46" i="50" s="1"/>
  <c r="J5" i="50"/>
  <c r="J46" i="50" s="1"/>
  <c r="E5" i="50"/>
  <c r="E46" i="50" s="1"/>
  <c r="D5" i="50"/>
  <c r="D46" i="50" s="1"/>
  <c r="J4" i="50"/>
  <c r="J45" i="50" s="1"/>
  <c r="E4" i="50"/>
  <c r="E45" i="50" s="1"/>
  <c r="D4" i="50"/>
  <c r="D45" i="50" s="1"/>
  <c r="J3" i="50"/>
  <c r="J44" i="50" s="1"/>
  <c r="E3" i="50"/>
  <c r="E44" i="50" s="1"/>
  <c r="D3" i="50"/>
  <c r="D44" i="50" s="1"/>
  <c r="E2" i="50"/>
  <c r="E42" i="50" s="1"/>
  <c r="D2" i="50"/>
  <c r="D42" i="50" s="1"/>
  <c r="D39" i="47"/>
  <c r="E39" i="47" s="1"/>
  <c r="F39" i="47" s="1"/>
  <c r="G39" i="47" s="1"/>
  <c r="H39" i="47" s="1"/>
  <c r="I39" i="47" s="1"/>
  <c r="J39" i="47" s="1"/>
  <c r="K39" i="47" s="1"/>
  <c r="L39" i="47" s="1"/>
  <c r="M39" i="47" s="1"/>
  <c r="N39" i="47" s="1"/>
  <c r="O39" i="47" s="1"/>
  <c r="P39" i="47" s="1"/>
  <c r="Q39" i="47" s="1"/>
  <c r="R39" i="47" s="1"/>
  <c r="S39" i="47" s="1"/>
  <c r="T39" i="47" s="1"/>
  <c r="U39" i="47" s="1"/>
  <c r="V39" i="47" s="1"/>
  <c r="W39" i="47" s="1"/>
  <c r="X39" i="47" s="1"/>
  <c r="Y39" i="47" s="1"/>
  <c r="Z39" i="47" s="1"/>
  <c r="AA39" i="47" s="1"/>
  <c r="AB39" i="47" s="1"/>
  <c r="AC39" i="47" s="1"/>
  <c r="AD39" i="47" s="1"/>
  <c r="AQ157" i="18"/>
  <c r="J12" i="47"/>
  <c r="J57" i="47" s="1"/>
  <c r="E12" i="47"/>
  <c r="E57" i="47" s="1"/>
  <c r="D12" i="47"/>
  <c r="D57" i="47" s="1"/>
  <c r="J11" i="47"/>
  <c r="J56" i="47" s="1"/>
  <c r="E11" i="47"/>
  <c r="E56" i="47" s="1"/>
  <c r="D11" i="47"/>
  <c r="D56" i="47" s="1"/>
  <c r="J10" i="47"/>
  <c r="J55" i="47" s="1"/>
  <c r="E10" i="47"/>
  <c r="E55" i="47" s="1"/>
  <c r="D10" i="47"/>
  <c r="D55" i="47" s="1"/>
  <c r="J9" i="47"/>
  <c r="J54" i="47" s="1"/>
  <c r="E9" i="47"/>
  <c r="E54" i="47" s="1"/>
  <c r="D9" i="47"/>
  <c r="D54" i="47" s="1"/>
  <c r="J8" i="47"/>
  <c r="J53" i="47" s="1"/>
  <c r="E8" i="47"/>
  <c r="E53" i="47" s="1"/>
  <c r="D8" i="47"/>
  <c r="D53" i="47" s="1"/>
  <c r="J7" i="47"/>
  <c r="J49" i="47" s="1"/>
  <c r="E7" i="47"/>
  <c r="E49" i="47" s="1"/>
  <c r="D7" i="47"/>
  <c r="D49" i="47" s="1"/>
  <c r="K6" i="47"/>
  <c r="K48" i="47" s="1"/>
  <c r="J6" i="47"/>
  <c r="J48" i="47" s="1"/>
  <c r="E6" i="47"/>
  <c r="E48" i="47" s="1"/>
  <c r="D6" i="47"/>
  <c r="D48" i="47" s="1"/>
  <c r="K5" i="47"/>
  <c r="K47" i="47" s="1"/>
  <c r="J5" i="47"/>
  <c r="J47" i="47" s="1"/>
  <c r="E5" i="47"/>
  <c r="E47" i="47" s="1"/>
  <c r="D5" i="47"/>
  <c r="D47" i="47" s="1"/>
  <c r="J4" i="47"/>
  <c r="J46" i="47" s="1"/>
  <c r="E4" i="47"/>
  <c r="E46" i="47" s="1"/>
  <c r="D4" i="47"/>
  <c r="D46" i="47" s="1"/>
  <c r="J3" i="47"/>
  <c r="J45" i="47" s="1"/>
  <c r="E3" i="47"/>
  <c r="E45" i="47" s="1"/>
  <c r="D3" i="47"/>
  <c r="D45" i="47" s="1"/>
  <c r="E2" i="47"/>
  <c r="E43" i="47" s="1"/>
  <c r="D2" i="47"/>
  <c r="D43" i="47" s="1"/>
  <c r="D39" i="45"/>
  <c r="E39" i="45" s="1"/>
  <c r="F39" i="45" s="1"/>
  <c r="G39" i="45" s="1"/>
  <c r="H39" i="45" s="1"/>
  <c r="I39" i="45" s="1"/>
  <c r="J39" i="45" s="1"/>
  <c r="K39" i="45" s="1"/>
  <c r="L39" i="45" s="1"/>
  <c r="M39" i="45" s="1"/>
  <c r="N39" i="45" s="1"/>
  <c r="O39" i="45" s="1"/>
  <c r="P39" i="45" s="1"/>
  <c r="Q39" i="45" s="1"/>
  <c r="R39" i="45" s="1"/>
  <c r="S39" i="45" s="1"/>
  <c r="T39" i="45" s="1"/>
  <c r="U39" i="45" s="1"/>
  <c r="V39" i="45" s="1"/>
  <c r="W39" i="45" s="1"/>
  <c r="X39" i="45" s="1"/>
  <c r="Y39" i="45" s="1"/>
  <c r="Z39" i="45" s="1"/>
  <c r="AA39" i="45" s="1"/>
  <c r="AB39" i="45" s="1"/>
  <c r="AC39" i="45" s="1"/>
  <c r="AD39" i="45" s="1"/>
  <c r="J12" i="45"/>
  <c r="J57" i="45" s="1"/>
  <c r="E12" i="45"/>
  <c r="E57" i="45" s="1"/>
  <c r="D12" i="45"/>
  <c r="D57" i="45" s="1"/>
  <c r="J11" i="45"/>
  <c r="J56" i="45" s="1"/>
  <c r="E11" i="45"/>
  <c r="E56" i="45" s="1"/>
  <c r="D11" i="45"/>
  <c r="D56" i="45" s="1"/>
  <c r="J10" i="45"/>
  <c r="J55" i="45" s="1"/>
  <c r="E10" i="45"/>
  <c r="E55" i="45" s="1"/>
  <c r="D10" i="45"/>
  <c r="D55" i="45" s="1"/>
  <c r="J9" i="45"/>
  <c r="J54" i="45" s="1"/>
  <c r="E9" i="45"/>
  <c r="E54" i="45" s="1"/>
  <c r="D9" i="45"/>
  <c r="D54" i="45" s="1"/>
  <c r="J8" i="45"/>
  <c r="J53" i="45" s="1"/>
  <c r="E8" i="45"/>
  <c r="E53" i="45" s="1"/>
  <c r="D8" i="45"/>
  <c r="D53" i="45" s="1"/>
  <c r="J7" i="45"/>
  <c r="J49" i="45" s="1"/>
  <c r="E7" i="45"/>
  <c r="E49" i="45" s="1"/>
  <c r="D7" i="45"/>
  <c r="D49" i="45" s="1"/>
  <c r="K6" i="45"/>
  <c r="K48" i="45" s="1"/>
  <c r="J6" i="45"/>
  <c r="J48" i="45" s="1"/>
  <c r="E6" i="45"/>
  <c r="E48" i="45" s="1"/>
  <c r="D6" i="45"/>
  <c r="D48" i="45" s="1"/>
  <c r="K5" i="45"/>
  <c r="K47" i="45" s="1"/>
  <c r="J5" i="45"/>
  <c r="J47" i="45" s="1"/>
  <c r="E5" i="45"/>
  <c r="E47" i="45" s="1"/>
  <c r="D5" i="45"/>
  <c r="D47" i="45" s="1"/>
  <c r="J4" i="45"/>
  <c r="J46" i="45" s="1"/>
  <c r="E4" i="45"/>
  <c r="E46" i="45" s="1"/>
  <c r="D4" i="45"/>
  <c r="D46" i="45" s="1"/>
  <c r="J3" i="45"/>
  <c r="J45" i="45" s="1"/>
  <c r="E3" i="45"/>
  <c r="E45" i="45" s="1"/>
  <c r="D3" i="45"/>
  <c r="D45" i="45" s="1"/>
  <c r="E2" i="45"/>
  <c r="E43" i="45" s="1"/>
  <c r="D2" i="45"/>
  <c r="D43" i="45" s="1"/>
  <c r="D38" i="43"/>
  <c r="E38" i="43" s="1"/>
  <c r="F38" i="43" s="1"/>
  <c r="G38" i="43" s="1"/>
  <c r="H38" i="43" s="1"/>
  <c r="I38" i="43" s="1"/>
  <c r="J38" i="43" s="1"/>
  <c r="K38" i="43" s="1"/>
  <c r="L38" i="43" s="1"/>
  <c r="M38" i="43" s="1"/>
  <c r="N38" i="43" s="1"/>
  <c r="O38" i="43" s="1"/>
  <c r="P38" i="43" s="1"/>
  <c r="Q38" i="43" s="1"/>
  <c r="R38" i="43" s="1"/>
  <c r="S38" i="43" s="1"/>
  <c r="T38" i="43" s="1"/>
  <c r="U38" i="43" s="1"/>
  <c r="V38" i="43" s="1"/>
  <c r="W38" i="43" s="1"/>
  <c r="X38" i="43" s="1"/>
  <c r="Y38" i="43" s="1"/>
  <c r="Z38" i="43" s="1"/>
  <c r="AA38" i="43" s="1"/>
  <c r="AB38" i="43" s="1"/>
  <c r="AC38" i="43" s="1"/>
  <c r="AD38" i="43" s="1"/>
  <c r="J12" i="43"/>
  <c r="J56" i="43" s="1"/>
  <c r="E12" i="43"/>
  <c r="E56" i="43" s="1"/>
  <c r="D12" i="43"/>
  <c r="D56" i="43" s="1"/>
  <c r="J11" i="43"/>
  <c r="J55" i="43" s="1"/>
  <c r="E11" i="43"/>
  <c r="E55" i="43" s="1"/>
  <c r="D11" i="43"/>
  <c r="D55" i="43" s="1"/>
  <c r="J10" i="43"/>
  <c r="J54" i="43" s="1"/>
  <c r="E10" i="43"/>
  <c r="E54" i="43" s="1"/>
  <c r="D10" i="43"/>
  <c r="D54" i="43" s="1"/>
  <c r="J9" i="43"/>
  <c r="J53" i="43" s="1"/>
  <c r="E9" i="43"/>
  <c r="E53" i="43" s="1"/>
  <c r="D9" i="43"/>
  <c r="D53" i="43" s="1"/>
  <c r="J8" i="43"/>
  <c r="J52" i="43" s="1"/>
  <c r="E8" i="43"/>
  <c r="E52" i="43" s="1"/>
  <c r="D8" i="43"/>
  <c r="D52" i="43" s="1"/>
  <c r="J7" i="43"/>
  <c r="J48" i="43" s="1"/>
  <c r="E7" i="43"/>
  <c r="E48" i="43" s="1"/>
  <c r="D7" i="43"/>
  <c r="D48" i="43" s="1"/>
  <c r="K6" i="43"/>
  <c r="K47" i="43" s="1"/>
  <c r="J6" i="43"/>
  <c r="J47" i="43" s="1"/>
  <c r="E6" i="43"/>
  <c r="E47" i="43" s="1"/>
  <c r="D6" i="43"/>
  <c r="D47" i="43" s="1"/>
  <c r="K5" i="43"/>
  <c r="K46" i="43" s="1"/>
  <c r="J5" i="43"/>
  <c r="J46" i="43" s="1"/>
  <c r="E5" i="43"/>
  <c r="E46" i="43" s="1"/>
  <c r="D5" i="43"/>
  <c r="D46" i="43" s="1"/>
  <c r="J4" i="43"/>
  <c r="J45" i="43" s="1"/>
  <c r="E4" i="43"/>
  <c r="E45" i="43" s="1"/>
  <c r="D4" i="43"/>
  <c r="D45" i="43" s="1"/>
  <c r="J3" i="43"/>
  <c r="J44" i="43" s="1"/>
  <c r="E3" i="43"/>
  <c r="E44" i="43" s="1"/>
  <c r="D3" i="43"/>
  <c r="D44" i="43" s="1"/>
  <c r="E2" i="43"/>
  <c r="E42" i="43" s="1"/>
  <c r="D2" i="43"/>
  <c r="D42" i="43" s="1"/>
  <c r="D38" i="38"/>
  <c r="E38" i="38" s="1"/>
  <c r="F38" i="38" s="1"/>
  <c r="G38" i="38" s="1"/>
  <c r="H38" i="38" s="1"/>
  <c r="I38" i="38" s="1"/>
  <c r="J38" i="38" s="1"/>
  <c r="K38" i="38" s="1"/>
  <c r="L38" i="38" s="1"/>
  <c r="M38" i="38" s="1"/>
  <c r="N38" i="38" s="1"/>
  <c r="O38" i="38" s="1"/>
  <c r="P38" i="38" s="1"/>
  <c r="Q38" i="38" s="1"/>
  <c r="R38" i="38" s="1"/>
  <c r="S38" i="38" s="1"/>
  <c r="T38" i="38" s="1"/>
  <c r="U38" i="38" s="1"/>
  <c r="V38" i="38" s="1"/>
  <c r="W38" i="38" s="1"/>
  <c r="X38" i="38" s="1"/>
  <c r="Y38" i="38" s="1"/>
  <c r="Z38" i="38" s="1"/>
  <c r="AA38" i="38" s="1"/>
  <c r="AB38" i="38" s="1"/>
  <c r="AC38" i="38" s="1"/>
  <c r="AD38" i="38" s="1"/>
  <c r="J12" i="38"/>
  <c r="J56" i="38" s="1"/>
  <c r="E12" i="38"/>
  <c r="E56" i="38" s="1"/>
  <c r="D12" i="38"/>
  <c r="D56" i="38" s="1"/>
  <c r="J11" i="38"/>
  <c r="J55" i="38" s="1"/>
  <c r="E11" i="38"/>
  <c r="E55" i="38" s="1"/>
  <c r="D11" i="38"/>
  <c r="D55" i="38" s="1"/>
  <c r="J10" i="38"/>
  <c r="J54" i="38" s="1"/>
  <c r="E10" i="38"/>
  <c r="E54" i="38" s="1"/>
  <c r="D10" i="38"/>
  <c r="D54" i="38" s="1"/>
  <c r="J9" i="38"/>
  <c r="J53" i="38" s="1"/>
  <c r="E9" i="38"/>
  <c r="E53" i="38" s="1"/>
  <c r="D9" i="38"/>
  <c r="D53" i="38" s="1"/>
  <c r="J8" i="38"/>
  <c r="J52" i="38" s="1"/>
  <c r="E8" i="38"/>
  <c r="E52" i="38" s="1"/>
  <c r="D8" i="38"/>
  <c r="D52" i="38" s="1"/>
  <c r="J7" i="38"/>
  <c r="J48" i="38" s="1"/>
  <c r="E7" i="38"/>
  <c r="E48" i="38" s="1"/>
  <c r="D7" i="38"/>
  <c r="D48" i="38" s="1"/>
  <c r="K6" i="38"/>
  <c r="J6" i="38"/>
  <c r="J47" i="38" s="1"/>
  <c r="E6" i="38"/>
  <c r="E47" i="38" s="1"/>
  <c r="D6" i="38"/>
  <c r="D47" i="38" s="1"/>
  <c r="K5" i="38"/>
  <c r="K46" i="38" s="1"/>
  <c r="J5" i="38"/>
  <c r="J46" i="38" s="1"/>
  <c r="E5" i="38"/>
  <c r="E46" i="38" s="1"/>
  <c r="D5" i="38"/>
  <c r="D46" i="38" s="1"/>
  <c r="J4" i="38"/>
  <c r="J45" i="38" s="1"/>
  <c r="E4" i="38"/>
  <c r="E45" i="38" s="1"/>
  <c r="D4" i="38"/>
  <c r="D45" i="38" s="1"/>
  <c r="J3" i="38"/>
  <c r="J44" i="38" s="1"/>
  <c r="E3" i="38"/>
  <c r="E44" i="38" s="1"/>
  <c r="D3" i="38"/>
  <c r="D44" i="38" s="1"/>
  <c r="E2" i="38"/>
  <c r="E42" i="38" s="1"/>
  <c r="D2" i="38"/>
  <c r="D42" i="38" s="1"/>
  <c r="D39" i="23"/>
  <c r="E39" i="23" s="1"/>
  <c r="F39" i="23" s="1"/>
  <c r="G39" i="23" s="1"/>
  <c r="H39" i="23" s="1"/>
  <c r="I39" i="23" s="1"/>
  <c r="J39" i="23" s="1"/>
  <c r="K39" i="23" s="1"/>
  <c r="L39" i="23" s="1"/>
  <c r="M39" i="23" s="1"/>
  <c r="N39" i="23" s="1"/>
  <c r="O39" i="23" s="1"/>
  <c r="P39" i="23" s="1"/>
  <c r="Q39" i="23" s="1"/>
  <c r="R39" i="23" s="1"/>
  <c r="S39" i="23" s="1"/>
  <c r="T39" i="23" s="1"/>
  <c r="U39" i="23" s="1"/>
  <c r="V39" i="23" s="1"/>
  <c r="W39" i="23" s="1"/>
  <c r="X39" i="23" s="1"/>
  <c r="Y39" i="23" s="1"/>
  <c r="Z39" i="23" s="1"/>
  <c r="AA39" i="23" s="1"/>
  <c r="AB39" i="23" s="1"/>
  <c r="AC39" i="23" s="1"/>
  <c r="AD39" i="23" s="1"/>
  <c r="J12" i="23"/>
  <c r="J57" i="23" s="1"/>
  <c r="E12" i="23"/>
  <c r="E57" i="23" s="1"/>
  <c r="D12" i="23"/>
  <c r="D57" i="23" s="1"/>
  <c r="J11" i="23"/>
  <c r="J56" i="23" s="1"/>
  <c r="E11" i="23"/>
  <c r="E56" i="23" s="1"/>
  <c r="D11" i="23"/>
  <c r="D56" i="23" s="1"/>
  <c r="J10" i="23"/>
  <c r="J55" i="23" s="1"/>
  <c r="E10" i="23"/>
  <c r="E55" i="23" s="1"/>
  <c r="D10" i="23"/>
  <c r="D55" i="23" s="1"/>
  <c r="J9" i="23"/>
  <c r="J54" i="23" s="1"/>
  <c r="E9" i="23"/>
  <c r="E54" i="23" s="1"/>
  <c r="D9" i="23"/>
  <c r="D54" i="23" s="1"/>
  <c r="J8" i="23"/>
  <c r="J53" i="23" s="1"/>
  <c r="E8" i="23"/>
  <c r="E53" i="23" s="1"/>
  <c r="D8" i="23"/>
  <c r="D53" i="23" s="1"/>
  <c r="J7" i="23"/>
  <c r="J49" i="23" s="1"/>
  <c r="E7" i="23"/>
  <c r="E49" i="23" s="1"/>
  <c r="D7" i="23"/>
  <c r="D49" i="23" s="1"/>
  <c r="K6" i="23"/>
  <c r="J6" i="23"/>
  <c r="J48" i="23" s="1"/>
  <c r="E6" i="23"/>
  <c r="E48" i="23" s="1"/>
  <c r="D6" i="23"/>
  <c r="D48" i="23" s="1"/>
  <c r="K5" i="23"/>
  <c r="J5" i="23"/>
  <c r="J47" i="23" s="1"/>
  <c r="E5" i="23"/>
  <c r="E47" i="23" s="1"/>
  <c r="D5" i="23"/>
  <c r="D47" i="23" s="1"/>
  <c r="J4" i="23"/>
  <c r="J46" i="23" s="1"/>
  <c r="E4" i="23"/>
  <c r="E46" i="23" s="1"/>
  <c r="D4" i="23"/>
  <c r="D46" i="23" s="1"/>
  <c r="J3" i="23"/>
  <c r="J45" i="23" s="1"/>
  <c r="E3" i="23"/>
  <c r="E45" i="23" s="1"/>
  <c r="D3" i="23"/>
  <c r="D45" i="23" s="1"/>
  <c r="E2" i="23"/>
  <c r="E43" i="23" s="1"/>
  <c r="D2" i="23"/>
  <c r="D43" i="23" s="1"/>
  <c r="D38" i="15"/>
  <c r="E38" i="15" s="1"/>
  <c r="F38" i="15" s="1"/>
  <c r="G38" i="15" s="1"/>
  <c r="H38" i="15" s="1"/>
  <c r="I38" i="15" s="1"/>
  <c r="J38" i="15" s="1"/>
  <c r="K38" i="15" s="1"/>
  <c r="L38" i="15" s="1"/>
  <c r="M38" i="15" s="1"/>
  <c r="N38" i="15" s="1"/>
  <c r="O38" i="15" s="1"/>
  <c r="P38" i="15" s="1"/>
  <c r="Q38" i="15" s="1"/>
  <c r="R38" i="15" s="1"/>
  <c r="S38" i="15" s="1"/>
  <c r="T38" i="15" s="1"/>
  <c r="U38" i="15" s="1"/>
  <c r="V38" i="15" s="1"/>
  <c r="W38" i="15" s="1"/>
  <c r="X38" i="15" s="1"/>
  <c r="Y38" i="15" s="1"/>
  <c r="Z38" i="15" s="1"/>
  <c r="AA38" i="15" s="1"/>
  <c r="AB38" i="15" s="1"/>
  <c r="AC38" i="15" s="1"/>
  <c r="AD38" i="15" s="1"/>
  <c r="J12" i="15"/>
  <c r="J56" i="15" s="1"/>
  <c r="E12" i="15"/>
  <c r="E56" i="15" s="1"/>
  <c r="D12" i="15"/>
  <c r="D56" i="15" s="1"/>
  <c r="J11" i="15"/>
  <c r="J55" i="15" s="1"/>
  <c r="E11" i="15"/>
  <c r="E55" i="15" s="1"/>
  <c r="D11" i="15"/>
  <c r="D55" i="15" s="1"/>
  <c r="J10" i="15"/>
  <c r="J54" i="15" s="1"/>
  <c r="E10" i="15"/>
  <c r="E54" i="15" s="1"/>
  <c r="D10" i="15"/>
  <c r="D54" i="15" s="1"/>
  <c r="J9" i="15"/>
  <c r="J53" i="15" s="1"/>
  <c r="E9" i="15"/>
  <c r="E53" i="15" s="1"/>
  <c r="D9" i="15"/>
  <c r="D53" i="15" s="1"/>
  <c r="J8" i="15"/>
  <c r="J52" i="15" s="1"/>
  <c r="E8" i="15"/>
  <c r="E52" i="15" s="1"/>
  <c r="D8" i="15"/>
  <c r="D52" i="15" s="1"/>
  <c r="J7" i="15"/>
  <c r="J48" i="15" s="1"/>
  <c r="E7" i="15"/>
  <c r="E48" i="15" s="1"/>
  <c r="D7" i="15"/>
  <c r="D48" i="15" s="1"/>
  <c r="K6" i="15"/>
  <c r="K47" i="15" s="1"/>
  <c r="J6" i="15"/>
  <c r="J47" i="15" s="1"/>
  <c r="E6" i="15"/>
  <c r="E47" i="15" s="1"/>
  <c r="D6" i="15"/>
  <c r="D47" i="15" s="1"/>
  <c r="K5" i="15"/>
  <c r="K46" i="15" s="1"/>
  <c r="J5" i="15"/>
  <c r="J46" i="15" s="1"/>
  <c r="E5" i="15"/>
  <c r="E46" i="15" s="1"/>
  <c r="D5" i="15"/>
  <c r="D46" i="15" s="1"/>
  <c r="J4" i="15"/>
  <c r="J45" i="15" s="1"/>
  <c r="E4" i="15"/>
  <c r="E45" i="15" s="1"/>
  <c r="D4" i="15"/>
  <c r="D45" i="15" s="1"/>
  <c r="J3" i="15"/>
  <c r="J44" i="15" s="1"/>
  <c r="E3" i="15"/>
  <c r="E44" i="15" s="1"/>
  <c r="D3" i="15"/>
  <c r="D44" i="15" s="1"/>
  <c r="E2" i="15"/>
  <c r="E42" i="15" s="1"/>
  <c r="D2" i="15"/>
  <c r="D42" i="15" s="1"/>
  <c r="D38" i="13"/>
  <c r="E38" i="13" s="1"/>
  <c r="F38" i="13" s="1"/>
  <c r="G38" i="13" s="1"/>
  <c r="H38" i="13" s="1"/>
  <c r="I38" i="13" s="1"/>
  <c r="J38" i="13" s="1"/>
  <c r="K38" i="13" s="1"/>
  <c r="L38" i="13" s="1"/>
  <c r="M38" i="13" s="1"/>
  <c r="N38" i="13" s="1"/>
  <c r="O38" i="13" s="1"/>
  <c r="P38" i="13" s="1"/>
  <c r="Q38" i="13" s="1"/>
  <c r="R38" i="13" s="1"/>
  <c r="S38" i="13" s="1"/>
  <c r="T38" i="13" s="1"/>
  <c r="U38" i="13" s="1"/>
  <c r="V38" i="13" s="1"/>
  <c r="W38" i="13" s="1"/>
  <c r="X38" i="13" s="1"/>
  <c r="Y38" i="13" s="1"/>
  <c r="Z38" i="13" s="1"/>
  <c r="AA38" i="13" s="1"/>
  <c r="AB38" i="13" s="1"/>
  <c r="AC38" i="13" s="1"/>
  <c r="AD38" i="13" s="1"/>
  <c r="J12" i="13"/>
  <c r="J56" i="13" s="1"/>
  <c r="E12" i="13"/>
  <c r="E56" i="13" s="1"/>
  <c r="D12" i="13"/>
  <c r="D56" i="13" s="1"/>
  <c r="J11" i="13"/>
  <c r="J55" i="13" s="1"/>
  <c r="E11" i="13"/>
  <c r="E55" i="13" s="1"/>
  <c r="D11" i="13"/>
  <c r="D55" i="13" s="1"/>
  <c r="J10" i="13"/>
  <c r="J54" i="13" s="1"/>
  <c r="E10" i="13"/>
  <c r="E54" i="13" s="1"/>
  <c r="D10" i="13"/>
  <c r="D54" i="13" s="1"/>
  <c r="J9" i="13"/>
  <c r="J53" i="13" s="1"/>
  <c r="E9" i="13"/>
  <c r="E53" i="13" s="1"/>
  <c r="D9" i="13"/>
  <c r="D53" i="13" s="1"/>
  <c r="J8" i="13"/>
  <c r="J52" i="13" s="1"/>
  <c r="E8" i="13"/>
  <c r="E52" i="13" s="1"/>
  <c r="D8" i="13"/>
  <c r="D52" i="13" s="1"/>
  <c r="J7" i="13"/>
  <c r="J48" i="13" s="1"/>
  <c r="E7" i="13"/>
  <c r="E48" i="13" s="1"/>
  <c r="D7" i="13"/>
  <c r="D48" i="13" s="1"/>
  <c r="K6" i="13"/>
  <c r="K47" i="13" s="1"/>
  <c r="J6" i="13"/>
  <c r="J47" i="13" s="1"/>
  <c r="E6" i="13"/>
  <c r="E47" i="13" s="1"/>
  <c r="D6" i="13"/>
  <c r="D47" i="13" s="1"/>
  <c r="K5" i="13"/>
  <c r="K46" i="13" s="1"/>
  <c r="J5" i="13"/>
  <c r="J46" i="13" s="1"/>
  <c r="E5" i="13"/>
  <c r="E46" i="13" s="1"/>
  <c r="D5" i="13"/>
  <c r="D46" i="13" s="1"/>
  <c r="J4" i="13"/>
  <c r="J45" i="13" s="1"/>
  <c r="E4" i="13"/>
  <c r="E45" i="13" s="1"/>
  <c r="D4" i="13"/>
  <c r="D45" i="13" s="1"/>
  <c r="J3" i="13"/>
  <c r="J44" i="13" s="1"/>
  <c r="E3" i="13"/>
  <c r="E44" i="13" s="1"/>
  <c r="D3" i="13"/>
  <c r="D44" i="13" s="1"/>
  <c r="E2" i="13"/>
  <c r="E42" i="13" s="1"/>
  <c r="D2" i="13"/>
  <c r="D42" i="13" s="1"/>
  <c r="D39" i="12"/>
  <c r="E39" i="12" s="1"/>
  <c r="F39" i="12" s="1"/>
  <c r="G39" i="12" s="1"/>
  <c r="H39" i="12" s="1"/>
  <c r="I39" i="12" s="1"/>
  <c r="J39" i="12" s="1"/>
  <c r="K39" i="12" s="1"/>
  <c r="L39" i="12" s="1"/>
  <c r="M39" i="12" s="1"/>
  <c r="N39" i="12" s="1"/>
  <c r="O39" i="12" s="1"/>
  <c r="P39" i="12" s="1"/>
  <c r="Q39" i="12" s="1"/>
  <c r="R39" i="12" s="1"/>
  <c r="S39" i="12" s="1"/>
  <c r="T39" i="12" s="1"/>
  <c r="U39" i="12" s="1"/>
  <c r="V39" i="12" s="1"/>
  <c r="W39" i="12" s="1"/>
  <c r="X39" i="12" s="1"/>
  <c r="Y39" i="12" s="1"/>
  <c r="Z39" i="12" s="1"/>
  <c r="AA39" i="12" s="1"/>
  <c r="AB39" i="12" s="1"/>
  <c r="AC39" i="12" s="1"/>
  <c r="AD39" i="12" s="1"/>
  <c r="J12" i="12"/>
  <c r="J57" i="12" s="1"/>
  <c r="E12" i="12"/>
  <c r="E57" i="12" s="1"/>
  <c r="D12" i="12"/>
  <c r="D57" i="12" s="1"/>
  <c r="J11" i="12"/>
  <c r="J56" i="12" s="1"/>
  <c r="E11" i="12"/>
  <c r="E56" i="12" s="1"/>
  <c r="D11" i="12"/>
  <c r="D56" i="12" s="1"/>
  <c r="J10" i="12"/>
  <c r="J55" i="12" s="1"/>
  <c r="E10" i="12"/>
  <c r="E55" i="12" s="1"/>
  <c r="D10" i="12"/>
  <c r="D55" i="12" s="1"/>
  <c r="J9" i="12"/>
  <c r="J54" i="12" s="1"/>
  <c r="E9" i="12"/>
  <c r="E54" i="12" s="1"/>
  <c r="D9" i="12"/>
  <c r="D54" i="12" s="1"/>
  <c r="J8" i="12"/>
  <c r="J53" i="12" s="1"/>
  <c r="E8" i="12"/>
  <c r="E53" i="12" s="1"/>
  <c r="D8" i="12"/>
  <c r="D53" i="12" s="1"/>
  <c r="J7" i="12"/>
  <c r="J49" i="12" s="1"/>
  <c r="E7" i="12"/>
  <c r="E49" i="12" s="1"/>
  <c r="D7" i="12"/>
  <c r="D49" i="12" s="1"/>
  <c r="K6" i="12"/>
  <c r="K48" i="12" s="1"/>
  <c r="J6" i="12"/>
  <c r="J48" i="12" s="1"/>
  <c r="E6" i="12"/>
  <c r="E48" i="12" s="1"/>
  <c r="D6" i="12"/>
  <c r="D48" i="12" s="1"/>
  <c r="K5" i="12"/>
  <c r="K47" i="12" s="1"/>
  <c r="J5" i="12"/>
  <c r="J47" i="12" s="1"/>
  <c r="E5" i="12"/>
  <c r="E47" i="12" s="1"/>
  <c r="D5" i="12"/>
  <c r="D47" i="12" s="1"/>
  <c r="J4" i="12"/>
  <c r="J46" i="12" s="1"/>
  <c r="E4" i="12"/>
  <c r="E46" i="12" s="1"/>
  <c r="D4" i="12"/>
  <c r="D46" i="12" s="1"/>
  <c r="J3" i="12"/>
  <c r="J45" i="12" s="1"/>
  <c r="E3" i="12"/>
  <c r="E45" i="12" s="1"/>
  <c r="D3" i="12"/>
  <c r="D45" i="12" s="1"/>
  <c r="E2" i="12"/>
  <c r="E43" i="12" s="1"/>
  <c r="D2" i="12"/>
  <c r="D43" i="12" s="1"/>
  <c r="D38" i="11"/>
  <c r="E38" i="11" s="1"/>
  <c r="F38" i="11" s="1"/>
  <c r="G38" i="11" s="1"/>
  <c r="H38" i="11" s="1"/>
  <c r="I38" i="11" s="1"/>
  <c r="J38" i="11" s="1"/>
  <c r="K38" i="11" s="1"/>
  <c r="L38" i="11" s="1"/>
  <c r="M38" i="11" s="1"/>
  <c r="N38" i="11" s="1"/>
  <c r="O38" i="11" s="1"/>
  <c r="P38" i="11" s="1"/>
  <c r="Q38" i="11" s="1"/>
  <c r="R38" i="11" s="1"/>
  <c r="S38" i="11" s="1"/>
  <c r="T38" i="11" s="1"/>
  <c r="U38" i="11" s="1"/>
  <c r="V38" i="11" s="1"/>
  <c r="W38" i="11" s="1"/>
  <c r="X38" i="11" s="1"/>
  <c r="Y38" i="11" s="1"/>
  <c r="Z38" i="11" s="1"/>
  <c r="AA38" i="11" s="1"/>
  <c r="AB38" i="11" s="1"/>
  <c r="AC38" i="11" s="1"/>
  <c r="AD38" i="11" s="1"/>
  <c r="J12" i="11"/>
  <c r="J56" i="11" s="1"/>
  <c r="E12" i="11"/>
  <c r="E56" i="11" s="1"/>
  <c r="D12" i="11"/>
  <c r="D56" i="11" s="1"/>
  <c r="J11" i="11"/>
  <c r="J55" i="11" s="1"/>
  <c r="E11" i="11"/>
  <c r="E55" i="11" s="1"/>
  <c r="D11" i="11"/>
  <c r="D55" i="11" s="1"/>
  <c r="J10" i="11"/>
  <c r="J54" i="11" s="1"/>
  <c r="E10" i="11"/>
  <c r="E54" i="11" s="1"/>
  <c r="D10" i="11"/>
  <c r="D54" i="11" s="1"/>
  <c r="J9" i="11"/>
  <c r="J53" i="11" s="1"/>
  <c r="E9" i="11"/>
  <c r="E53" i="11" s="1"/>
  <c r="D9" i="11"/>
  <c r="D53" i="11" s="1"/>
  <c r="J8" i="11"/>
  <c r="J52" i="11" s="1"/>
  <c r="E8" i="11"/>
  <c r="E52" i="11" s="1"/>
  <c r="D8" i="11"/>
  <c r="D52" i="11" s="1"/>
  <c r="J7" i="11"/>
  <c r="J48" i="11" s="1"/>
  <c r="E7" i="11"/>
  <c r="E48" i="11" s="1"/>
  <c r="D7" i="11"/>
  <c r="D48" i="11" s="1"/>
  <c r="K6" i="11"/>
  <c r="K47" i="11" s="1"/>
  <c r="J6" i="11"/>
  <c r="J47" i="11" s="1"/>
  <c r="E6" i="11"/>
  <c r="E47" i="11" s="1"/>
  <c r="D6" i="11"/>
  <c r="D47" i="11" s="1"/>
  <c r="K5" i="11"/>
  <c r="K46" i="11" s="1"/>
  <c r="J5" i="11"/>
  <c r="J46" i="11" s="1"/>
  <c r="E5" i="11"/>
  <c r="E46" i="11" s="1"/>
  <c r="D5" i="11"/>
  <c r="D46" i="11" s="1"/>
  <c r="J4" i="11"/>
  <c r="J45" i="11" s="1"/>
  <c r="E4" i="11"/>
  <c r="E45" i="11" s="1"/>
  <c r="D4" i="11"/>
  <c r="D45" i="11" s="1"/>
  <c r="J3" i="11"/>
  <c r="J44" i="11" s="1"/>
  <c r="E3" i="11"/>
  <c r="E44" i="11" s="1"/>
  <c r="D3" i="11"/>
  <c r="D44" i="11" s="1"/>
  <c r="E2" i="11"/>
  <c r="E42" i="11" s="1"/>
  <c r="D2" i="11"/>
  <c r="D42" i="11" s="1"/>
  <c r="D38" i="10"/>
  <c r="E38" i="10" s="1"/>
  <c r="F38" i="10" s="1"/>
  <c r="G38" i="10" s="1"/>
  <c r="H38" i="10" s="1"/>
  <c r="I38" i="10" s="1"/>
  <c r="J38" i="10" s="1"/>
  <c r="K38" i="10" s="1"/>
  <c r="L38" i="10" s="1"/>
  <c r="M38" i="10" s="1"/>
  <c r="N38" i="10" s="1"/>
  <c r="O38" i="10" s="1"/>
  <c r="P38" i="10" s="1"/>
  <c r="Q38" i="10" s="1"/>
  <c r="R38" i="10" s="1"/>
  <c r="S38" i="10" s="1"/>
  <c r="T38" i="10" s="1"/>
  <c r="U38" i="10" s="1"/>
  <c r="V38" i="10" s="1"/>
  <c r="W38" i="10" s="1"/>
  <c r="X38" i="10" s="1"/>
  <c r="Y38" i="10" s="1"/>
  <c r="Z38" i="10" s="1"/>
  <c r="AA38" i="10" s="1"/>
  <c r="AB38" i="10" s="1"/>
  <c r="AC38" i="10" s="1"/>
  <c r="AD38" i="10" s="1"/>
  <c r="J12" i="10"/>
  <c r="J56" i="10" s="1"/>
  <c r="E12" i="10"/>
  <c r="E56" i="10" s="1"/>
  <c r="D12" i="10"/>
  <c r="D56" i="10" s="1"/>
  <c r="J11" i="10"/>
  <c r="J55" i="10" s="1"/>
  <c r="E11" i="10"/>
  <c r="E55" i="10" s="1"/>
  <c r="D11" i="10"/>
  <c r="D55" i="10" s="1"/>
  <c r="J10" i="10"/>
  <c r="J54" i="10" s="1"/>
  <c r="E10" i="10"/>
  <c r="E54" i="10" s="1"/>
  <c r="D10" i="10"/>
  <c r="D54" i="10" s="1"/>
  <c r="J9" i="10"/>
  <c r="J53" i="10" s="1"/>
  <c r="E9" i="10"/>
  <c r="E53" i="10" s="1"/>
  <c r="D9" i="10"/>
  <c r="D53" i="10" s="1"/>
  <c r="J8" i="10"/>
  <c r="E8" i="10"/>
  <c r="D8" i="10"/>
  <c r="J7" i="10"/>
  <c r="J48" i="10" s="1"/>
  <c r="E7" i="10"/>
  <c r="E48" i="10" s="1"/>
  <c r="D7" i="10"/>
  <c r="D48" i="10" s="1"/>
  <c r="K6" i="10"/>
  <c r="K47" i="10" s="1"/>
  <c r="J6" i="10"/>
  <c r="J47" i="10" s="1"/>
  <c r="E6" i="10"/>
  <c r="E47" i="10" s="1"/>
  <c r="D6" i="10"/>
  <c r="D47" i="10" s="1"/>
  <c r="K5" i="10"/>
  <c r="K46" i="10" s="1"/>
  <c r="J5" i="10"/>
  <c r="J46" i="10" s="1"/>
  <c r="E5" i="10"/>
  <c r="E46" i="10" s="1"/>
  <c r="D5" i="10"/>
  <c r="D46" i="10" s="1"/>
  <c r="J4" i="10"/>
  <c r="J45" i="10" s="1"/>
  <c r="E4" i="10"/>
  <c r="E45" i="10" s="1"/>
  <c r="D4" i="10"/>
  <c r="D45" i="10" s="1"/>
  <c r="J3" i="10"/>
  <c r="E3" i="10"/>
  <c r="D3" i="10"/>
  <c r="E2" i="10"/>
  <c r="E42" i="10" s="1"/>
  <c r="D2" i="10"/>
  <c r="D42" i="10" s="1"/>
  <c r="F12" i="58"/>
  <c r="F57" i="58" s="1"/>
  <c r="F11" i="58"/>
  <c r="F56" i="58" s="1"/>
  <c r="F10" i="58"/>
  <c r="F55" i="58" s="1"/>
  <c r="F9" i="58"/>
  <c r="F54" i="58" s="1"/>
  <c r="F8" i="58"/>
  <c r="F53" i="58" s="1"/>
  <c r="F7" i="58"/>
  <c r="F49" i="58" s="1"/>
  <c r="F6" i="58"/>
  <c r="F48" i="58" s="1"/>
  <c r="F5" i="58"/>
  <c r="F47" i="58" s="1"/>
  <c r="B7" i="16"/>
  <c r="AO176" i="18"/>
  <c r="AO175" i="18"/>
  <c r="AO174" i="18"/>
  <c r="AO173" i="18"/>
  <c r="AO172" i="18"/>
  <c r="AO170" i="18"/>
  <c r="AO169" i="18"/>
  <c r="AO168" i="18"/>
  <c r="AO167" i="18"/>
  <c r="AO166" i="18"/>
  <c r="AO165" i="18"/>
  <c r="AO164" i="18"/>
  <c r="AO163" i="18"/>
  <c r="AO162" i="18"/>
  <c r="AO161" i="18"/>
  <c r="AO160" i="18"/>
  <c r="AO159" i="18"/>
  <c r="AO157" i="18"/>
  <c r="AO156" i="18"/>
  <c r="AO155" i="18"/>
  <c r="AO154" i="18"/>
  <c r="AO153" i="18"/>
  <c r="AO152" i="18"/>
  <c r="AO151" i="18"/>
  <c r="AO150" i="18"/>
  <c r="AO149" i="18"/>
  <c r="AO148" i="18"/>
  <c r="AO147" i="18"/>
  <c r="AO146" i="18"/>
  <c r="AO144" i="18"/>
  <c r="AO143" i="18"/>
  <c r="AO142" i="18"/>
  <c r="AO141" i="18"/>
  <c r="AO140" i="18"/>
  <c r="AO139" i="18"/>
  <c r="AO138" i="18"/>
  <c r="AO137" i="18"/>
  <c r="AO136" i="18"/>
  <c r="AO135" i="18"/>
  <c r="AO134" i="18"/>
  <c r="AO133" i="18"/>
  <c r="AO131" i="18"/>
  <c r="AO130" i="18"/>
  <c r="AO129" i="18"/>
  <c r="AO128" i="18"/>
  <c r="AO127" i="18"/>
  <c r="AO126" i="18"/>
  <c r="AO125" i="18"/>
  <c r="AO124" i="18"/>
  <c r="AO123" i="18"/>
  <c r="AO122" i="18"/>
  <c r="AO121" i="18"/>
  <c r="AO120" i="18"/>
  <c r="AO118" i="18"/>
  <c r="AO117" i="18"/>
  <c r="AO116" i="18"/>
  <c r="AO115" i="18"/>
  <c r="AO114" i="18"/>
  <c r="AO113" i="18"/>
  <c r="AO112" i="18"/>
  <c r="AO111" i="18"/>
  <c r="AO110" i="18"/>
  <c r="AO109" i="18"/>
  <c r="AO108" i="18"/>
  <c r="AO107" i="18"/>
  <c r="AO105" i="18"/>
  <c r="AO104" i="18"/>
  <c r="AO103" i="18"/>
  <c r="AO102" i="18"/>
  <c r="AO101" i="18"/>
  <c r="AO100" i="18"/>
  <c r="AO99" i="18"/>
  <c r="AO98" i="18"/>
  <c r="AO97" i="18"/>
  <c r="AO96" i="18"/>
  <c r="AO95" i="18"/>
  <c r="AO94" i="18"/>
  <c r="AO92" i="18"/>
  <c r="AO91" i="18"/>
  <c r="AO90" i="18"/>
  <c r="AO89" i="18"/>
  <c r="AO88" i="18"/>
  <c r="AO87" i="18"/>
  <c r="AO86" i="18"/>
  <c r="AO85" i="18"/>
  <c r="AO84" i="18"/>
  <c r="AO83" i="18"/>
  <c r="AO82" i="18"/>
  <c r="AO81" i="18"/>
  <c r="AO79" i="18"/>
  <c r="AO78" i="18"/>
  <c r="AO77" i="18"/>
  <c r="AO76" i="18"/>
  <c r="AO75" i="18"/>
  <c r="AO74" i="18"/>
  <c r="AO73" i="18"/>
  <c r="AN72" i="18"/>
  <c r="AO72" i="18" s="1"/>
  <c r="AN71" i="18"/>
  <c r="AO71" i="18" s="1"/>
  <c r="AN70" i="18"/>
  <c r="AO70" i="18" s="1"/>
  <c r="AN69" i="18"/>
  <c r="AO69" i="18" s="1"/>
  <c r="AN68" i="18"/>
  <c r="AO68" i="18" s="1"/>
  <c r="AN66" i="18"/>
  <c r="AO66" i="18" s="1"/>
  <c r="AN65" i="18"/>
  <c r="AO65" i="18" s="1"/>
  <c r="AN64" i="18"/>
  <c r="AO64" i="18" s="1"/>
  <c r="AN63" i="18"/>
  <c r="AO63" i="18" s="1"/>
  <c r="AN62" i="18"/>
  <c r="AO62" i="18" s="1"/>
  <c r="AN61" i="18"/>
  <c r="AO61" i="18" s="1"/>
  <c r="AN60" i="18"/>
  <c r="AO60" i="18" s="1"/>
  <c r="AN59" i="18"/>
  <c r="AO59" i="18" s="1"/>
  <c r="AN58" i="18"/>
  <c r="AO58" i="18" s="1"/>
  <c r="AN57" i="18"/>
  <c r="AO57" i="18" s="1"/>
  <c r="AN56" i="18"/>
  <c r="AO56" i="18" s="1"/>
  <c r="AN55" i="18"/>
  <c r="AO55" i="18" s="1"/>
  <c r="AN53" i="18"/>
  <c r="AO53" i="18" s="1"/>
  <c r="AN52" i="18"/>
  <c r="AO52" i="18" s="1"/>
  <c r="AN51" i="18"/>
  <c r="AO51" i="18" s="1"/>
  <c r="B60" i="18"/>
  <c r="A60" i="18"/>
  <c r="AN50" i="18"/>
  <c r="AO50" i="18" s="1"/>
  <c r="B59" i="18"/>
  <c r="A59" i="18"/>
  <c r="AN49" i="18"/>
  <c r="AO49" i="18" s="1"/>
  <c r="B58" i="18"/>
  <c r="A58" i="18"/>
  <c r="AN48" i="18"/>
  <c r="AO48" i="18" s="1"/>
  <c r="B57" i="18"/>
  <c r="A57" i="18"/>
  <c r="AN47" i="18"/>
  <c r="AO47" i="18" s="1"/>
  <c r="B56" i="18"/>
  <c r="A56" i="18"/>
  <c r="AN46" i="18"/>
  <c r="AO46" i="18" s="1"/>
  <c r="B54" i="18"/>
  <c r="A54" i="18"/>
  <c r="AN45" i="18"/>
  <c r="AO45" i="18" s="1"/>
  <c r="B53" i="18"/>
  <c r="A53" i="18"/>
  <c r="AN44" i="18"/>
  <c r="AO44" i="18" s="1"/>
  <c r="B52" i="18"/>
  <c r="A52" i="18"/>
  <c r="AN43" i="18"/>
  <c r="AO43" i="18" s="1"/>
  <c r="B51" i="18"/>
  <c r="A51" i="18"/>
  <c r="AN42" i="18"/>
  <c r="AO42" i="18" s="1"/>
  <c r="B50" i="18"/>
  <c r="A50" i="18"/>
  <c r="AN40" i="18"/>
  <c r="AO40" i="18" s="1"/>
  <c r="B49" i="18"/>
  <c r="A49" i="18"/>
  <c r="AN39" i="18"/>
  <c r="AO39" i="18" s="1"/>
  <c r="B48" i="18"/>
  <c r="A48" i="18"/>
  <c r="AN35" i="18"/>
  <c r="AO35" i="18" s="1"/>
  <c r="D47" i="18"/>
  <c r="C47" i="18"/>
  <c r="AN34" i="18"/>
  <c r="AO34" i="18" s="1"/>
  <c r="AN33" i="18"/>
  <c r="AO33" i="18" s="1"/>
  <c r="AN32" i="18"/>
  <c r="AO32" i="18" s="1"/>
  <c r="AN31" i="18"/>
  <c r="AO31" i="18" s="1"/>
  <c r="AN30" i="18"/>
  <c r="AO30" i="18" s="1"/>
  <c r="A42" i="18"/>
  <c r="AN29" i="18"/>
  <c r="AO29" i="18" s="1"/>
  <c r="AN28" i="18"/>
  <c r="AO28" i="18" s="1"/>
  <c r="AN27" i="18"/>
  <c r="AO27" i="18" s="1"/>
  <c r="AN26" i="18"/>
  <c r="AO26" i="18" s="1"/>
  <c r="AN24" i="18"/>
  <c r="AO24" i="18" s="1"/>
  <c r="AN23" i="18"/>
  <c r="AO23" i="18" s="1"/>
  <c r="AN19" i="18"/>
  <c r="AO19" i="18" s="1"/>
  <c r="AN18" i="18"/>
  <c r="AO18" i="18" s="1"/>
  <c r="AN17" i="18"/>
  <c r="AO17" i="18" s="1"/>
  <c r="AN16" i="18"/>
  <c r="AO16" i="18" s="1"/>
  <c r="AN15" i="18"/>
  <c r="AO15" i="18" s="1"/>
  <c r="AN14" i="18"/>
  <c r="AO14" i="18" s="1"/>
  <c r="AN10" i="18"/>
  <c r="AO10" i="18" s="1"/>
  <c r="AN9" i="18"/>
  <c r="AO9" i="18" s="1"/>
  <c r="AN8" i="18"/>
  <c r="AO8" i="18" s="1"/>
  <c r="AN7" i="18"/>
  <c r="AO7" i="18" s="1"/>
  <c r="AN6" i="18"/>
  <c r="AO6" i="18" s="1"/>
  <c r="AN5" i="18"/>
  <c r="AO5" i="18" s="1"/>
  <c r="D37" i="17" l="1"/>
  <c r="D38" i="17" s="1"/>
  <c r="D78" i="61"/>
  <c r="D33" i="17"/>
  <c r="D34" i="17" s="1"/>
  <c r="D74" i="61"/>
  <c r="D43" i="11"/>
  <c r="AA55" i="18"/>
  <c r="AA54" i="18"/>
  <c r="C55" i="18"/>
  <c r="C74" i="18"/>
  <c r="C73" i="18"/>
  <c r="C54" i="18"/>
  <c r="D75" i="58"/>
  <c r="D44" i="12"/>
  <c r="D43" i="10"/>
  <c r="E43" i="10"/>
  <c r="C46" i="18"/>
  <c r="E47" i="18"/>
  <c r="D60" i="11"/>
  <c r="D73" i="11" s="1"/>
  <c r="D61" i="45"/>
  <c r="D74" i="45" s="1"/>
  <c r="D60" i="50"/>
  <c r="D73" i="50" s="1"/>
  <c r="D60" i="38"/>
  <c r="D73" i="38" s="1"/>
  <c r="D60" i="43"/>
  <c r="D73" i="43" s="1"/>
  <c r="D61" i="47"/>
  <c r="D74" i="47" s="1"/>
  <c r="D61" i="12"/>
  <c r="D74" i="12" s="1"/>
  <c r="D61" i="23"/>
  <c r="D74" i="23" s="1"/>
  <c r="D60" i="15"/>
  <c r="D73" i="15" s="1"/>
  <c r="D60" i="13"/>
  <c r="D73" i="13" s="1"/>
  <c r="D62" i="11"/>
  <c r="D74" i="11" s="1"/>
  <c r="D62" i="50"/>
  <c r="D74" i="50" s="1"/>
  <c r="D63" i="47"/>
  <c r="D62" i="38"/>
  <c r="D74" i="38" s="1"/>
  <c r="D63" i="45"/>
  <c r="D75" i="45" s="1"/>
  <c r="D62" i="13"/>
  <c r="D63" i="23"/>
  <c r="D75" i="23" s="1"/>
  <c r="D63" i="12"/>
  <c r="D75" i="12" s="1"/>
  <c r="D62" i="43"/>
  <c r="D62" i="15"/>
  <c r="D61" i="11"/>
  <c r="D77" i="11" s="1"/>
  <c r="D61" i="50"/>
  <c r="D77" i="50" s="1"/>
  <c r="D62" i="47"/>
  <c r="D78" i="47" s="1"/>
  <c r="D61" i="38"/>
  <c r="D77" i="38" s="1"/>
  <c r="D61" i="43"/>
  <c r="D77" i="43" s="1"/>
  <c r="D62" i="45"/>
  <c r="D78" i="45" s="1"/>
  <c r="D61" i="13"/>
  <c r="D77" i="13" s="1"/>
  <c r="D62" i="23"/>
  <c r="D78" i="23" s="1"/>
  <c r="D61" i="15"/>
  <c r="D77" i="15" s="1"/>
  <c r="D62" i="12"/>
  <c r="D78" i="12" s="1"/>
  <c r="AQ44" i="18"/>
  <c r="D63" i="11"/>
  <c r="D78" i="11" s="1"/>
  <c r="D64" i="45"/>
  <c r="D79" i="45" s="1"/>
  <c r="D63" i="50"/>
  <c r="D78" i="50" s="1"/>
  <c r="D63" i="38"/>
  <c r="D78" i="38" s="1"/>
  <c r="D63" i="43"/>
  <c r="D78" i="43" s="1"/>
  <c r="D64" i="12"/>
  <c r="D79" i="12" s="1"/>
  <c r="D63" i="15"/>
  <c r="D78" i="15" s="1"/>
  <c r="D63" i="13"/>
  <c r="D78" i="13" s="1"/>
  <c r="D64" i="23"/>
  <c r="D79" i="23" s="1"/>
  <c r="D64" i="47"/>
  <c r="D79" i="47" s="1"/>
  <c r="D44" i="10"/>
  <c r="E52" i="10"/>
  <c r="D60" i="10"/>
  <c r="D73" i="10" s="1"/>
  <c r="E44" i="10"/>
  <c r="J52" i="10"/>
  <c r="D61" i="10"/>
  <c r="D77" i="10" s="1"/>
  <c r="E20" i="17"/>
  <c r="E63" i="61" s="1"/>
  <c r="E78" i="61" s="1"/>
  <c r="D63" i="10"/>
  <c r="D78" i="10" s="1"/>
  <c r="J44" i="10"/>
  <c r="E19" i="17"/>
  <c r="D62" i="10"/>
  <c r="D74" i="10" s="1"/>
  <c r="D52" i="10"/>
  <c r="U6" i="10"/>
  <c r="U47" i="10" s="1"/>
  <c r="F9" i="10"/>
  <c r="F53" i="10" s="1"/>
  <c r="K7" i="10"/>
  <c r="K48" i="10" s="1"/>
  <c r="L6" i="12"/>
  <c r="L48" i="12" s="1"/>
  <c r="F10" i="12"/>
  <c r="F55" i="12" s="1"/>
  <c r="L10" i="47"/>
  <c r="L55" i="47" s="1"/>
  <c r="U12" i="10"/>
  <c r="U56" i="10" s="1"/>
  <c r="K11" i="10"/>
  <c r="K55" i="10" s="1"/>
  <c r="F12" i="13"/>
  <c r="F56" i="13" s="1"/>
  <c r="D44" i="47"/>
  <c r="L11" i="43"/>
  <c r="L55" i="43" s="1"/>
  <c r="K47" i="38"/>
  <c r="D44" i="45"/>
  <c r="F3" i="10"/>
  <c r="E44" i="45"/>
  <c r="E44" i="47"/>
  <c r="K7" i="12"/>
  <c r="K49" i="12" s="1"/>
  <c r="K9" i="13"/>
  <c r="K53" i="13" s="1"/>
  <c r="K3" i="11"/>
  <c r="K44" i="11" s="1"/>
  <c r="F8" i="11"/>
  <c r="F52" i="11" s="1"/>
  <c r="F8" i="12"/>
  <c r="F53" i="12" s="1"/>
  <c r="L6" i="11"/>
  <c r="L47" i="11" s="1"/>
  <c r="K11" i="12"/>
  <c r="K56" i="12" s="1"/>
  <c r="D43" i="15"/>
  <c r="K10" i="10"/>
  <c r="K54" i="10" s="1"/>
  <c r="E43" i="11"/>
  <c r="E43" i="15"/>
  <c r="F12" i="10"/>
  <c r="F56" i="10" s="1"/>
  <c r="E44" i="23"/>
  <c r="F6" i="15"/>
  <c r="F47" i="15" s="1"/>
  <c r="K11" i="11"/>
  <c r="K55" i="11" s="1"/>
  <c r="E44" i="12"/>
  <c r="D43" i="13"/>
  <c r="E43" i="13"/>
  <c r="E43" i="50"/>
  <c r="U3" i="50"/>
  <c r="U44" i="50" s="1"/>
  <c r="U3" i="47"/>
  <c r="U45" i="47" s="1"/>
  <c r="U3" i="43"/>
  <c r="U44" i="43" s="1"/>
  <c r="U3" i="38"/>
  <c r="U44" i="38" s="1"/>
  <c r="U3" i="45"/>
  <c r="U3" i="23"/>
  <c r="U3" i="15"/>
  <c r="U44" i="15" s="1"/>
  <c r="U3" i="13"/>
  <c r="U44" i="13" s="1"/>
  <c r="U3" i="12"/>
  <c r="U45" i="12" s="1"/>
  <c r="U3" i="11"/>
  <c r="U44" i="11" s="1"/>
  <c r="U3" i="10"/>
  <c r="L5" i="50"/>
  <c r="L46" i="50" s="1"/>
  <c r="L5" i="47"/>
  <c r="L47" i="47" s="1"/>
  <c r="L5" i="43"/>
  <c r="L46" i="43" s="1"/>
  <c r="L5" i="45"/>
  <c r="L47" i="45" s="1"/>
  <c r="L5" i="38"/>
  <c r="L5" i="23"/>
  <c r="L5" i="15"/>
  <c r="L46" i="15" s="1"/>
  <c r="L5" i="13"/>
  <c r="L46" i="13" s="1"/>
  <c r="L5" i="12"/>
  <c r="L47" i="12" s="1"/>
  <c r="L5" i="11"/>
  <c r="L46" i="11" s="1"/>
  <c r="L5" i="10"/>
  <c r="L46" i="10" s="1"/>
  <c r="E18" i="17"/>
  <c r="U6" i="50"/>
  <c r="U47" i="50" s="1"/>
  <c r="U6" i="47"/>
  <c r="U48" i="47" s="1"/>
  <c r="U6" i="45"/>
  <c r="U6" i="43"/>
  <c r="U47" i="43" s="1"/>
  <c r="U6" i="38"/>
  <c r="U47" i="38" s="1"/>
  <c r="U6" i="23"/>
  <c r="U6" i="15"/>
  <c r="U47" i="15" s="1"/>
  <c r="U6" i="12"/>
  <c r="U48" i="12" s="1"/>
  <c r="U6" i="11"/>
  <c r="U47" i="11" s="1"/>
  <c r="U6" i="13"/>
  <c r="U47" i="13" s="1"/>
  <c r="U9" i="50"/>
  <c r="U53" i="50" s="1"/>
  <c r="U9" i="47"/>
  <c r="U54" i="47" s="1"/>
  <c r="U9" i="45"/>
  <c r="U54" i="45" s="1"/>
  <c r="U9" i="43"/>
  <c r="U53" i="43" s="1"/>
  <c r="U9" i="38"/>
  <c r="U53" i="38" s="1"/>
  <c r="U9" i="23"/>
  <c r="U9" i="13"/>
  <c r="U53" i="13" s="1"/>
  <c r="U9" i="15"/>
  <c r="U53" i="15" s="1"/>
  <c r="U9" i="11"/>
  <c r="U53" i="11" s="1"/>
  <c r="U9" i="12"/>
  <c r="U54" i="12" s="1"/>
  <c r="U9" i="10"/>
  <c r="U53" i="10" s="1"/>
  <c r="F11" i="50"/>
  <c r="F55" i="50" s="1"/>
  <c r="F11" i="43"/>
  <c r="F55" i="43" s="1"/>
  <c r="F11" i="45"/>
  <c r="F56" i="45" s="1"/>
  <c r="F11" i="38"/>
  <c r="F55" i="38" s="1"/>
  <c r="F11" i="47"/>
  <c r="F56" i="47" s="1"/>
  <c r="F11" i="23"/>
  <c r="F56" i="23" s="1"/>
  <c r="F11" i="15"/>
  <c r="F55" i="15" s="1"/>
  <c r="F11" i="13"/>
  <c r="F55" i="13" s="1"/>
  <c r="F11" i="12"/>
  <c r="F56" i="12" s="1"/>
  <c r="F11" i="11"/>
  <c r="F55" i="11" s="1"/>
  <c r="F11" i="10"/>
  <c r="F55" i="10" s="1"/>
  <c r="G11" i="58"/>
  <c r="G56" i="58" s="1"/>
  <c r="F4" i="50"/>
  <c r="F45" i="50" s="1"/>
  <c r="F4" i="45"/>
  <c r="F46" i="45" s="1"/>
  <c r="F4" i="43"/>
  <c r="F45" i="43" s="1"/>
  <c r="F4" i="47"/>
  <c r="F46" i="47" s="1"/>
  <c r="F4" i="38"/>
  <c r="F45" i="38" s="1"/>
  <c r="F4" i="23"/>
  <c r="F46" i="23" s="1"/>
  <c r="F4" i="15"/>
  <c r="F45" i="15" s="1"/>
  <c r="F4" i="13"/>
  <c r="F45" i="13" s="1"/>
  <c r="F4" i="12"/>
  <c r="F46" i="12" s="1"/>
  <c r="F4" i="10"/>
  <c r="F45" i="10" s="1"/>
  <c r="U5" i="47"/>
  <c r="U47" i="47" s="1"/>
  <c r="U5" i="50"/>
  <c r="U46" i="50" s="1"/>
  <c r="U5" i="45"/>
  <c r="U5" i="43"/>
  <c r="U46" i="43" s="1"/>
  <c r="U5" i="38"/>
  <c r="U46" i="38" s="1"/>
  <c r="U5" i="15"/>
  <c r="U46" i="15" s="1"/>
  <c r="U5" i="23"/>
  <c r="U5" i="13"/>
  <c r="U46" i="13" s="1"/>
  <c r="U5" i="12"/>
  <c r="U47" i="12" s="1"/>
  <c r="U5" i="10"/>
  <c r="U46" i="10" s="1"/>
  <c r="U5" i="11"/>
  <c r="U46" i="11" s="1"/>
  <c r="F6" i="50"/>
  <c r="F47" i="50" s="1"/>
  <c r="F6" i="47"/>
  <c r="F48" i="47" s="1"/>
  <c r="F6" i="45"/>
  <c r="F48" i="45" s="1"/>
  <c r="F6" i="43"/>
  <c r="F47" i="43" s="1"/>
  <c r="F6" i="38"/>
  <c r="F47" i="38" s="1"/>
  <c r="F6" i="23"/>
  <c r="F48" i="23" s="1"/>
  <c r="F6" i="13"/>
  <c r="F47" i="13" s="1"/>
  <c r="F6" i="12"/>
  <c r="F48" i="12" s="1"/>
  <c r="F6" i="11"/>
  <c r="F47" i="11" s="1"/>
  <c r="F7" i="50"/>
  <c r="F48" i="50" s="1"/>
  <c r="F7" i="47"/>
  <c r="F49" i="47" s="1"/>
  <c r="F7" i="43"/>
  <c r="F48" i="43" s="1"/>
  <c r="F7" i="45"/>
  <c r="F49" i="45" s="1"/>
  <c r="F7" i="38"/>
  <c r="F48" i="38" s="1"/>
  <c r="F7" i="23"/>
  <c r="F49" i="23" s="1"/>
  <c r="F7" i="15"/>
  <c r="F48" i="15" s="1"/>
  <c r="F7" i="13"/>
  <c r="F48" i="13" s="1"/>
  <c r="F7" i="12"/>
  <c r="F49" i="12" s="1"/>
  <c r="F7" i="11"/>
  <c r="F48" i="11" s="1"/>
  <c r="F7" i="10"/>
  <c r="F48" i="10" s="1"/>
  <c r="G9" i="43"/>
  <c r="G53" i="43" s="1"/>
  <c r="F6" i="10"/>
  <c r="F47" i="10" s="1"/>
  <c r="K3" i="12"/>
  <c r="K45" i="12" s="1"/>
  <c r="F2" i="50"/>
  <c r="F42" i="50" s="1"/>
  <c r="F43" i="50" s="1"/>
  <c r="F2" i="47"/>
  <c r="F43" i="47" s="1"/>
  <c r="F44" i="47" s="1"/>
  <c r="F2" i="45"/>
  <c r="F43" i="45" s="1"/>
  <c r="F44" i="45" s="1"/>
  <c r="F2" i="43"/>
  <c r="F42" i="43" s="1"/>
  <c r="F43" i="43" s="1"/>
  <c r="F2" i="38"/>
  <c r="F42" i="38" s="1"/>
  <c r="F43" i="38" s="1"/>
  <c r="F2" i="23"/>
  <c r="F43" i="23" s="1"/>
  <c r="F44" i="23" s="1"/>
  <c r="F2" i="15"/>
  <c r="F42" i="15" s="1"/>
  <c r="F43" i="15" s="1"/>
  <c r="F2" i="13"/>
  <c r="F42" i="13" s="1"/>
  <c r="F43" i="13" s="1"/>
  <c r="F2" i="11"/>
  <c r="F42" i="11" s="1"/>
  <c r="F43" i="11" s="1"/>
  <c r="F2" i="12"/>
  <c r="F43" i="12" s="1"/>
  <c r="F44" i="12" s="1"/>
  <c r="F2" i="10"/>
  <c r="F42" i="10" s="1"/>
  <c r="F43" i="10" s="1"/>
  <c r="F3" i="47"/>
  <c r="F45" i="47" s="1"/>
  <c r="F3" i="50"/>
  <c r="F44" i="50" s="1"/>
  <c r="F3" i="45"/>
  <c r="F45" i="45" s="1"/>
  <c r="F3" i="38"/>
  <c r="F44" i="38" s="1"/>
  <c r="F3" i="43"/>
  <c r="F44" i="43" s="1"/>
  <c r="F3" i="23"/>
  <c r="F45" i="23" s="1"/>
  <c r="F3" i="15"/>
  <c r="F44" i="15" s="1"/>
  <c r="F3" i="12"/>
  <c r="F45" i="12" s="1"/>
  <c r="F3" i="13"/>
  <c r="F44" i="13" s="1"/>
  <c r="F3" i="11"/>
  <c r="F44" i="11" s="1"/>
  <c r="K9" i="50"/>
  <c r="K53" i="50" s="1"/>
  <c r="K9" i="47"/>
  <c r="K54" i="47" s="1"/>
  <c r="K9" i="45"/>
  <c r="K54" i="45" s="1"/>
  <c r="K9" i="43"/>
  <c r="K53" i="43" s="1"/>
  <c r="K9" i="38"/>
  <c r="K53" i="38" s="1"/>
  <c r="K9" i="15"/>
  <c r="K53" i="15" s="1"/>
  <c r="K9" i="23"/>
  <c r="K54" i="23" s="1"/>
  <c r="K9" i="10"/>
  <c r="K53" i="10" s="1"/>
  <c r="L6" i="50"/>
  <c r="L47" i="50" s="1"/>
  <c r="L6" i="47"/>
  <c r="L48" i="47" s="1"/>
  <c r="L6" i="45"/>
  <c r="L48" i="45" s="1"/>
  <c r="L6" i="43"/>
  <c r="L47" i="43" s="1"/>
  <c r="L6" i="38"/>
  <c r="L47" i="38" s="1"/>
  <c r="L6" i="23"/>
  <c r="L6" i="13"/>
  <c r="L47" i="13" s="1"/>
  <c r="L6" i="15"/>
  <c r="L47" i="15" s="1"/>
  <c r="U10" i="50"/>
  <c r="U54" i="50" s="1"/>
  <c r="U10" i="47"/>
  <c r="U55" i="47" s="1"/>
  <c r="U10" i="45"/>
  <c r="U55" i="45" s="1"/>
  <c r="U10" i="43"/>
  <c r="U54" i="43" s="1"/>
  <c r="U10" i="38"/>
  <c r="U54" i="38" s="1"/>
  <c r="U10" i="23"/>
  <c r="U55" i="23" s="1"/>
  <c r="U10" i="13"/>
  <c r="U54" i="13" s="1"/>
  <c r="U10" i="15"/>
  <c r="U54" i="15" s="1"/>
  <c r="U10" i="12"/>
  <c r="U55" i="12" s="1"/>
  <c r="U10" i="11"/>
  <c r="U54" i="11" s="1"/>
  <c r="U10" i="10"/>
  <c r="U54" i="10" s="1"/>
  <c r="G12" i="23"/>
  <c r="G57" i="23" s="1"/>
  <c r="G12" i="10"/>
  <c r="G56" i="10" s="1"/>
  <c r="L6" i="10"/>
  <c r="L47" i="10" s="1"/>
  <c r="K9" i="11"/>
  <c r="K53" i="11" s="1"/>
  <c r="K9" i="12"/>
  <c r="K54" i="12" s="1"/>
  <c r="K4" i="50"/>
  <c r="K45" i="50" s="1"/>
  <c r="K4" i="47"/>
  <c r="K46" i="47" s="1"/>
  <c r="K4" i="45"/>
  <c r="K46" i="45" s="1"/>
  <c r="K4" i="43"/>
  <c r="K45" i="43" s="1"/>
  <c r="K4" i="38"/>
  <c r="K45" i="38" s="1"/>
  <c r="K4" i="23"/>
  <c r="K4" i="15"/>
  <c r="K45" i="15" s="1"/>
  <c r="K4" i="12"/>
  <c r="K46" i="12" s="1"/>
  <c r="K4" i="13"/>
  <c r="K45" i="13" s="1"/>
  <c r="K4" i="11"/>
  <c r="K45" i="11" s="1"/>
  <c r="K7" i="50"/>
  <c r="K48" i="50" s="1"/>
  <c r="K7" i="47"/>
  <c r="K49" i="47" s="1"/>
  <c r="K7" i="45"/>
  <c r="K49" i="45" s="1"/>
  <c r="K7" i="43"/>
  <c r="K48" i="43" s="1"/>
  <c r="K7" i="38"/>
  <c r="K48" i="38" s="1"/>
  <c r="K7" i="23"/>
  <c r="K7" i="13"/>
  <c r="K48" i="13" s="1"/>
  <c r="K7" i="15"/>
  <c r="K48" i="15" s="1"/>
  <c r="K7" i="11"/>
  <c r="K48" i="11" s="1"/>
  <c r="F4" i="11"/>
  <c r="F45" i="11" s="1"/>
  <c r="U4" i="50"/>
  <c r="U45" i="50" s="1"/>
  <c r="U4" i="45"/>
  <c r="U4" i="47"/>
  <c r="U46" i="47" s="1"/>
  <c r="U4" i="43"/>
  <c r="U45" i="43" s="1"/>
  <c r="U4" i="38"/>
  <c r="U45" i="38" s="1"/>
  <c r="U4" i="23"/>
  <c r="U4" i="15"/>
  <c r="U45" i="15" s="1"/>
  <c r="U4" i="12"/>
  <c r="U46" i="12" s="1"/>
  <c r="U4" i="11"/>
  <c r="U45" i="11" s="1"/>
  <c r="U4" i="13"/>
  <c r="U45" i="13" s="1"/>
  <c r="U4" i="10"/>
  <c r="U45" i="10" s="1"/>
  <c r="F5" i="50"/>
  <c r="F46" i="50" s="1"/>
  <c r="F5" i="47"/>
  <c r="F47" i="47" s="1"/>
  <c r="F5" i="45"/>
  <c r="F47" i="45" s="1"/>
  <c r="F5" i="43"/>
  <c r="F46" i="43" s="1"/>
  <c r="F5" i="38"/>
  <c r="F46" i="38" s="1"/>
  <c r="F5" i="15"/>
  <c r="F46" i="15" s="1"/>
  <c r="F5" i="13"/>
  <c r="F46" i="13" s="1"/>
  <c r="F5" i="23"/>
  <c r="F47" i="23" s="1"/>
  <c r="F5" i="12"/>
  <c r="F47" i="12" s="1"/>
  <c r="F5" i="11"/>
  <c r="F46" i="11" s="1"/>
  <c r="F5" i="10"/>
  <c r="F46" i="10" s="1"/>
  <c r="K3" i="50"/>
  <c r="K44" i="50" s="1"/>
  <c r="K3" i="47"/>
  <c r="K45" i="47" s="1"/>
  <c r="K3" i="45"/>
  <c r="K45" i="45" s="1"/>
  <c r="K3" i="43"/>
  <c r="K44" i="43" s="1"/>
  <c r="K3" i="38"/>
  <c r="K44" i="38" s="1"/>
  <c r="K3" i="15"/>
  <c r="K44" i="15" s="1"/>
  <c r="K3" i="13"/>
  <c r="K44" i="13" s="1"/>
  <c r="K3" i="10"/>
  <c r="K3" i="23"/>
  <c r="G5" i="58"/>
  <c r="G47" i="58" s="1"/>
  <c r="K4" i="10"/>
  <c r="K45" i="10" s="1"/>
  <c r="K8" i="47"/>
  <c r="K53" i="47" s="1"/>
  <c r="K8" i="50"/>
  <c r="K52" i="50" s="1"/>
  <c r="K8" i="45"/>
  <c r="K53" i="45" s="1"/>
  <c r="K8" i="43"/>
  <c r="K52" i="43" s="1"/>
  <c r="K8" i="38"/>
  <c r="K52" i="38" s="1"/>
  <c r="K8" i="23"/>
  <c r="K53" i="23" s="1"/>
  <c r="K8" i="13"/>
  <c r="K52" i="13" s="1"/>
  <c r="K8" i="15"/>
  <c r="K52" i="15" s="1"/>
  <c r="K8" i="12"/>
  <c r="K53" i="12" s="1"/>
  <c r="K8" i="11"/>
  <c r="K52" i="11" s="1"/>
  <c r="F10" i="50"/>
  <c r="F54" i="50" s="1"/>
  <c r="F10" i="47"/>
  <c r="F55" i="47" s="1"/>
  <c r="F10" i="45"/>
  <c r="F55" i="45" s="1"/>
  <c r="F10" i="43"/>
  <c r="F54" i="43" s="1"/>
  <c r="F10" i="38"/>
  <c r="F54" i="38" s="1"/>
  <c r="F10" i="23"/>
  <c r="F55" i="23" s="1"/>
  <c r="F10" i="15"/>
  <c r="F54" i="15" s="1"/>
  <c r="F10" i="13"/>
  <c r="F54" i="13" s="1"/>
  <c r="K12" i="50"/>
  <c r="K56" i="50" s="1"/>
  <c r="K12" i="47"/>
  <c r="K57" i="47" s="1"/>
  <c r="K12" i="43"/>
  <c r="K56" i="43" s="1"/>
  <c r="K12" i="45"/>
  <c r="K57" i="45" s="1"/>
  <c r="K12" i="38"/>
  <c r="K56" i="38" s="1"/>
  <c r="K12" i="15"/>
  <c r="K56" i="15" s="1"/>
  <c r="K12" i="23"/>
  <c r="K57" i="23" s="1"/>
  <c r="K12" i="13"/>
  <c r="K56" i="13" s="1"/>
  <c r="K12" i="12"/>
  <c r="K57" i="12" s="1"/>
  <c r="K12" i="11"/>
  <c r="K56" i="11" s="1"/>
  <c r="K8" i="10"/>
  <c r="F12" i="23"/>
  <c r="F57" i="23" s="1"/>
  <c r="U7" i="50"/>
  <c r="U48" i="50" s="1"/>
  <c r="U7" i="45"/>
  <c r="U7" i="43"/>
  <c r="U48" i="43" s="1"/>
  <c r="U7" i="47"/>
  <c r="U49" i="47" s="1"/>
  <c r="U7" i="38"/>
  <c r="U48" i="38" s="1"/>
  <c r="U7" i="23"/>
  <c r="U7" i="15"/>
  <c r="U48" i="15" s="1"/>
  <c r="U7" i="13"/>
  <c r="U48" i="13" s="1"/>
  <c r="U8" i="50"/>
  <c r="U52" i="50" s="1"/>
  <c r="U8" i="47"/>
  <c r="U53" i="47" s="1"/>
  <c r="U8" i="43"/>
  <c r="U52" i="43" s="1"/>
  <c r="U8" i="45"/>
  <c r="U53" i="45" s="1"/>
  <c r="U8" i="38"/>
  <c r="U52" i="38" s="1"/>
  <c r="U8" i="15"/>
  <c r="U52" i="15" s="1"/>
  <c r="U8" i="23"/>
  <c r="U53" i="23" s="1"/>
  <c r="U8" i="13"/>
  <c r="U52" i="13" s="1"/>
  <c r="U8" i="12"/>
  <c r="U53" i="12" s="1"/>
  <c r="U8" i="11"/>
  <c r="U52" i="11" s="1"/>
  <c r="G10" i="58"/>
  <c r="G55" i="58" s="1"/>
  <c r="U12" i="50"/>
  <c r="U56" i="50" s="1"/>
  <c r="U12" i="45"/>
  <c r="U57" i="45" s="1"/>
  <c r="U12" i="47"/>
  <c r="U57" i="47" s="1"/>
  <c r="U12" i="43"/>
  <c r="U56" i="43" s="1"/>
  <c r="U12" i="38"/>
  <c r="U56" i="38" s="1"/>
  <c r="U12" i="13"/>
  <c r="U56" i="13" s="1"/>
  <c r="U12" i="23"/>
  <c r="U57" i="23" s="1"/>
  <c r="U12" i="15"/>
  <c r="U56" i="15" s="1"/>
  <c r="U12" i="12"/>
  <c r="U57" i="12" s="1"/>
  <c r="U12" i="11"/>
  <c r="U56" i="11" s="1"/>
  <c r="U7" i="10"/>
  <c r="U48" i="10" s="1"/>
  <c r="F10" i="10"/>
  <c r="F54" i="10" s="1"/>
  <c r="F9" i="50"/>
  <c r="F53" i="50" s="1"/>
  <c r="F9" i="47"/>
  <c r="F54" i="47" s="1"/>
  <c r="F9" i="45"/>
  <c r="F54" i="45" s="1"/>
  <c r="F9" i="43"/>
  <c r="F53" i="43" s="1"/>
  <c r="F9" i="38"/>
  <c r="F53" i="38" s="1"/>
  <c r="F9" i="13"/>
  <c r="F53" i="13" s="1"/>
  <c r="F9" i="15"/>
  <c r="F53" i="15" s="1"/>
  <c r="F9" i="23"/>
  <c r="F54" i="23" s="1"/>
  <c r="F9" i="12"/>
  <c r="F54" i="12" s="1"/>
  <c r="F9" i="11"/>
  <c r="F53" i="11" s="1"/>
  <c r="K11" i="50"/>
  <c r="K55" i="50" s="1"/>
  <c r="K11" i="47"/>
  <c r="K56" i="47" s="1"/>
  <c r="K11" i="45"/>
  <c r="K56" i="45" s="1"/>
  <c r="K11" i="43"/>
  <c r="K55" i="43" s="1"/>
  <c r="K11" i="23"/>
  <c r="K56" i="23" s="1"/>
  <c r="K11" i="15"/>
  <c r="K55" i="15" s="1"/>
  <c r="K11" i="38"/>
  <c r="K55" i="38" s="1"/>
  <c r="K11" i="13"/>
  <c r="K55" i="13" s="1"/>
  <c r="U8" i="10"/>
  <c r="U7" i="11"/>
  <c r="U48" i="11" s="1"/>
  <c r="L11" i="15"/>
  <c r="L55" i="15" s="1"/>
  <c r="U11" i="50"/>
  <c r="U55" i="50" s="1"/>
  <c r="U11" i="47"/>
  <c r="U56" i="47" s="1"/>
  <c r="U11" i="45"/>
  <c r="U56" i="45" s="1"/>
  <c r="U11" i="43"/>
  <c r="U55" i="43" s="1"/>
  <c r="U11" i="38"/>
  <c r="U55" i="38" s="1"/>
  <c r="U11" i="15"/>
  <c r="U55" i="15" s="1"/>
  <c r="U11" i="23"/>
  <c r="U56" i="23" s="1"/>
  <c r="U11" i="13"/>
  <c r="U55" i="13" s="1"/>
  <c r="F8" i="10"/>
  <c r="U11" i="10"/>
  <c r="U55" i="10" s="1"/>
  <c r="F10" i="11"/>
  <c r="F54" i="11" s="1"/>
  <c r="U11" i="11"/>
  <c r="U55" i="11" s="1"/>
  <c r="F12" i="11"/>
  <c r="F56" i="11" s="1"/>
  <c r="F8" i="50"/>
  <c r="F52" i="50" s="1"/>
  <c r="F8" i="45"/>
  <c r="F53" i="45" s="1"/>
  <c r="F8" i="47"/>
  <c r="F53" i="47" s="1"/>
  <c r="F8" i="43"/>
  <c r="F52" i="43" s="1"/>
  <c r="F8" i="38"/>
  <c r="F52" i="38" s="1"/>
  <c r="F8" i="23"/>
  <c r="F53" i="23" s="1"/>
  <c r="F8" i="15"/>
  <c r="F52" i="15" s="1"/>
  <c r="F8" i="13"/>
  <c r="F52" i="13" s="1"/>
  <c r="K10" i="50"/>
  <c r="K54" i="50" s="1"/>
  <c r="K10" i="45"/>
  <c r="K55" i="45" s="1"/>
  <c r="K10" i="47"/>
  <c r="K55" i="47" s="1"/>
  <c r="K10" i="43"/>
  <c r="K54" i="43" s="1"/>
  <c r="K10" i="38"/>
  <c r="K54" i="38" s="1"/>
  <c r="K10" i="13"/>
  <c r="K54" i="13" s="1"/>
  <c r="K10" i="15"/>
  <c r="K54" i="15" s="1"/>
  <c r="K10" i="12"/>
  <c r="K55" i="12" s="1"/>
  <c r="K10" i="11"/>
  <c r="K54" i="11" s="1"/>
  <c r="K10" i="23"/>
  <c r="K55" i="23" s="1"/>
  <c r="F12" i="50"/>
  <c r="F56" i="50" s="1"/>
  <c r="F12" i="47"/>
  <c r="F57" i="47" s="1"/>
  <c r="F12" i="45"/>
  <c r="F57" i="45" s="1"/>
  <c r="F12" i="43"/>
  <c r="F56" i="43" s="1"/>
  <c r="F12" i="38"/>
  <c r="F56" i="38" s="1"/>
  <c r="F12" i="15"/>
  <c r="F56" i="15" s="1"/>
  <c r="F12" i="12"/>
  <c r="F57" i="12" s="1"/>
  <c r="K12" i="10"/>
  <c r="K56" i="10" s="1"/>
  <c r="U7" i="12"/>
  <c r="U49" i="12" s="1"/>
  <c r="U11" i="12"/>
  <c r="U56" i="12" s="1"/>
  <c r="D44" i="23"/>
  <c r="D43" i="38"/>
  <c r="E43" i="38"/>
  <c r="D43" i="43"/>
  <c r="E43" i="43"/>
  <c r="D43" i="50"/>
  <c r="D44" i="17" l="1"/>
  <c r="D75" i="61"/>
  <c r="D79" i="61"/>
  <c r="E63" i="58"/>
  <c r="E75" i="58" s="1"/>
  <c r="E76" i="58" s="1"/>
  <c r="E62" i="61"/>
  <c r="E74" i="61" s="1"/>
  <c r="E75" i="61" s="1"/>
  <c r="E33" i="17"/>
  <c r="E34" i="17" s="1"/>
  <c r="E37" i="17"/>
  <c r="E61" i="61"/>
  <c r="E77" i="61" s="1"/>
  <c r="E36" i="17"/>
  <c r="E46" i="18"/>
  <c r="G47" i="18"/>
  <c r="E55" i="18"/>
  <c r="E54" i="18"/>
  <c r="G6" i="45"/>
  <c r="G48" i="45" s="1"/>
  <c r="G6" i="58"/>
  <c r="G48" i="58" s="1"/>
  <c r="G9" i="50"/>
  <c r="G53" i="50" s="1"/>
  <c r="G9" i="58"/>
  <c r="G54" i="58" s="1"/>
  <c r="G12" i="13"/>
  <c r="G56" i="13" s="1"/>
  <c r="G12" i="58"/>
  <c r="G57" i="58" s="1"/>
  <c r="G8" i="10"/>
  <c r="G52" i="10" s="1"/>
  <c r="G8" i="58"/>
  <c r="G53" i="58" s="1"/>
  <c r="G12" i="43"/>
  <c r="G56" i="43" s="1"/>
  <c r="G7" i="38"/>
  <c r="G48" i="38" s="1"/>
  <c r="G7" i="58"/>
  <c r="G49" i="58" s="1"/>
  <c r="D80" i="47"/>
  <c r="D80" i="23"/>
  <c r="D79" i="15"/>
  <c r="D79" i="13"/>
  <c r="D76" i="58"/>
  <c r="D84" i="58" s="1"/>
  <c r="D85" i="58" s="1"/>
  <c r="E62" i="58"/>
  <c r="F19" i="17"/>
  <c r="D80" i="45"/>
  <c r="D79" i="50"/>
  <c r="D79" i="43"/>
  <c r="D79" i="38"/>
  <c r="D80" i="12"/>
  <c r="D79" i="11"/>
  <c r="D79" i="10"/>
  <c r="G4" i="58"/>
  <c r="G46" i="58" s="1"/>
  <c r="G3" i="58"/>
  <c r="G45" i="58" s="1"/>
  <c r="G2" i="38"/>
  <c r="G42" i="38" s="1"/>
  <c r="G43" i="38" s="1"/>
  <c r="G2" i="58"/>
  <c r="G43" i="58" s="1"/>
  <c r="E64" i="58"/>
  <c r="G9" i="45"/>
  <c r="G54" i="45" s="1"/>
  <c r="G12" i="38"/>
  <c r="G56" i="38" s="1"/>
  <c r="G9" i="15"/>
  <c r="G53" i="15" s="1"/>
  <c r="G12" i="11"/>
  <c r="G56" i="11" s="1"/>
  <c r="G12" i="50"/>
  <c r="G56" i="50" s="1"/>
  <c r="G9" i="10"/>
  <c r="G53" i="10" s="1"/>
  <c r="G12" i="12"/>
  <c r="G57" i="12" s="1"/>
  <c r="G12" i="47"/>
  <c r="G57" i="47" s="1"/>
  <c r="G9" i="12"/>
  <c r="G54" i="12" s="1"/>
  <c r="G9" i="38"/>
  <c r="G53" i="38" s="1"/>
  <c r="G7" i="13"/>
  <c r="G48" i="13" s="1"/>
  <c r="G7" i="47"/>
  <c r="G49" i="47" s="1"/>
  <c r="AQ135" i="18"/>
  <c r="AA58" i="18" s="1"/>
  <c r="AQ137" i="18"/>
  <c r="AA60" i="18" s="1"/>
  <c r="AQ136" i="18"/>
  <c r="AA59" i="18" s="1"/>
  <c r="AQ46" i="18"/>
  <c r="AQ107" i="18"/>
  <c r="AQ7" i="18"/>
  <c r="AA50" i="18" s="1"/>
  <c r="G4" i="23"/>
  <c r="G46" i="23" s="1"/>
  <c r="AQ156" i="18"/>
  <c r="D75" i="47"/>
  <c r="D76" i="47" s="1"/>
  <c r="D74" i="13"/>
  <c r="D75" i="13" s="1"/>
  <c r="D74" i="43"/>
  <c r="D75" i="43" s="1"/>
  <c r="AQ5" i="18"/>
  <c r="AA48" i="18" s="1"/>
  <c r="F63" i="47"/>
  <c r="E61" i="11"/>
  <c r="E77" i="11" s="1"/>
  <c r="E62" i="47"/>
  <c r="E78" i="47" s="1"/>
  <c r="E61" i="38"/>
  <c r="E77" i="38" s="1"/>
  <c r="E61" i="43"/>
  <c r="E77" i="43" s="1"/>
  <c r="E62" i="45"/>
  <c r="E78" i="45" s="1"/>
  <c r="E61" i="13"/>
  <c r="E77" i="13" s="1"/>
  <c r="E61" i="50"/>
  <c r="E77" i="50" s="1"/>
  <c r="E62" i="23"/>
  <c r="E78" i="23" s="1"/>
  <c r="E61" i="15"/>
  <c r="E77" i="15" s="1"/>
  <c r="E62" i="12"/>
  <c r="AQ109" i="18"/>
  <c r="D76" i="23"/>
  <c r="D75" i="50"/>
  <c r="D74" i="15"/>
  <c r="D75" i="15" s="1"/>
  <c r="AQ91" i="18"/>
  <c r="E62" i="11"/>
  <c r="E62" i="50"/>
  <c r="E74" i="50" s="1"/>
  <c r="E63" i="47"/>
  <c r="E75" i="47" s="1"/>
  <c r="E62" i="38"/>
  <c r="E74" i="38" s="1"/>
  <c r="E62" i="43"/>
  <c r="E62" i="13"/>
  <c r="E63" i="12"/>
  <c r="E62" i="15"/>
  <c r="E63" i="45"/>
  <c r="E63" i="23"/>
  <c r="E75" i="23" s="1"/>
  <c r="D76" i="12"/>
  <c r="D76" i="45"/>
  <c r="AQ100" i="18"/>
  <c r="AQ101" i="18"/>
  <c r="AQ96" i="18"/>
  <c r="E58" i="18" s="1"/>
  <c r="D68" i="12"/>
  <c r="AQ99" i="18"/>
  <c r="AQ95" i="18"/>
  <c r="E57" i="18" s="1"/>
  <c r="D71" i="13"/>
  <c r="G2" i="11"/>
  <c r="G42" i="11" s="1"/>
  <c r="G43" i="11" s="1"/>
  <c r="G9" i="11"/>
  <c r="G53" i="11" s="1"/>
  <c r="AQ45" i="18"/>
  <c r="AQ35" i="18"/>
  <c r="AQ94" i="18"/>
  <c r="E56" i="18" s="1"/>
  <c r="AQ29" i="18"/>
  <c r="AQ133" i="18"/>
  <c r="AA56" i="18" s="1"/>
  <c r="AQ97" i="18"/>
  <c r="E59" i="18" s="1"/>
  <c r="AQ32" i="18"/>
  <c r="AQ110" i="18"/>
  <c r="D71" i="11"/>
  <c r="AQ43" i="18"/>
  <c r="D75" i="11"/>
  <c r="AQ42" i="18"/>
  <c r="AQ134" i="18"/>
  <c r="AA57" i="18" s="1"/>
  <c r="AQ34" i="18"/>
  <c r="AQ9" i="18"/>
  <c r="AA52" i="18" s="1"/>
  <c r="G9" i="13"/>
  <c r="G53" i="13" s="1"/>
  <c r="G9" i="47"/>
  <c r="G54" i="47" s="1"/>
  <c r="E63" i="10"/>
  <c r="E78" i="10" s="1"/>
  <c r="E63" i="11"/>
  <c r="E78" i="11" s="1"/>
  <c r="E63" i="50"/>
  <c r="E78" i="50" s="1"/>
  <c r="E64" i="47"/>
  <c r="E79" i="47" s="1"/>
  <c r="E63" i="43"/>
  <c r="E78" i="43" s="1"/>
  <c r="E64" i="45"/>
  <c r="E79" i="45" s="1"/>
  <c r="E63" i="15"/>
  <c r="E78" i="15" s="1"/>
  <c r="E63" i="38"/>
  <c r="E78" i="38" s="1"/>
  <c r="E63" i="13"/>
  <c r="E78" i="13" s="1"/>
  <c r="E64" i="12"/>
  <c r="E64" i="23"/>
  <c r="E79" i="23" s="1"/>
  <c r="AQ31" i="18"/>
  <c r="AQ27" i="18"/>
  <c r="AQ33" i="18"/>
  <c r="G9" i="23"/>
  <c r="G54" i="23" s="1"/>
  <c r="L46" i="38"/>
  <c r="AQ111" i="18"/>
  <c r="AQ102" i="18"/>
  <c r="D75" i="38"/>
  <c r="AQ108" i="18"/>
  <c r="AQ103" i="18"/>
  <c r="E60" i="11"/>
  <c r="E60" i="50"/>
  <c r="E61" i="47"/>
  <c r="E60" i="38"/>
  <c r="E60" i="43"/>
  <c r="E61" i="12"/>
  <c r="E78" i="12" s="1"/>
  <c r="E61" i="23"/>
  <c r="E60" i="15"/>
  <c r="E60" i="13"/>
  <c r="E61" i="45"/>
  <c r="D75" i="10"/>
  <c r="G4" i="47"/>
  <c r="G46" i="47" s="1"/>
  <c r="G4" i="10"/>
  <c r="G45" i="10" s="1"/>
  <c r="G2" i="12"/>
  <c r="G43" i="12" s="1"/>
  <c r="G44" i="12" s="1"/>
  <c r="G2" i="43"/>
  <c r="G42" i="43" s="1"/>
  <c r="G43" i="43" s="1"/>
  <c r="G2" i="13"/>
  <c r="G42" i="13" s="1"/>
  <c r="G43" i="13" s="1"/>
  <c r="G2" i="45"/>
  <c r="G43" i="45" s="1"/>
  <c r="G44" i="45" s="1"/>
  <c r="G2" i="15"/>
  <c r="G42" i="15" s="1"/>
  <c r="G43" i="15" s="1"/>
  <c r="G2" i="23"/>
  <c r="G43" i="23" s="1"/>
  <c r="G44" i="23" s="1"/>
  <c r="G2" i="50"/>
  <c r="G42" i="50" s="1"/>
  <c r="G43" i="50" s="1"/>
  <c r="G2" i="47"/>
  <c r="G43" i="47" s="1"/>
  <c r="G44" i="47" s="1"/>
  <c r="G2" i="10"/>
  <c r="G42" i="10" s="1"/>
  <c r="G43" i="10" s="1"/>
  <c r="G4" i="11"/>
  <c r="G45" i="11" s="1"/>
  <c r="G4" i="38"/>
  <c r="G45" i="38" s="1"/>
  <c r="G4" i="12"/>
  <c r="G46" i="12" s="1"/>
  <c r="G4" i="45"/>
  <c r="G46" i="45" s="1"/>
  <c r="G4" i="13"/>
  <c r="G45" i="13" s="1"/>
  <c r="G4" i="43"/>
  <c r="G45" i="43" s="1"/>
  <c r="G4" i="15"/>
  <c r="G45" i="15" s="1"/>
  <c r="G4" i="50"/>
  <c r="G45" i="50" s="1"/>
  <c r="G3" i="50"/>
  <c r="G44" i="50" s="1"/>
  <c r="F20" i="17"/>
  <c r="M3" i="43"/>
  <c r="M44" i="43" s="1"/>
  <c r="G3" i="23"/>
  <c r="G45" i="23" s="1"/>
  <c r="G7" i="11"/>
  <c r="G48" i="11" s="1"/>
  <c r="G7" i="43"/>
  <c r="G48" i="43" s="1"/>
  <c r="L11" i="50"/>
  <c r="L55" i="50" s="1"/>
  <c r="G19" i="17"/>
  <c r="G7" i="12"/>
  <c r="G49" i="12" s="1"/>
  <c r="G7" i="45"/>
  <c r="G49" i="45" s="1"/>
  <c r="F44" i="10"/>
  <c r="E60" i="10"/>
  <c r="M6" i="13"/>
  <c r="M47" i="13" s="1"/>
  <c r="E61" i="10"/>
  <c r="G7" i="15"/>
  <c r="G48" i="15" s="1"/>
  <c r="G7" i="50"/>
  <c r="G48" i="50" s="1"/>
  <c r="F52" i="10"/>
  <c r="U52" i="10"/>
  <c r="M6" i="15"/>
  <c r="M47" i="15" s="1"/>
  <c r="G7" i="23"/>
  <c r="G49" i="23" s="1"/>
  <c r="E62" i="10"/>
  <c r="K52" i="10"/>
  <c r="K44" i="10"/>
  <c r="M6" i="47"/>
  <c r="M48" i="47" s="1"/>
  <c r="U44" i="10"/>
  <c r="M6" i="45"/>
  <c r="M48" i="45" s="1"/>
  <c r="G7" i="10"/>
  <c r="G48" i="10" s="1"/>
  <c r="L10" i="38"/>
  <c r="L54" i="38" s="1"/>
  <c r="L10" i="11"/>
  <c r="L54" i="11" s="1"/>
  <c r="G6" i="43"/>
  <c r="G47" i="43" s="1"/>
  <c r="G3" i="13"/>
  <c r="G44" i="13" s="1"/>
  <c r="L11" i="38"/>
  <c r="L55" i="38" s="1"/>
  <c r="G3" i="38"/>
  <c r="G44" i="38" s="1"/>
  <c r="G3" i="10"/>
  <c r="L10" i="13"/>
  <c r="L54" i="13" s="1"/>
  <c r="L10" i="43"/>
  <c r="L54" i="43" s="1"/>
  <c r="G6" i="12"/>
  <c r="G48" i="12" s="1"/>
  <c r="L9" i="50"/>
  <c r="L53" i="50" s="1"/>
  <c r="M6" i="10"/>
  <c r="M47" i="10" s="1"/>
  <c r="G6" i="11"/>
  <c r="G47" i="11" s="1"/>
  <c r="L11" i="11"/>
  <c r="L55" i="11" s="1"/>
  <c r="L10" i="12"/>
  <c r="L55" i="12" s="1"/>
  <c r="L10" i="50"/>
  <c r="L54" i="50" s="1"/>
  <c r="G6" i="15"/>
  <c r="G47" i="15" s="1"/>
  <c r="G6" i="47"/>
  <c r="G48" i="47" s="1"/>
  <c r="L3" i="15"/>
  <c r="L44" i="15" s="1"/>
  <c r="H2" i="58"/>
  <c r="H43" i="58" s="1"/>
  <c r="H44" i="58" s="1"/>
  <c r="G6" i="23"/>
  <c r="G48" i="23" s="1"/>
  <c r="M6" i="23"/>
  <c r="L11" i="12"/>
  <c r="L56" i="12" s="1"/>
  <c r="L11" i="45"/>
  <c r="L56" i="45" s="1"/>
  <c r="M6" i="38"/>
  <c r="M47" i="38" s="1"/>
  <c r="G3" i="11"/>
  <c r="G44" i="11" s="1"/>
  <c r="G3" i="43"/>
  <c r="G44" i="43" s="1"/>
  <c r="L10" i="15"/>
  <c r="L54" i="15" s="1"/>
  <c r="L10" i="45"/>
  <c r="L55" i="45" s="1"/>
  <c r="G6" i="13"/>
  <c r="G47" i="13" s="1"/>
  <c r="G6" i="50"/>
  <c r="G47" i="50" s="1"/>
  <c r="L10" i="10"/>
  <c r="L54" i="10" s="1"/>
  <c r="M6" i="50"/>
  <c r="M47" i="50" s="1"/>
  <c r="M6" i="11"/>
  <c r="M47" i="11" s="1"/>
  <c r="G3" i="12"/>
  <c r="G45" i="12" s="1"/>
  <c r="G3" i="45"/>
  <c r="G45" i="45" s="1"/>
  <c r="L10" i="23"/>
  <c r="L55" i="23" s="1"/>
  <c r="L11" i="10"/>
  <c r="L55" i="10" s="1"/>
  <c r="L11" i="13"/>
  <c r="L55" i="13" s="1"/>
  <c r="L11" i="23"/>
  <c r="L56" i="23" s="1"/>
  <c r="L11" i="47"/>
  <c r="L56" i="47" s="1"/>
  <c r="M6" i="12"/>
  <c r="M48" i="12" s="1"/>
  <c r="M6" i="43"/>
  <c r="M47" i="43" s="1"/>
  <c r="G3" i="15"/>
  <c r="G44" i="15" s="1"/>
  <c r="G3" i="47"/>
  <c r="G45" i="47" s="1"/>
  <c r="G6" i="10"/>
  <c r="G47" i="10" s="1"/>
  <c r="G6" i="38"/>
  <c r="G47" i="38" s="1"/>
  <c r="H12" i="58"/>
  <c r="H57" i="58" s="1"/>
  <c r="G12" i="15"/>
  <c r="G56" i="15" s="1"/>
  <c r="G12" i="45"/>
  <c r="G57" i="45" s="1"/>
  <c r="L9" i="10"/>
  <c r="L53" i="10" s="1"/>
  <c r="L9" i="38"/>
  <c r="L53" i="38" s="1"/>
  <c r="G8" i="38"/>
  <c r="G52" i="38" s="1"/>
  <c r="U54" i="23"/>
  <c r="L9" i="45"/>
  <c r="L54" i="45" s="1"/>
  <c r="L9" i="12"/>
  <c r="L54" i="12" s="1"/>
  <c r="L9" i="11"/>
  <c r="L53" i="11" s="1"/>
  <c r="L9" i="13"/>
  <c r="L53" i="13" s="1"/>
  <c r="L9" i="43"/>
  <c r="L53" i="43" s="1"/>
  <c r="L9" i="23"/>
  <c r="L54" i="23" s="1"/>
  <c r="L9" i="47"/>
  <c r="L54" i="47" s="1"/>
  <c r="L9" i="15"/>
  <c r="L53" i="15" s="1"/>
  <c r="G8" i="23"/>
  <c r="G53" i="23" s="1"/>
  <c r="G8" i="11"/>
  <c r="G52" i="11" s="1"/>
  <c r="G8" i="43"/>
  <c r="G52" i="43" s="1"/>
  <c r="L3" i="11"/>
  <c r="L44" i="11" s="1"/>
  <c r="G8" i="12"/>
  <c r="G53" i="12" s="1"/>
  <c r="G8" i="45"/>
  <c r="G53" i="45" s="1"/>
  <c r="L3" i="12"/>
  <c r="L45" i="12" s="1"/>
  <c r="L3" i="43"/>
  <c r="L44" i="43" s="1"/>
  <c r="L3" i="38"/>
  <c r="L44" i="38" s="1"/>
  <c r="G8" i="13"/>
  <c r="G52" i="13" s="1"/>
  <c r="G8" i="47"/>
  <c r="G53" i="47" s="1"/>
  <c r="L3" i="13"/>
  <c r="L44" i="13" s="1"/>
  <c r="L3" i="45"/>
  <c r="L45" i="45" s="1"/>
  <c r="L3" i="10"/>
  <c r="G8" i="15"/>
  <c r="G52" i="15" s="1"/>
  <c r="G8" i="50"/>
  <c r="G52" i="50" s="1"/>
  <c r="L3" i="23"/>
  <c r="L3" i="47"/>
  <c r="L45" i="47" s="1"/>
  <c r="L3" i="50"/>
  <c r="L44" i="50" s="1"/>
  <c r="L12" i="50"/>
  <c r="L56" i="50" s="1"/>
  <c r="L12" i="47"/>
  <c r="L57" i="47" s="1"/>
  <c r="L12" i="45"/>
  <c r="L57" i="45" s="1"/>
  <c r="L12" i="43"/>
  <c r="L56" i="43" s="1"/>
  <c r="L12" i="38"/>
  <c r="L56" i="38" s="1"/>
  <c r="L12" i="23"/>
  <c r="L57" i="23" s="1"/>
  <c r="L12" i="13"/>
  <c r="L56" i="13" s="1"/>
  <c r="L12" i="15"/>
  <c r="L56" i="15" s="1"/>
  <c r="L12" i="10"/>
  <c r="L56" i="10" s="1"/>
  <c r="L12" i="11"/>
  <c r="L56" i="11" s="1"/>
  <c r="L12" i="12"/>
  <c r="L57" i="12" s="1"/>
  <c r="G10" i="50"/>
  <c r="G54" i="50" s="1"/>
  <c r="G10" i="47"/>
  <c r="G55" i="47" s="1"/>
  <c r="G10" i="43"/>
  <c r="G54" i="43" s="1"/>
  <c r="G10" i="45"/>
  <c r="G55" i="45" s="1"/>
  <c r="G10" i="38"/>
  <c r="G54" i="38" s="1"/>
  <c r="G10" i="15"/>
  <c r="G54" i="15" s="1"/>
  <c r="G10" i="23"/>
  <c r="G55" i="23" s="1"/>
  <c r="G10" i="13"/>
  <c r="G54" i="13" s="1"/>
  <c r="G10" i="12"/>
  <c r="G55" i="12" s="1"/>
  <c r="G10" i="11"/>
  <c r="G54" i="11" s="1"/>
  <c r="G10" i="10"/>
  <c r="G54" i="10" s="1"/>
  <c r="H10" i="58"/>
  <c r="H55" i="58" s="1"/>
  <c r="N6" i="50"/>
  <c r="N47" i="50" s="1"/>
  <c r="N6" i="47"/>
  <c r="N48" i="47" s="1"/>
  <c r="N6" i="45"/>
  <c r="N48" i="45" s="1"/>
  <c r="N6" i="43"/>
  <c r="N47" i="43" s="1"/>
  <c r="N6" i="38"/>
  <c r="N47" i="38" s="1"/>
  <c r="N6" i="23"/>
  <c r="N6" i="13"/>
  <c r="N47" i="13" s="1"/>
  <c r="N6" i="15"/>
  <c r="N47" i="15" s="1"/>
  <c r="N6" i="12"/>
  <c r="N48" i="12" s="1"/>
  <c r="N6" i="10"/>
  <c r="N47" i="10" s="1"/>
  <c r="N6" i="11"/>
  <c r="N47" i="11" s="1"/>
  <c r="H9" i="38"/>
  <c r="H53" i="38" s="1"/>
  <c r="H9" i="10"/>
  <c r="H53" i="10" s="1"/>
  <c r="L7" i="50"/>
  <c r="L48" i="50" s="1"/>
  <c r="L7" i="47"/>
  <c r="L49" i="47" s="1"/>
  <c r="L7" i="45"/>
  <c r="L49" i="45" s="1"/>
  <c r="L7" i="43"/>
  <c r="L48" i="43" s="1"/>
  <c r="L7" i="38"/>
  <c r="L48" i="38" s="1"/>
  <c r="L7" i="13"/>
  <c r="L48" i="13" s="1"/>
  <c r="L7" i="15"/>
  <c r="L48" i="15" s="1"/>
  <c r="L7" i="23"/>
  <c r="L7" i="12"/>
  <c r="L49" i="12" s="1"/>
  <c r="L7" i="11"/>
  <c r="L48" i="11" s="1"/>
  <c r="L7" i="10"/>
  <c r="L48" i="10" s="1"/>
  <c r="G11" i="50"/>
  <c r="G55" i="50" s="1"/>
  <c r="G11" i="47"/>
  <c r="G56" i="47" s="1"/>
  <c r="G11" i="45"/>
  <c r="G56" i="45" s="1"/>
  <c r="G11" i="38"/>
  <c r="G55" i="38" s="1"/>
  <c r="G11" i="43"/>
  <c r="G55" i="43" s="1"/>
  <c r="G11" i="23"/>
  <c r="G56" i="23" s="1"/>
  <c r="G11" i="13"/>
  <c r="G55" i="13" s="1"/>
  <c r="G11" i="15"/>
  <c r="G55" i="15" s="1"/>
  <c r="G11" i="12"/>
  <c r="G56" i="12" s="1"/>
  <c r="G11" i="11"/>
  <c r="G55" i="11" s="1"/>
  <c r="H11" i="58"/>
  <c r="H56" i="58" s="1"/>
  <c r="G11" i="10"/>
  <c r="G55" i="10" s="1"/>
  <c r="G5" i="50"/>
  <c r="G46" i="50" s="1"/>
  <c r="G5" i="47"/>
  <c r="G47" i="47" s="1"/>
  <c r="G5" i="45"/>
  <c r="G47" i="45" s="1"/>
  <c r="G5" i="43"/>
  <c r="G46" i="43" s="1"/>
  <c r="G5" i="38"/>
  <c r="G46" i="38" s="1"/>
  <c r="G5" i="23"/>
  <c r="G47" i="23" s="1"/>
  <c r="G5" i="13"/>
  <c r="G46" i="13" s="1"/>
  <c r="G5" i="15"/>
  <c r="G46" i="15" s="1"/>
  <c r="G5" i="12"/>
  <c r="G47" i="12" s="1"/>
  <c r="G5" i="11"/>
  <c r="G46" i="11" s="1"/>
  <c r="G5" i="10"/>
  <c r="G46" i="10" s="1"/>
  <c r="H5" i="58"/>
  <c r="H47" i="58" s="1"/>
  <c r="M11" i="47"/>
  <c r="M56" i="47" s="1"/>
  <c r="M11" i="45"/>
  <c r="M56" i="45" s="1"/>
  <c r="M11" i="43"/>
  <c r="M55" i="43" s="1"/>
  <c r="M11" i="23"/>
  <c r="M56" i="23" s="1"/>
  <c r="M11" i="13"/>
  <c r="M55" i="13" s="1"/>
  <c r="M11" i="10"/>
  <c r="M55" i="10" s="1"/>
  <c r="F18" i="17"/>
  <c r="M5" i="50"/>
  <c r="M46" i="50" s="1"/>
  <c r="M5" i="47"/>
  <c r="M47" i="47" s="1"/>
  <c r="M5" i="45"/>
  <c r="M47" i="45" s="1"/>
  <c r="M5" i="43"/>
  <c r="M46" i="43" s="1"/>
  <c r="M5" i="38"/>
  <c r="M46" i="38" s="1"/>
  <c r="M5" i="23"/>
  <c r="M5" i="15"/>
  <c r="M46" i="15" s="1"/>
  <c r="M5" i="13"/>
  <c r="M46" i="13" s="1"/>
  <c r="M5" i="11"/>
  <c r="M46" i="11" s="1"/>
  <c r="M5" i="10"/>
  <c r="M46" i="10" s="1"/>
  <c r="M5" i="12"/>
  <c r="M47" i="12" s="1"/>
  <c r="H7" i="38"/>
  <c r="H48" i="38" s="1"/>
  <c r="L4" i="50"/>
  <c r="L45" i="50" s="1"/>
  <c r="L4" i="47"/>
  <c r="L46" i="47" s="1"/>
  <c r="L4" i="45"/>
  <c r="L46" i="45" s="1"/>
  <c r="L4" i="43"/>
  <c r="L45" i="43" s="1"/>
  <c r="L4" i="38"/>
  <c r="L45" i="38" s="1"/>
  <c r="L4" i="15"/>
  <c r="L45" i="15" s="1"/>
  <c r="L4" i="11"/>
  <c r="L45" i="11" s="1"/>
  <c r="L4" i="13"/>
  <c r="L45" i="13" s="1"/>
  <c r="L4" i="23"/>
  <c r="L4" i="12"/>
  <c r="L46" i="12" s="1"/>
  <c r="L4" i="10"/>
  <c r="L45" i="10" s="1"/>
  <c r="M3" i="50"/>
  <c r="M44" i="50" s="1"/>
  <c r="M3" i="47"/>
  <c r="M45" i="47" s="1"/>
  <c r="M3" i="45"/>
  <c r="M45" i="45" s="1"/>
  <c r="M3" i="15"/>
  <c r="M44" i="15" s="1"/>
  <c r="M3" i="13"/>
  <c r="M44" i="13" s="1"/>
  <c r="L8" i="50"/>
  <c r="L52" i="50" s="1"/>
  <c r="L8" i="45"/>
  <c r="L53" i="45" s="1"/>
  <c r="L8" i="47"/>
  <c r="L53" i="47" s="1"/>
  <c r="L8" i="43"/>
  <c r="L52" i="43" s="1"/>
  <c r="L8" i="38"/>
  <c r="L52" i="38" s="1"/>
  <c r="L8" i="23"/>
  <c r="L53" i="23" s="1"/>
  <c r="L8" i="15"/>
  <c r="L52" i="15" s="1"/>
  <c r="L8" i="13"/>
  <c r="L52" i="13" s="1"/>
  <c r="L8" i="10"/>
  <c r="L8" i="12"/>
  <c r="L53" i="12" s="1"/>
  <c r="L8" i="11"/>
  <c r="L52" i="11" s="1"/>
  <c r="G63" i="58" l="1"/>
  <c r="G62" i="61"/>
  <c r="G74" i="61" s="1"/>
  <c r="G75" i="61" s="1"/>
  <c r="G33" i="17"/>
  <c r="G34" i="17" s="1"/>
  <c r="F63" i="58"/>
  <c r="F62" i="61"/>
  <c r="F74" i="61" s="1"/>
  <c r="F75" i="61" s="1"/>
  <c r="F33" i="17"/>
  <c r="F34" i="17" s="1"/>
  <c r="F63" i="12"/>
  <c r="F75" i="12" s="1"/>
  <c r="E79" i="58"/>
  <c r="F63" i="61"/>
  <c r="F78" i="61" s="1"/>
  <c r="F37" i="17"/>
  <c r="F63" i="23"/>
  <c r="D83" i="61"/>
  <c r="D84" i="61" s="1"/>
  <c r="F62" i="10"/>
  <c r="F74" i="10" s="1"/>
  <c r="F61" i="61"/>
  <c r="F77" i="61" s="1"/>
  <c r="F79" i="61" s="1"/>
  <c r="F36" i="17"/>
  <c r="E38" i="17"/>
  <c r="E44" i="17" s="1"/>
  <c r="E79" i="61"/>
  <c r="E53" i="18"/>
  <c r="C53" i="18"/>
  <c r="I47" i="18"/>
  <c r="I56" i="18" s="1"/>
  <c r="G46" i="18"/>
  <c r="G54" i="18"/>
  <c r="G55" i="18"/>
  <c r="D84" i="47"/>
  <c r="D85" i="47" s="1"/>
  <c r="AQ30" i="18"/>
  <c r="AQ8" i="18"/>
  <c r="AA51" i="18" s="1"/>
  <c r="I7" i="58"/>
  <c r="I49" i="58" s="1"/>
  <c r="I8" i="58"/>
  <c r="I53" i="58" s="1"/>
  <c r="H8" i="58"/>
  <c r="H53" i="58" s="1"/>
  <c r="H6" i="58"/>
  <c r="H48" i="58" s="1"/>
  <c r="H9" i="58"/>
  <c r="H54" i="58" s="1"/>
  <c r="H7" i="58"/>
  <c r="H49" i="58" s="1"/>
  <c r="D84" i="45"/>
  <c r="D85" i="45" s="1"/>
  <c r="D84" i="23"/>
  <c r="D85" i="23" s="1"/>
  <c r="F62" i="43"/>
  <c r="F74" i="43" s="1"/>
  <c r="F62" i="38"/>
  <c r="F74" i="38" s="1"/>
  <c r="F62" i="15"/>
  <c r="F62" i="50"/>
  <c r="F74" i="50" s="1"/>
  <c r="F62" i="13"/>
  <c r="F74" i="13" s="1"/>
  <c r="F63" i="45"/>
  <c r="F75" i="45" s="1"/>
  <c r="F62" i="11"/>
  <c r="F74" i="11" s="1"/>
  <c r="D83" i="13"/>
  <c r="D84" i="13" s="1"/>
  <c r="D84" i="12"/>
  <c r="D85" i="12" s="1"/>
  <c r="E79" i="13"/>
  <c r="E79" i="11"/>
  <c r="G79" i="58"/>
  <c r="G80" i="58" s="1"/>
  <c r="G75" i="58"/>
  <c r="G76" i="58" s="1"/>
  <c r="E80" i="58"/>
  <c r="F79" i="58"/>
  <c r="F80" i="58" s="1"/>
  <c r="F75" i="58"/>
  <c r="F76" i="58" s="1"/>
  <c r="D83" i="15"/>
  <c r="D84" i="15" s="1"/>
  <c r="E79" i="50"/>
  <c r="D83" i="50"/>
  <c r="D84" i="50" s="1"/>
  <c r="E80" i="47"/>
  <c r="E80" i="45"/>
  <c r="E79" i="43"/>
  <c r="D83" i="43"/>
  <c r="D84" i="43" s="1"/>
  <c r="E79" i="38"/>
  <c r="D83" i="38"/>
  <c r="D84" i="38" s="1"/>
  <c r="G58" i="18"/>
  <c r="E80" i="23"/>
  <c r="E79" i="15"/>
  <c r="G57" i="18"/>
  <c r="G59" i="18"/>
  <c r="G56" i="18"/>
  <c r="AQ6" i="18"/>
  <c r="AA49" i="18" s="1"/>
  <c r="E77" i="10"/>
  <c r="E79" i="10" s="1"/>
  <c r="H4" i="58"/>
  <c r="H46" i="58" s="1"/>
  <c r="H4" i="43"/>
  <c r="H45" i="43" s="1"/>
  <c r="H3" i="45"/>
  <c r="H45" i="45" s="1"/>
  <c r="H3" i="58"/>
  <c r="H45" i="58" s="1"/>
  <c r="G44" i="58"/>
  <c r="F64" i="58"/>
  <c r="F62" i="58"/>
  <c r="H6" i="43"/>
  <c r="H47" i="43" s="1"/>
  <c r="H9" i="11"/>
  <c r="H53" i="11" s="1"/>
  <c r="H9" i="12"/>
  <c r="H54" i="12" s="1"/>
  <c r="H9" i="43"/>
  <c r="H53" i="43" s="1"/>
  <c r="H9" i="15"/>
  <c r="H53" i="15" s="1"/>
  <c r="H9" i="45"/>
  <c r="H54" i="45" s="1"/>
  <c r="H9" i="13"/>
  <c r="H53" i="13" s="1"/>
  <c r="H9" i="47"/>
  <c r="H54" i="47" s="1"/>
  <c r="H9" i="23"/>
  <c r="H54" i="23" s="1"/>
  <c r="H9" i="50"/>
  <c r="H53" i="50" s="1"/>
  <c r="I9" i="58"/>
  <c r="I54" i="58" s="1"/>
  <c r="H6" i="23"/>
  <c r="H48" i="23" s="1"/>
  <c r="H6" i="10"/>
  <c r="H47" i="10" s="1"/>
  <c r="H6" i="15"/>
  <c r="H47" i="15" s="1"/>
  <c r="H4" i="45"/>
  <c r="H46" i="45" s="1"/>
  <c r="H4" i="11"/>
  <c r="H45" i="11" s="1"/>
  <c r="H4" i="10"/>
  <c r="H45" i="10" s="1"/>
  <c r="H4" i="50"/>
  <c r="H45" i="50" s="1"/>
  <c r="H4" i="13"/>
  <c r="H45" i="13" s="1"/>
  <c r="E74" i="43"/>
  <c r="H4" i="23"/>
  <c r="H46" i="23" s="1"/>
  <c r="H4" i="12"/>
  <c r="H46" i="12" s="1"/>
  <c r="H6" i="13"/>
  <c r="H47" i="13" s="1"/>
  <c r="H6" i="11"/>
  <c r="H47" i="11" s="1"/>
  <c r="H6" i="45"/>
  <c r="H48" i="45" s="1"/>
  <c r="H6" i="12"/>
  <c r="H48" i="12" s="1"/>
  <c r="H6" i="47"/>
  <c r="H48" i="47" s="1"/>
  <c r="H6" i="50"/>
  <c r="H47" i="50" s="1"/>
  <c r="H6" i="38"/>
  <c r="H47" i="38" s="1"/>
  <c r="F75" i="47"/>
  <c r="D67" i="10"/>
  <c r="D83" i="10" s="1"/>
  <c r="D84" i="10" s="1"/>
  <c r="D67" i="11"/>
  <c r="D83" i="11" s="1"/>
  <c r="D84" i="11" s="1"/>
  <c r="H7" i="10"/>
  <c r="H48" i="10" s="1"/>
  <c r="H7" i="13"/>
  <c r="H48" i="13" s="1"/>
  <c r="H7" i="43"/>
  <c r="H48" i="43" s="1"/>
  <c r="M10" i="12"/>
  <c r="M55" i="12" s="1"/>
  <c r="M10" i="38"/>
  <c r="M54" i="38" s="1"/>
  <c r="M10" i="45"/>
  <c r="M55" i="45" s="1"/>
  <c r="M9" i="47"/>
  <c r="M54" i="47" s="1"/>
  <c r="H7" i="11"/>
  <c r="H48" i="11" s="1"/>
  <c r="H7" i="12"/>
  <c r="H49" i="12" s="1"/>
  <c r="H7" i="45"/>
  <c r="H49" i="45" s="1"/>
  <c r="H7" i="15"/>
  <c r="H48" i="15" s="1"/>
  <c r="H7" i="23"/>
  <c r="H49" i="23" s="1"/>
  <c r="H7" i="50"/>
  <c r="H48" i="50" s="1"/>
  <c r="H7" i="47"/>
  <c r="H49" i="47" s="1"/>
  <c r="I6" i="58"/>
  <c r="I48" i="58" s="1"/>
  <c r="H4" i="38"/>
  <c r="H45" i="38" s="1"/>
  <c r="H4" i="47"/>
  <c r="H46" i="47" s="1"/>
  <c r="H4" i="15"/>
  <c r="H45" i="15" s="1"/>
  <c r="I4" i="43"/>
  <c r="I45" i="43" s="1"/>
  <c r="F75" i="23"/>
  <c r="E74" i="15"/>
  <c r="E74" i="13"/>
  <c r="E79" i="12"/>
  <c r="E80" i="12" s="1"/>
  <c r="E75" i="12"/>
  <c r="E75" i="45"/>
  <c r="F74" i="15"/>
  <c r="E73" i="10"/>
  <c r="G62" i="11"/>
  <c r="G63" i="47"/>
  <c r="G62" i="38"/>
  <c r="G62" i="43"/>
  <c r="G63" i="45"/>
  <c r="G62" i="50"/>
  <c r="G62" i="13"/>
  <c r="G63" i="23"/>
  <c r="G62" i="15"/>
  <c r="G63" i="12"/>
  <c r="E74" i="11"/>
  <c r="F63" i="10"/>
  <c r="F78" i="10" s="1"/>
  <c r="F63" i="11"/>
  <c r="F78" i="11" s="1"/>
  <c r="F63" i="50"/>
  <c r="F78" i="50" s="1"/>
  <c r="F64" i="47"/>
  <c r="F79" i="47" s="1"/>
  <c r="F63" i="38"/>
  <c r="F78" i="38" s="1"/>
  <c r="F64" i="45"/>
  <c r="F79" i="45" s="1"/>
  <c r="F63" i="43"/>
  <c r="F78" i="43" s="1"/>
  <c r="F63" i="13"/>
  <c r="F78" i="13" s="1"/>
  <c r="F63" i="15"/>
  <c r="F78" i="15" s="1"/>
  <c r="F64" i="12"/>
  <c r="F64" i="23"/>
  <c r="F79" i="23" s="1"/>
  <c r="E74" i="10"/>
  <c r="E71" i="11"/>
  <c r="F61" i="10"/>
  <c r="F77" i="10" s="1"/>
  <c r="F61" i="11"/>
  <c r="F77" i="11" s="1"/>
  <c r="F61" i="38"/>
  <c r="F77" i="38" s="1"/>
  <c r="F61" i="43"/>
  <c r="F77" i="43" s="1"/>
  <c r="F62" i="45"/>
  <c r="F78" i="45" s="1"/>
  <c r="F61" i="50"/>
  <c r="F77" i="50" s="1"/>
  <c r="F62" i="47"/>
  <c r="F78" i="47" s="1"/>
  <c r="F62" i="23"/>
  <c r="F78" i="23" s="1"/>
  <c r="F61" i="15"/>
  <c r="F77" i="15" s="1"/>
  <c r="F61" i="13"/>
  <c r="F77" i="13" s="1"/>
  <c r="F62" i="12"/>
  <c r="E74" i="47"/>
  <c r="E73" i="15"/>
  <c r="E73" i="43"/>
  <c r="E73" i="50"/>
  <c r="E75" i="50" s="1"/>
  <c r="E74" i="45"/>
  <c r="E74" i="23"/>
  <c r="E73" i="38"/>
  <c r="E73" i="11"/>
  <c r="F60" i="11"/>
  <c r="F61" i="47"/>
  <c r="F60" i="38"/>
  <c r="F60" i="43"/>
  <c r="F61" i="45"/>
  <c r="F61" i="23"/>
  <c r="F60" i="15"/>
  <c r="F60" i="50"/>
  <c r="F60" i="13"/>
  <c r="F61" i="12"/>
  <c r="F78" i="12" s="1"/>
  <c r="E73" i="13"/>
  <c r="E74" i="12"/>
  <c r="G20" i="17"/>
  <c r="F60" i="10"/>
  <c r="H3" i="23"/>
  <c r="H45" i="23" s="1"/>
  <c r="H3" i="13"/>
  <c r="H44" i="13" s="1"/>
  <c r="M3" i="23"/>
  <c r="H3" i="15"/>
  <c r="H44" i="15" s="1"/>
  <c r="H3" i="47"/>
  <c r="H45" i="47" s="1"/>
  <c r="M11" i="15"/>
  <c r="M55" i="15" s="1"/>
  <c r="M11" i="50"/>
  <c r="M55" i="50" s="1"/>
  <c r="H3" i="12"/>
  <c r="H45" i="12" s="1"/>
  <c r="H3" i="38"/>
  <c r="H44" i="38" s="1"/>
  <c r="M3" i="12"/>
  <c r="M45" i="12" s="1"/>
  <c r="M11" i="11"/>
  <c r="M55" i="11" s="1"/>
  <c r="M11" i="38"/>
  <c r="M55" i="38" s="1"/>
  <c r="H3" i="11"/>
  <c r="H44" i="11" s="1"/>
  <c r="H3" i="10"/>
  <c r="H44" i="10" s="1"/>
  <c r="H3" i="50"/>
  <c r="H44" i="50" s="1"/>
  <c r="M3" i="38"/>
  <c r="M44" i="38" s="1"/>
  <c r="M3" i="10"/>
  <c r="M44" i="10" s="1"/>
  <c r="M3" i="11"/>
  <c r="M44" i="11" s="1"/>
  <c r="M11" i="12"/>
  <c r="M56" i="12" s="1"/>
  <c r="H3" i="43"/>
  <c r="H44" i="43" s="1"/>
  <c r="L52" i="10"/>
  <c r="L44" i="10"/>
  <c r="G44" i="10"/>
  <c r="H19" i="17"/>
  <c r="G62" i="10"/>
  <c r="M10" i="11"/>
  <c r="M54" i="11" s="1"/>
  <c r="M10" i="43"/>
  <c r="M54" i="43" s="1"/>
  <c r="M10" i="15"/>
  <c r="M54" i="15" s="1"/>
  <c r="M10" i="47"/>
  <c r="M55" i="47" s="1"/>
  <c r="M10" i="13"/>
  <c r="M54" i="13" s="1"/>
  <c r="M10" i="50"/>
  <c r="M54" i="50" s="1"/>
  <c r="M10" i="23"/>
  <c r="M55" i="23" s="1"/>
  <c r="H8" i="47"/>
  <c r="H53" i="47" s="1"/>
  <c r="M10" i="10"/>
  <c r="M54" i="10" s="1"/>
  <c r="H8" i="13"/>
  <c r="H52" i="13" s="1"/>
  <c r="M9" i="50"/>
  <c r="M53" i="50" s="1"/>
  <c r="M9" i="12"/>
  <c r="M54" i="12" s="1"/>
  <c r="H8" i="43"/>
  <c r="H52" i="43" s="1"/>
  <c r="H12" i="12"/>
  <c r="H57" i="12" s="1"/>
  <c r="H12" i="38"/>
  <c r="H56" i="38" s="1"/>
  <c r="H12" i="23"/>
  <c r="H57" i="23" s="1"/>
  <c r="H12" i="50"/>
  <c r="H56" i="50" s="1"/>
  <c r="H12" i="11"/>
  <c r="H56" i="11" s="1"/>
  <c r="H12" i="47"/>
  <c r="H57" i="47" s="1"/>
  <c r="H12" i="15"/>
  <c r="H56" i="15" s="1"/>
  <c r="H12" i="43"/>
  <c r="H56" i="43" s="1"/>
  <c r="H12" i="10"/>
  <c r="H56" i="10" s="1"/>
  <c r="H12" i="45"/>
  <c r="H57" i="45" s="1"/>
  <c r="H12" i="13"/>
  <c r="H56" i="13" s="1"/>
  <c r="I12" i="58"/>
  <c r="I57" i="58" s="1"/>
  <c r="M9" i="13"/>
  <c r="M53" i="13" s="1"/>
  <c r="H8" i="50"/>
  <c r="H52" i="50" s="1"/>
  <c r="H8" i="10"/>
  <c r="M9" i="23"/>
  <c r="M54" i="23" s="1"/>
  <c r="H8" i="23"/>
  <c r="H53" i="23" s="1"/>
  <c r="H8" i="45"/>
  <c r="H53" i="45" s="1"/>
  <c r="H8" i="11"/>
  <c r="H52" i="11" s="1"/>
  <c r="H8" i="12"/>
  <c r="H53" i="12" s="1"/>
  <c r="H2" i="10"/>
  <c r="H42" i="10" s="1"/>
  <c r="H43" i="10" s="1"/>
  <c r="H2" i="47"/>
  <c r="H43" i="47" s="1"/>
  <c r="H44" i="47" s="1"/>
  <c r="H2" i="15"/>
  <c r="H42" i="15" s="1"/>
  <c r="H43" i="15" s="1"/>
  <c r="H2" i="45"/>
  <c r="H43" i="45" s="1"/>
  <c r="H44" i="45" s="1"/>
  <c r="H2" i="12"/>
  <c r="H43" i="12" s="1"/>
  <c r="H44" i="12" s="1"/>
  <c r="H2" i="50"/>
  <c r="H42" i="50" s="1"/>
  <c r="H43" i="50" s="1"/>
  <c r="I2" i="58"/>
  <c r="I43" i="58" s="1"/>
  <c r="I44" i="58" s="1"/>
  <c r="H2" i="43"/>
  <c r="H42" i="43" s="1"/>
  <c r="H43" i="43" s="1"/>
  <c r="H2" i="13"/>
  <c r="H42" i="13" s="1"/>
  <c r="H43" i="13" s="1"/>
  <c r="H2" i="38"/>
  <c r="H42" i="38" s="1"/>
  <c r="H43" i="38" s="1"/>
  <c r="H2" i="11"/>
  <c r="H42" i="11" s="1"/>
  <c r="H43" i="11" s="1"/>
  <c r="H2" i="23"/>
  <c r="H43" i="23" s="1"/>
  <c r="H44" i="23" s="1"/>
  <c r="M9" i="38"/>
  <c r="M53" i="38" s="1"/>
  <c r="M9" i="43"/>
  <c r="M53" i="43" s="1"/>
  <c r="H8" i="15"/>
  <c r="H52" i="15" s="1"/>
  <c r="H8" i="38"/>
  <c r="H52" i="38" s="1"/>
  <c r="N9" i="38"/>
  <c r="N53" i="38" s="1"/>
  <c r="M9" i="15"/>
  <c r="M53" i="15" s="1"/>
  <c r="M9" i="45"/>
  <c r="M54" i="45" s="1"/>
  <c r="M9" i="10"/>
  <c r="M53" i="10" s="1"/>
  <c r="M9" i="11"/>
  <c r="M53" i="11" s="1"/>
  <c r="I8" i="13"/>
  <c r="I52" i="13" s="1"/>
  <c r="I7" i="50"/>
  <c r="I48" i="50" s="1"/>
  <c r="I7" i="47"/>
  <c r="I49" i="47" s="1"/>
  <c r="I7" i="45"/>
  <c r="I49" i="45" s="1"/>
  <c r="I7" i="43"/>
  <c r="I48" i="43" s="1"/>
  <c r="I7" i="38"/>
  <c r="I48" i="38" s="1"/>
  <c r="I7" i="23"/>
  <c r="I49" i="23" s="1"/>
  <c r="I7" i="13"/>
  <c r="I48" i="13" s="1"/>
  <c r="I7" i="15"/>
  <c r="I48" i="15" s="1"/>
  <c r="I7" i="12"/>
  <c r="I49" i="12" s="1"/>
  <c r="I7" i="11"/>
  <c r="I48" i="11" s="1"/>
  <c r="I7" i="10"/>
  <c r="I48" i="10" s="1"/>
  <c r="O6" i="50"/>
  <c r="O47" i="50" s="1"/>
  <c r="O6" i="45"/>
  <c r="O6" i="47"/>
  <c r="O48" i="47" s="1"/>
  <c r="O6" i="43"/>
  <c r="O47" i="43" s="1"/>
  <c r="O6" i="38"/>
  <c r="O47" i="38" s="1"/>
  <c r="O6" i="13"/>
  <c r="O47" i="13" s="1"/>
  <c r="O6" i="23"/>
  <c r="O6" i="15"/>
  <c r="O47" i="15" s="1"/>
  <c r="O6" i="12"/>
  <c r="O48" i="12" s="1"/>
  <c r="O6" i="11"/>
  <c r="O47" i="11" s="1"/>
  <c r="O6" i="10"/>
  <c r="O47" i="10" s="1"/>
  <c r="H11" i="50"/>
  <c r="H55" i="50" s="1"/>
  <c r="H11" i="47"/>
  <c r="H56" i="47" s="1"/>
  <c r="H11" i="45"/>
  <c r="H56" i="45" s="1"/>
  <c r="H11" i="43"/>
  <c r="H55" i="43" s="1"/>
  <c r="H11" i="38"/>
  <c r="H55" i="38" s="1"/>
  <c r="H11" i="13"/>
  <c r="H55" i="13" s="1"/>
  <c r="H11" i="15"/>
  <c r="H55" i="15" s="1"/>
  <c r="H11" i="12"/>
  <c r="H56" i="12" s="1"/>
  <c r="H11" i="11"/>
  <c r="H55" i="11" s="1"/>
  <c r="H11" i="23"/>
  <c r="H56" i="23" s="1"/>
  <c r="I11" i="58"/>
  <c r="I56" i="58" s="1"/>
  <c r="H11" i="10"/>
  <c r="H55" i="10" s="1"/>
  <c r="N10" i="50"/>
  <c r="N54" i="50" s="1"/>
  <c r="N10" i="47"/>
  <c r="N55" i="47" s="1"/>
  <c r="N10" i="45"/>
  <c r="N55" i="45" s="1"/>
  <c r="N10" i="43"/>
  <c r="N54" i="43" s="1"/>
  <c r="N10" i="38"/>
  <c r="N54" i="38" s="1"/>
  <c r="N10" i="23"/>
  <c r="N55" i="23" s="1"/>
  <c r="N10" i="15"/>
  <c r="N54" i="15" s="1"/>
  <c r="N10" i="13"/>
  <c r="N54" i="13" s="1"/>
  <c r="N10" i="12"/>
  <c r="N55" i="12" s="1"/>
  <c r="N10" i="10"/>
  <c r="N54" i="10" s="1"/>
  <c r="N10" i="11"/>
  <c r="N54" i="11" s="1"/>
  <c r="M8" i="50"/>
  <c r="M52" i="50" s="1"/>
  <c r="M8" i="47"/>
  <c r="M53" i="47" s="1"/>
  <c r="M8" i="45"/>
  <c r="M53" i="45" s="1"/>
  <c r="M8" i="43"/>
  <c r="M52" i="43" s="1"/>
  <c r="M8" i="38"/>
  <c r="M52" i="38" s="1"/>
  <c r="M8" i="15"/>
  <c r="M52" i="15" s="1"/>
  <c r="M8" i="23"/>
  <c r="M53" i="23" s="1"/>
  <c r="M8" i="13"/>
  <c r="M52" i="13" s="1"/>
  <c r="M8" i="12"/>
  <c r="M53" i="12" s="1"/>
  <c r="M8" i="11"/>
  <c r="M52" i="11" s="1"/>
  <c r="M8" i="10"/>
  <c r="M4" i="50"/>
  <c r="M45" i="50" s="1"/>
  <c r="M4" i="47"/>
  <c r="M46" i="47" s="1"/>
  <c r="M4" i="45"/>
  <c r="M46" i="45" s="1"/>
  <c r="M4" i="43"/>
  <c r="M45" i="43" s="1"/>
  <c r="M4" i="38"/>
  <c r="M45" i="38" s="1"/>
  <c r="M4" i="15"/>
  <c r="M45" i="15" s="1"/>
  <c r="M4" i="23"/>
  <c r="M4" i="12"/>
  <c r="M46" i="12" s="1"/>
  <c r="M4" i="11"/>
  <c r="M45" i="11" s="1"/>
  <c r="M4" i="13"/>
  <c r="M45" i="13" s="1"/>
  <c r="M4" i="10"/>
  <c r="M45" i="10" s="1"/>
  <c r="H10" i="50"/>
  <c r="H54" i="50" s="1"/>
  <c r="H10" i="47"/>
  <c r="H55" i="47" s="1"/>
  <c r="H10" i="45"/>
  <c r="H55" i="45" s="1"/>
  <c r="H10" i="43"/>
  <c r="H54" i="43" s="1"/>
  <c r="H10" i="38"/>
  <c r="H54" i="38" s="1"/>
  <c r="H10" i="15"/>
  <c r="H54" i="15" s="1"/>
  <c r="H10" i="23"/>
  <c r="H55" i="23" s="1"/>
  <c r="H10" i="13"/>
  <c r="H54" i="13" s="1"/>
  <c r="H10" i="11"/>
  <c r="H54" i="11" s="1"/>
  <c r="H10" i="10"/>
  <c r="H54" i="10" s="1"/>
  <c r="I10" i="58"/>
  <c r="I55" i="58" s="1"/>
  <c r="H10" i="12"/>
  <c r="H55" i="12" s="1"/>
  <c r="H5" i="50"/>
  <c r="H46" i="50" s="1"/>
  <c r="H5" i="45"/>
  <c r="H47" i="45" s="1"/>
  <c r="H5" i="47"/>
  <c r="H47" i="47" s="1"/>
  <c r="H5" i="43"/>
  <c r="H46" i="43" s="1"/>
  <c r="H5" i="38"/>
  <c r="H46" i="38" s="1"/>
  <c r="H5" i="15"/>
  <c r="H46" i="15" s="1"/>
  <c r="H5" i="12"/>
  <c r="H47" i="12" s="1"/>
  <c r="H5" i="11"/>
  <c r="H46" i="11" s="1"/>
  <c r="H5" i="13"/>
  <c r="H46" i="13" s="1"/>
  <c r="H5" i="23"/>
  <c r="H47" i="23" s="1"/>
  <c r="H5" i="10"/>
  <c r="H46" i="10" s="1"/>
  <c r="I5" i="58"/>
  <c r="I47" i="58" s="1"/>
  <c r="I9" i="45"/>
  <c r="I54" i="45" s="1"/>
  <c r="I9" i="38"/>
  <c r="I53" i="38" s="1"/>
  <c r="I9" i="23"/>
  <c r="I54" i="23" s="1"/>
  <c r="I9" i="10"/>
  <c r="I53" i="10" s="1"/>
  <c r="I9" i="12"/>
  <c r="I54" i="12" s="1"/>
  <c r="M7" i="50"/>
  <c r="M48" i="50" s="1"/>
  <c r="M7" i="47"/>
  <c r="M49" i="47" s="1"/>
  <c r="M7" i="45"/>
  <c r="M49" i="45" s="1"/>
  <c r="M7" i="43"/>
  <c r="M48" i="43" s="1"/>
  <c r="M7" i="38"/>
  <c r="M48" i="38" s="1"/>
  <c r="M7" i="23"/>
  <c r="M7" i="15"/>
  <c r="M48" i="15" s="1"/>
  <c r="M7" i="13"/>
  <c r="M48" i="13" s="1"/>
  <c r="M7" i="10"/>
  <c r="M48" i="10" s="1"/>
  <c r="M7" i="12"/>
  <c r="M49" i="12" s="1"/>
  <c r="M7" i="11"/>
  <c r="M48" i="11" s="1"/>
  <c r="N3" i="50"/>
  <c r="N44" i="50" s="1"/>
  <c r="N3" i="45"/>
  <c r="N45" i="45" s="1"/>
  <c r="N3" i="47"/>
  <c r="N45" i="47" s="1"/>
  <c r="N3" i="43"/>
  <c r="N44" i="43" s="1"/>
  <c r="N3" i="38"/>
  <c r="N44" i="38" s="1"/>
  <c r="N3" i="23"/>
  <c r="N3" i="15"/>
  <c r="N44" i="15" s="1"/>
  <c r="N3" i="12"/>
  <c r="N45" i="12" s="1"/>
  <c r="N3" i="13"/>
  <c r="N44" i="13" s="1"/>
  <c r="N3" i="11"/>
  <c r="N44" i="11" s="1"/>
  <c r="N3" i="10"/>
  <c r="N9" i="11"/>
  <c r="N53" i="11" s="1"/>
  <c r="N5" i="50"/>
  <c r="N46" i="50" s="1"/>
  <c r="N5" i="47"/>
  <c r="N47" i="47" s="1"/>
  <c r="N5" i="43"/>
  <c r="N46" i="43" s="1"/>
  <c r="N5" i="45"/>
  <c r="N47" i="45" s="1"/>
  <c r="N5" i="38"/>
  <c r="N46" i="38" s="1"/>
  <c r="N5" i="15"/>
  <c r="N46" i="15" s="1"/>
  <c r="N5" i="13"/>
  <c r="N46" i="13" s="1"/>
  <c r="N5" i="23"/>
  <c r="N5" i="12"/>
  <c r="N47" i="12" s="1"/>
  <c r="N5" i="11"/>
  <c r="N46" i="11" s="1"/>
  <c r="N5" i="10"/>
  <c r="N46" i="10" s="1"/>
  <c r="G18" i="17"/>
  <c r="I6" i="13"/>
  <c r="I47" i="13" s="1"/>
  <c r="M12" i="50"/>
  <c r="M56" i="50" s="1"/>
  <c r="M12" i="45"/>
  <c r="M57" i="45" s="1"/>
  <c r="M12" i="47"/>
  <c r="M57" i="47" s="1"/>
  <c r="M12" i="43"/>
  <c r="M56" i="43" s="1"/>
  <c r="M12" i="38"/>
  <c r="M56" i="38" s="1"/>
  <c r="M12" i="23"/>
  <c r="M57" i="23" s="1"/>
  <c r="M12" i="13"/>
  <c r="M56" i="13" s="1"/>
  <c r="M12" i="15"/>
  <c r="M56" i="15" s="1"/>
  <c r="M12" i="12"/>
  <c r="M57" i="12" s="1"/>
  <c r="M12" i="11"/>
  <c r="M56" i="11" s="1"/>
  <c r="M12" i="10"/>
  <c r="M56" i="10" s="1"/>
  <c r="I59" i="18" l="1"/>
  <c r="I57" i="18"/>
  <c r="F38" i="17"/>
  <c r="F44" i="17" s="1"/>
  <c r="H63" i="58"/>
  <c r="H62" i="61"/>
  <c r="H74" i="61" s="1"/>
  <c r="H75" i="61" s="1"/>
  <c r="H33" i="17"/>
  <c r="H34" i="17" s="1"/>
  <c r="F79" i="12"/>
  <c r="F83" i="61"/>
  <c r="F84" i="61" s="1"/>
  <c r="G63" i="61"/>
  <c r="G78" i="61" s="1"/>
  <c r="G37" i="17"/>
  <c r="G61" i="61"/>
  <c r="G77" i="61" s="1"/>
  <c r="G36" i="17"/>
  <c r="E83" i="61"/>
  <c r="E84" i="61" s="1"/>
  <c r="K47" i="18"/>
  <c r="I46" i="18"/>
  <c r="I55" i="18"/>
  <c r="I54" i="18"/>
  <c r="I58" i="18"/>
  <c r="I6" i="23"/>
  <c r="I48" i="23" s="1"/>
  <c r="I9" i="13"/>
  <c r="I53" i="13" s="1"/>
  <c r="I9" i="43"/>
  <c r="I53" i="43" s="1"/>
  <c r="I6" i="50"/>
  <c r="I47" i="50" s="1"/>
  <c r="I9" i="15"/>
  <c r="I53" i="15" s="1"/>
  <c r="I9" i="50"/>
  <c r="I53" i="50" s="1"/>
  <c r="I8" i="15"/>
  <c r="I52" i="15" s="1"/>
  <c r="I6" i="47"/>
  <c r="I48" i="47" s="1"/>
  <c r="I9" i="11"/>
  <c r="I53" i="11" s="1"/>
  <c r="I9" i="47"/>
  <c r="I54" i="47" s="1"/>
  <c r="I6" i="15"/>
  <c r="I47" i="15" s="1"/>
  <c r="I6" i="10"/>
  <c r="I47" i="10" s="1"/>
  <c r="I6" i="38"/>
  <c r="I47" i="38" s="1"/>
  <c r="I6" i="11"/>
  <c r="I47" i="11" s="1"/>
  <c r="I6" i="45"/>
  <c r="I48" i="45" s="1"/>
  <c r="I6" i="12"/>
  <c r="I48" i="12" s="1"/>
  <c r="I6" i="43"/>
  <c r="I47" i="43" s="1"/>
  <c r="I8" i="45"/>
  <c r="I53" i="45" s="1"/>
  <c r="I8" i="50"/>
  <c r="I52" i="50" s="1"/>
  <c r="I8" i="23"/>
  <c r="I53" i="23" s="1"/>
  <c r="I8" i="38"/>
  <c r="I52" i="38" s="1"/>
  <c r="I8" i="47"/>
  <c r="I53" i="47" s="1"/>
  <c r="I4" i="13"/>
  <c r="I45" i="13" s="1"/>
  <c r="I8" i="11"/>
  <c r="I52" i="11" s="1"/>
  <c r="I8" i="10"/>
  <c r="I52" i="10" s="1"/>
  <c r="I8" i="12"/>
  <c r="I53" i="12" s="1"/>
  <c r="I8" i="43"/>
  <c r="I52" i="43" s="1"/>
  <c r="F84" i="58"/>
  <c r="F85" i="58" s="1"/>
  <c r="F79" i="15"/>
  <c r="G84" i="58"/>
  <c r="G85" i="58" s="1"/>
  <c r="H79" i="58"/>
  <c r="H80" i="58" s="1"/>
  <c r="H75" i="58"/>
  <c r="G62" i="58"/>
  <c r="F79" i="11"/>
  <c r="E84" i="58"/>
  <c r="E85" i="58" s="1"/>
  <c r="F79" i="50"/>
  <c r="E83" i="50"/>
  <c r="E84" i="50" s="1"/>
  <c r="F80" i="47"/>
  <c r="F80" i="45"/>
  <c r="F79" i="43"/>
  <c r="F79" i="38"/>
  <c r="F80" i="23"/>
  <c r="F79" i="13"/>
  <c r="F80" i="12"/>
  <c r="F79" i="10"/>
  <c r="AQ28" i="18"/>
  <c r="I4" i="58"/>
  <c r="I46" i="58" s="1"/>
  <c r="I3" i="58"/>
  <c r="I45" i="58" s="1"/>
  <c r="G64" i="58"/>
  <c r="H20" i="17"/>
  <c r="I4" i="10"/>
  <c r="I45" i="10" s="1"/>
  <c r="I4" i="38"/>
  <c r="I45" i="38" s="1"/>
  <c r="I4" i="11"/>
  <c r="I45" i="11" s="1"/>
  <c r="I4" i="12"/>
  <c r="I46" i="12" s="1"/>
  <c r="I4" i="45"/>
  <c r="I46" i="45" s="1"/>
  <c r="I4" i="23"/>
  <c r="I46" i="23" s="1"/>
  <c r="I4" i="47"/>
  <c r="I46" i="47" s="1"/>
  <c r="I4" i="15"/>
  <c r="I45" i="15" s="1"/>
  <c r="I4" i="50"/>
  <c r="I45" i="50" s="1"/>
  <c r="E67" i="10"/>
  <c r="E75" i="10"/>
  <c r="G75" i="47"/>
  <c r="G74" i="50"/>
  <c r="G75" i="45"/>
  <c r="G74" i="43"/>
  <c r="G74" i="38"/>
  <c r="G75" i="23"/>
  <c r="G74" i="15"/>
  <c r="G74" i="13"/>
  <c r="G75" i="12"/>
  <c r="G79" i="12"/>
  <c r="G74" i="11"/>
  <c r="G74" i="10"/>
  <c r="N9" i="12"/>
  <c r="N54" i="12" s="1"/>
  <c r="N9" i="43"/>
  <c r="N53" i="43" s="1"/>
  <c r="N9" i="15"/>
  <c r="N53" i="15" s="1"/>
  <c r="N9" i="45"/>
  <c r="N54" i="45" s="1"/>
  <c r="F71" i="11"/>
  <c r="N9" i="47"/>
  <c r="N54" i="47" s="1"/>
  <c r="G63" i="10"/>
  <c r="G78" i="10" s="1"/>
  <c r="G63" i="11"/>
  <c r="G78" i="11" s="1"/>
  <c r="G63" i="50"/>
  <c r="G78" i="50" s="1"/>
  <c r="G64" i="47"/>
  <c r="G79" i="47" s="1"/>
  <c r="G63" i="38"/>
  <c r="G78" i="38" s="1"/>
  <c r="G63" i="43"/>
  <c r="G78" i="43" s="1"/>
  <c r="G64" i="45"/>
  <c r="G79" i="45" s="1"/>
  <c r="G63" i="13"/>
  <c r="G78" i="13" s="1"/>
  <c r="G64" i="23"/>
  <c r="G79" i="23" s="1"/>
  <c r="G64" i="12"/>
  <c r="G63" i="15"/>
  <c r="G78" i="15" s="1"/>
  <c r="N9" i="23"/>
  <c r="N54" i="23" s="1"/>
  <c r="N9" i="50"/>
  <c r="N53" i="50" s="1"/>
  <c r="F71" i="10"/>
  <c r="N9" i="13"/>
  <c r="N53" i="13" s="1"/>
  <c r="H62" i="11"/>
  <c r="H62" i="38"/>
  <c r="H62" i="43"/>
  <c r="H63" i="45"/>
  <c r="H62" i="50"/>
  <c r="H63" i="23"/>
  <c r="H62" i="15"/>
  <c r="H63" i="47"/>
  <c r="H62" i="13"/>
  <c r="H63" i="12"/>
  <c r="G61" i="10"/>
  <c r="G77" i="10" s="1"/>
  <c r="G61" i="11"/>
  <c r="G77" i="11" s="1"/>
  <c r="G61" i="43"/>
  <c r="G77" i="43" s="1"/>
  <c r="G62" i="45"/>
  <c r="G78" i="45" s="1"/>
  <c r="G62" i="47"/>
  <c r="G78" i="47" s="1"/>
  <c r="G62" i="23"/>
  <c r="G78" i="23" s="1"/>
  <c r="G61" i="15"/>
  <c r="G77" i="15" s="1"/>
  <c r="G61" i="50"/>
  <c r="G77" i="50" s="1"/>
  <c r="G61" i="13"/>
  <c r="G77" i="13" s="1"/>
  <c r="G61" i="38"/>
  <c r="G77" i="38" s="1"/>
  <c r="G62" i="12"/>
  <c r="N9" i="10"/>
  <c r="N53" i="10" s="1"/>
  <c r="F73" i="50"/>
  <c r="F75" i="50" s="1"/>
  <c r="E67" i="11"/>
  <c r="F73" i="10"/>
  <c r="F75" i="10" s="1"/>
  <c r="E76" i="12"/>
  <c r="F73" i="13"/>
  <c r="F75" i="13" s="1"/>
  <c r="F73" i="38"/>
  <c r="F75" i="38" s="1"/>
  <c r="E76" i="23"/>
  <c r="E84" i="23" s="1"/>
  <c r="E85" i="23" s="1"/>
  <c r="E75" i="43"/>
  <c r="E83" i="43" s="1"/>
  <c r="E84" i="43" s="1"/>
  <c r="F74" i="45"/>
  <c r="F76" i="45" s="1"/>
  <c r="H60" i="10"/>
  <c r="G60" i="11"/>
  <c r="G60" i="43"/>
  <c r="G61" i="45"/>
  <c r="G60" i="50"/>
  <c r="G60" i="13"/>
  <c r="G61" i="23"/>
  <c r="G60" i="38"/>
  <c r="G61" i="12"/>
  <c r="G78" i="12" s="1"/>
  <c r="G61" i="47"/>
  <c r="G60" i="15"/>
  <c r="E75" i="13"/>
  <c r="E83" i="13" s="1"/>
  <c r="E84" i="13" s="1"/>
  <c r="F73" i="15"/>
  <c r="F75" i="15" s="1"/>
  <c r="F74" i="47"/>
  <c r="F76" i="47" s="1"/>
  <c r="F73" i="11"/>
  <c r="F75" i="11" s="1"/>
  <c r="F67" i="11"/>
  <c r="E75" i="11"/>
  <c r="E75" i="38"/>
  <c r="E83" i="38" s="1"/>
  <c r="E84" i="38" s="1"/>
  <c r="E76" i="45"/>
  <c r="E84" i="45" s="1"/>
  <c r="E85" i="45" s="1"/>
  <c r="E75" i="15"/>
  <c r="E83" i="15" s="1"/>
  <c r="E84" i="15" s="1"/>
  <c r="E76" i="47"/>
  <c r="E84" i="47" s="1"/>
  <c r="E85" i="47" s="1"/>
  <c r="E68" i="12"/>
  <c r="F74" i="12"/>
  <c r="F68" i="12"/>
  <c r="F74" i="23"/>
  <c r="F76" i="23" s="1"/>
  <c r="F73" i="43"/>
  <c r="F75" i="43" s="1"/>
  <c r="F67" i="10"/>
  <c r="G60" i="10"/>
  <c r="I3" i="13"/>
  <c r="I44" i="13" s="1"/>
  <c r="I3" i="50"/>
  <c r="I44" i="50" s="1"/>
  <c r="I3" i="11"/>
  <c r="I44" i="11" s="1"/>
  <c r="I3" i="47"/>
  <c r="I45" i="47" s="1"/>
  <c r="I3" i="45"/>
  <c r="I45" i="45" s="1"/>
  <c r="N11" i="11"/>
  <c r="N55" i="11" s="1"/>
  <c r="N11" i="38"/>
  <c r="N55" i="38" s="1"/>
  <c r="N11" i="12"/>
  <c r="N56" i="12" s="1"/>
  <c r="N11" i="43"/>
  <c r="N55" i="43" s="1"/>
  <c r="I3" i="10"/>
  <c r="I44" i="10" s="1"/>
  <c r="I3" i="15"/>
  <c r="I44" i="15" s="1"/>
  <c r="N11" i="45"/>
  <c r="N56" i="45" s="1"/>
  <c r="I3" i="23"/>
  <c r="I45" i="23" s="1"/>
  <c r="N11" i="13"/>
  <c r="N55" i="13" s="1"/>
  <c r="N11" i="23"/>
  <c r="N56" i="23" s="1"/>
  <c r="N11" i="47"/>
  <c r="N56" i="47" s="1"/>
  <c r="I3" i="38"/>
  <c r="I44" i="38" s="1"/>
  <c r="N11" i="10"/>
  <c r="N55" i="10" s="1"/>
  <c r="N11" i="15"/>
  <c r="N55" i="15" s="1"/>
  <c r="N11" i="50"/>
  <c r="N55" i="50" s="1"/>
  <c r="I3" i="43"/>
  <c r="I44" i="43" s="1"/>
  <c r="I3" i="12"/>
  <c r="I45" i="12" s="1"/>
  <c r="H52" i="10"/>
  <c r="I19" i="17"/>
  <c r="H62" i="10"/>
  <c r="N44" i="10"/>
  <c r="M52" i="10"/>
  <c r="I12" i="47"/>
  <c r="I57" i="47" s="1"/>
  <c r="I12" i="23"/>
  <c r="I57" i="23" s="1"/>
  <c r="I12" i="43"/>
  <c r="I56" i="43" s="1"/>
  <c r="I12" i="13"/>
  <c r="I56" i="13" s="1"/>
  <c r="I12" i="50"/>
  <c r="I56" i="50" s="1"/>
  <c r="I12" i="45"/>
  <c r="I57" i="45" s="1"/>
  <c r="I12" i="12"/>
  <c r="I57" i="12" s="1"/>
  <c r="I12" i="15"/>
  <c r="I56" i="15" s="1"/>
  <c r="I12" i="11"/>
  <c r="I56" i="11" s="1"/>
  <c r="I12" i="38"/>
  <c r="I56" i="38" s="1"/>
  <c r="I12" i="10"/>
  <c r="I56" i="10" s="1"/>
  <c r="I2" i="10"/>
  <c r="I42" i="10" s="1"/>
  <c r="I43" i="10" s="1"/>
  <c r="I2" i="12"/>
  <c r="I43" i="12" s="1"/>
  <c r="I44" i="12" s="1"/>
  <c r="I2" i="11"/>
  <c r="I42" i="11" s="1"/>
  <c r="I43" i="11" s="1"/>
  <c r="I2" i="43"/>
  <c r="I42" i="43" s="1"/>
  <c r="I43" i="43" s="1"/>
  <c r="I2" i="47"/>
  <c r="I43" i="47" s="1"/>
  <c r="I44" i="47" s="1"/>
  <c r="I2" i="13"/>
  <c r="I42" i="13" s="1"/>
  <c r="I43" i="13" s="1"/>
  <c r="I2" i="38"/>
  <c r="I42" i="38" s="1"/>
  <c r="I43" i="38" s="1"/>
  <c r="I2" i="50"/>
  <c r="I42" i="50" s="1"/>
  <c r="I43" i="50" s="1"/>
  <c r="I2" i="23"/>
  <c r="I43" i="23" s="1"/>
  <c r="I44" i="23" s="1"/>
  <c r="I2" i="45"/>
  <c r="I43" i="45" s="1"/>
  <c r="I44" i="45" s="1"/>
  <c r="I2" i="15"/>
  <c r="I42" i="15" s="1"/>
  <c r="I43" i="15" s="1"/>
  <c r="J2" i="58"/>
  <c r="J43" i="58" s="1"/>
  <c r="J44" i="58" s="1"/>
  <c r="O5" i="50"/>
  <c r="O46" i="50" s="1"/>
  <c r="O5" i="47"/>
  <c r="O47" i="47" s="1"/>
  <c r="O5" i="45"/>
  <c r="O5" i="43"/>
  <c r="O46" i="43" s="1"/>
  <c r="O5" i="38"/>
  <c r="O46" i="38" s="1"/>
  <c r="O5" i="23"/>
  <c r="O5" i="13"/>
  <c r="O46" i="13" s="1"/>
  <c r="O5" i="15"/>
  <c r="O46" i="15" s="1"/>
  <c r="O5" i="12"/>
  <c r="O47" i="12" s="1"/>
  <c r="O5" i="10"/>
  <c r="O46" i="10" s="1"/>
  <c r="O5" i="11"/>
  <c r="O46" i="11" s="1"/>
  <c r="N8" i="50"/>
  <c r="N52" i="50" s="1"/>
  <c r="N8" i="47"/>
  <c r="N53" i="47" s="1"/>
  <c r="N8" i="45"/>
  <c r="N53" i="45" s="1"/>
  <c r="N8" i="43"/>
  <c r="N52" i="43" s="1"/>
  <c r="N8" i="38"/>
  <c r="N52" i="38" s="1"/>
  <c r="N8" i="15"/>
  <c r="N52" i="15" s="1"/>
  <c r="N8" i="23"/>
  <c r="N53" i="23" s="1"/>
  <c r="N8" i="13"/>
  <c r="N52" i="13" s="1"/>
  <c r="N8" i="10"/>
  <c r="N8" i="12"/>
  <c r="N53" i="12" s="1"/>
  <c r="N8" i="11"/>
  <c r="N52" i="11" s="1"/>
  <c r="N7" i="50"/>
  <c r="N48" i="50" s="1"/>
  <c r="N7" i="47"/>
  <c r="N49" i="47" s="1"/>
  <c r="N7" i="43"/>
  <c r="N48" i="43" s="1"/>
  <c r="N7" i="45"/>
  <c r="N49" i="45" s="1"/>
  <c r="N7" i="38"/>
  <c r="N48" i="38" s="1"/>
  <c r="N7" i="15"/>
  <c r="N48" i="15" s="1"/>
  <c r="N7" i="23"/>
  <c r="N7" i="13"/>
  <c r="N48" i="13" s="1"/>
  <c r="N7" i="12"/>
  <c r="N49" i="12" s="1"/>
  <c r="N7" i="11"/>
  <c r="N48" i="11" s="1"/>
  <c r="N7" i="10"/>
  <c r="N48" i="10" s="1"/>
  <c r="I10" i="50"/>
  <c r="I54" i="50" s="1"/>
  <c r="I10" i="47"/>
  <c r="I55" i="47" s="1"/>
  <c r="I10" i="45"/>
  <c r="I55" i="45" s="1"/>
  <c r="I10" i="43"/>
  <c r="I54" i="43" s="1"/>
  <c r="I10" i="38"/>
  <c r="I54" i="38" s="1"/>
  <c r="I10" i="15"/>
  <c r="I54" i="15" s="1"/>
  <c r="I10" i="23"/>
  <c r="I55" i="23" s="1"/>
  <c r="I10" i="13"/>
  <c r="I54" i="13" s="1"/>
  <c r="I10" i="12"/>
  <c r="I55" i="12" s="1"/>
  <c r="I10" i="11"/>
  <c r="I54" i="11" s="1"/>
  <c r="I10" i="10"/>
  <c r="I54" i="10" s="1"/>
  <c r="O9" i="38"/>
  <c r="O53" i="38" s="1"/>
  <c r="I11" i="50"/>
  <c r="I55" i="50" s="1"/>
  <c r="I11" i="47"/>
  <c r="I56" i="47" s="1"/>
  <c r="I11" i="45"/>
  <c r="I56" i="45" s="1"/>
  <c r="I11" i="43"/>
  <c r="I55" i="43" s="1"/>
  <c r="I11" i="38"/>
  <c r="I55" i="38" s="1"/>
  <c r="I11" i="23"/>
  <c r="I56" i="23" s="1"/>
  <c r="I11" i="15"/>
  <c r="I55" i="15" s="1"/>
  <c r="I11" i="13"/>
  <c r="I55" i="13" s="1"/>
  <c r="I11" i="11"/>
  <c r="I55" i="11" s="1"/>
  <c r="I11" i="12"/>
  <c r="I56" i="12" s="1"/>
  <c r="I11" i="10"/>
  <c r="I55" i="10" s="1"/>
  <c r="O3" i="50"/>
  <c r="O44" i="50" s="1"/>
  <c r="O3" i="47"/>
  <c r="O45" i="47" s="1"/>
  <c r="O3" i="45"/>
  <c r="O3" i="43"/>
  <c r="O44" i="43" s="1"/>
  <c r="O3" i="38"/>
  <c r="O44" i="38" s="1"/>
  <c r="O3" i="23"/>
  <c r="O3" i="15"/>
  <c r="O44" i="15" s="1"/>
  <c r="O3" i="13"/>
  <c r="O44" i="13" s="1"/>
  <c r="O3" i="11"/>
  <c r="O44" i="11" s="1"/>
  <c r="O3" i="10"/>
  <c r="O3" i="12"/>
  <c r="O45" i="12" s="1"/>
  <c r="N4" i="50"/>
  <c r="N45" i="50" s="1"/>
  <c r="N4" i="47"/>
  <c r="N46" i="47" s="1"/>
  <c r="N4" i="45"/>
  <c r="N46" i="45" s="1"/>
  <c r="N4" i="43"/>
  <c r="N45" i="43" s="1"/>
  <c r="N4" i="38"/>
  <c r="N45" i="38" s="1"/>
  <c r="N4" i="23"/>
  <c r="N4" i="15"/>
  <c r="N45" i="15" s="1"/>
  <c r="N4" i="13"/>
  <c r="N45" i="13" s="1"/>
  <c r="N4" i="10"/>
  <c r="N45" i="10" s="1"/>
  <c r="N4" i="11"/>
  <c r="N45" i="11" s="1"/>
  <c r="N4" i="12"/>
  <c r="N46" i="12" s="1"/>
  <c r="O10" i="50"/>
  <c r="O54" i="50" s="1"/>
  <c r="O10" i="47"/>
  <c r="O55" i="47" s="1"/>
  <c r="O10" i="43"/>
  <c r="O54" i="43" s="1"/>
  <c r="O10" i="45"/>
  <c r="O55" i="45" s="1"/>
  <c r="O10" i="38"/>
  <c r="O54" i="38" s="1"/>
  <c r="O10" i="15"/>
  <c r="O54" i="15" s="1"/>
  <c r="O10" i="13"/>
  <c r="O54" i="13" s="1"/>
  <c r="O10" i="12"/>
  <c r="O55" i="12" s="1"/>
  <c r="O10" i="11"/>
  <c r="O54" i="11" s="1"/>
  <c r="O10" i="10"/>
  <c r="O54" i="10" s="1"/>
  <c r="O10" i="23"/>
  <c r="O55" i="23" s="1"/>
  <c r="N12" i="50"/>
  <c r="N56" i="50" s="1"/>
  <c r="N12" i="47"/>
  <c r="N57" i="47" s="1"/>
  <c r="N12" i="45"/>
  <c r="N57" i="45" s="1"/>
  <c r="N12" i="43"/>
  <c r="N56" i="43" s="1"/>
  <c r="N12" i="38"/>
  <c r="N56" i="38" s="1"/>
  <c r="N12" i="23"/>
  <c r="N57" i="23" s="1"/>
  <c r="N12" i="12"/>
  <c r="N57" i="12" s="1"/>
  <c r="N12" i="13"/>
  <c r="N56" i="13" s="1"/>
  <c r="N12" i="11"/>
  <c r="N56" i="11" s="1"/>
  <c r="N12" i="15"/>
  <c r="N56" i="15" s="1"/>
  <c r="N12" i="10"/>
  <c r="N56" i="10" s="1"/>
  <c r="H18" i="17"/>
  <c r="I5" i="50"/>
  <c r="I46" i="50" s="1"/>
  <c r="I5" i="47"/>
  <c r="I47" i="47" s="1"/>
  <c r="I5" i="45"/>
  <c r="I47" i="45" s="1"/>
  <c r="I5" i="43"/>
  <c r="I46" i="43" s="1"/>
  <c r="I5" i="38"/>
  <c r="I46" i="38" s="1"/>
  <c r="I5" i="23"/>
  <c r="I47" i="23" s="1"/>
  <c r="I5" i="15"/>
  <c r="I46" i="15" s="1"/>
  <c r="I5" i="13"/>
  <c r="I46" i="13" s="1"/>
  <c r="I5" i="12"/>
  <c r="I47" i="12" s="1"/>
  <c r="I5" i="11"/>
  <c r="I46" i="11" s="1"/>
  <c r="I5" i="10"/>
  <c r="I46" i="10" s="1"/>
  <c r="H63" i="38" l="1"/>
  <c r="H78" i="38" s="1"/>
  <c r="H63" i="61"/>
  <c r="H78" i="61" s="1"/>
  <c r="H37" i="17"/>
  <c r="I63" i="58"/>
  <c r="I62" i="61"/>
  <c r="I74" i="61" s="1"/>
  <c r="I75" i="61" s="1"/>
  <c r="I33" i="17"/>
  <c r="I34" i="17" s="1"/>
  <c r="H61" i="61"/>
  <c r="H77" i="61" s="1"/>
  <c r="H79" i="61" s="1"/>
  <c r="H83" i="61" s="1"/>
  <c r="H84" i="61" s="1"/>
  <c r="H36" i="17"/>
  <c r="H38" i="17" s="1"/>
  <c r="H44" i="17" s="1"/>
  <c r="G38" i="17"/>
  <c r="G44" i="17" s="1"/>
  <c r="G79" i="61"/>
  <c r="K46" i="18"/>
  <c r="M47" i="18"/>
  <c r="M56" i="18" s="1"/>
  <c r="K54" i="18"/>
  <c r="K58" i="18"/>
  <c r="K55" i="18"/>
  <c r="K59" i="18"/>
  <c r="K56" i="18"/>
  <c r="K57" i="18"/>
  <c r="F84" i="23"/>
  <c r="F85" i="23" s="1"/>
  <c r="H63" i="50"/>
  <c r="H78" i="50" s="1"/>
  <c r="E84" i="12"/>
  <c r="E85" i="12" s="1"/>
  <c r="G79" i="43"/>
  <c r="H64" i="12"/>
  <c r="I20" i="17"/>
  <c r="F83" i="15"/>
  <c r="F84" i="15" s="1"/>
  <c r="H64" i="23"/>
  <c r="H79" i="23" s="1"/>
  <c r="H63" i="13"/>
  <c r="H78" i="13" s="1"/>
  <c r="H63" i="11"/>
  <c r="H78" i="11" s="1"/>
  <c r="H63" i="10"/>
  <c r="H78" i="10" s="1"/>
  <c r="F83" i="11"/>
  <c r="F84" i="11" s="1"/>
  <c r="G79" i="15"/>
  <c r="H64" i="45"/>
  <c r="H79" i="45" s="1"/>
  <c r="H63" i="43"/>
  <c r="H78" i="43" s="1"/>
  <c r="F83" i="10"/>
  <c r="F84" i="10" s="1"/>
  <c r="E83" i="11"/>
  <c r="E84" i="11" s="1"/>
  <c r="G80" i="12"/>
  <c r="G80" i="23"/>
  <c r="F83" i="13"/>
  <c r="F84" i="13" s="1"/>
  <c r="H62" i="58"/>
  <c r="H76" i="58"/>
  <c r="I79" i="58"/>
  <c r="I75" i="58"/>
  <c r="I76" i="58" s="1"/>
  <c r="G79" i="50"/>
  <c r="F83" i="50"/>
  <c r="F84" i="50" s="1"/>
  <c r="G80" i="47"/>
  <c r="F84" i="47"/>
  <c r="F85" i="47" s="1"/>
  <c r="G80" i="45"/>
  <c r="F84" i="45"/>
  <c r="F85" i="45" s="1"/>
  <c r="F83" i="43"/>
  <c r="F84" i="43" s="1"/>
  <c r="F83" i="38"/>
  <c r="F84" i="38" s="1"/>
  <c r="G79" i="38"/>
  <c r="G79" i="13"/>
  <c r="G79" i="11"/>
  <c r="E83" i="10"/>
  <c r="E84" i="10" s="1"/>
  <c r="G79" i="10"/>
  <c r="H64" i="58"/>
  <c r="H63" i="15"/>
  <c r="H78" i="15" s="1"/>
  <c r="H64" i="47"/>
  <c r="H79" i="47" s="1"/>
  <c r="O9" i="11"/>
  <c r="O53" i="11" s="1"/>
  <c r="O11" i="12"/>
  <c r="O56" i="12" s="1"/>
  <c r="O11" i="45"/>
  <c r="O56" i="45" s="1"/>
  <c r="O11" i="15"/>
  <c r="O55" i="15" s="1"/>
  <c r="O11" i="43"/>
  <c r="O55" i="43" s="1"/>
  <c r="O11" i="13"/>
  <c r="O55" i="13" s="1"/>
  <c r="O11" i="50"/>
  <c r="O55" i="50" s="1"/>
  <c r="O11" i="23"/>
  <c r="O56" i="23" s="1"/>
  <c r="O11" i="10"/>
  <c r="O55" i="10" s="1"/>
  <c r="O11" i="47"/>
  <c r="O56" i="47" s="1"/>
  <c r="O11" i="11"/>
  <c r="O55" i="11" s="1"/>
  <c r="O11" i="38"/>
  <c r="O55" i="38" s="1"/>
  <c r="O9" i="10"/>
  <c r="O53" i="10" s="1"/>
  <c r="O9" i="12"/>
  <c r="O54" i="12" s="1"/>
  <c r="O9" i="43"/>
  <c r="O53" i="43" s="1"/>
  <c r="O9" i="23"/>
  <c r="O54" i="23" s="1"/>
  <c r="O9" i="45"/>
  <c r="O54" i="45" s="1"/>
  <c r="O9" i="13"/>
  <c r="O53" i="13" s="1"/>
  <c r="O9" i="50"/>
  <c r="O53" i="50" s="1"/>
  <c r="O9" i="15"/>
  <c r="O53" i="15" s="1"/>
  <c r="O9" i="47"/>
  <c r="O54" i="47" s="1"/>
  <c r="G71" i="10"/>
  <c r="H75" i="47"/>
  <c r="H74" i="50"/>
  <c r="H74" i="43"/>
  <c r="H74" i="38"/>
  <c r="H75" i="23"/>
  <c r="H74" i="15"/>
  <c r="H74" i="13"/>
  <c r="H75" i="12"/>
  <c r="H79" i="12"/>
  <c r="G71" i="11"/>
  <c r="H74" i="11"/>
  <c r="H74" i="10"/>
  <c r="H73" i="10"/>
  <c r="I62" i="11"/>
  <c r="I62" i="43"/>
  <c r="I63" i="45"/>
  <c r="I63" i="47"/>
  <c r="I63" i="23"/>
  <c r="I62" i="15"/>
  <c r="I62" i="13"/>
  <c r="I62" i="50"/>
  <c r="I62" i="38"/>
  <c r="I63" i="12"/>
  <c r="H75" i="45"/>
  <c r="H61" i="10"/>
  <c r="H61" i="11"/>
  <c r="H77" i="11" s="1"/>
  <c r="H62" i="45"/>
  <c r="H78" i="45" s="1"/>
  <c r="H61" i="50"/>
  <c r="H77" i="50" s="1"/>
  <c r="H61" i="38"/>
  <c r="H77" i="38" s="1"/>
  <c r="H79" i="38" s="1"/>
  <c r="H62" i="47"/>
  <c r="H78" i="47" s="1"/>
  <c r="H61" i="13"/>
  <c r="H77" i="13" s="1"/>
  <c r="H61" i="43"/>
  <c r="H77" i="43" s="1"/>
  <c r="H61" i="15"/>
  <c r="H77" i="15" s="1"/>
  <c r="H62" i="12"/>
  <c r="H62" i="23"/>
  <c r="H78" i="23" s="1"/>
  <c r="H60" i="11"/>
  <c r="H61" i="45"/>
  <c r="H60" i="50"/>
  <c r="H61" i="47"/>
  <c r="H60" i="38"/>
  <c r="H61" i="12"/>
  <c r="H78" i="12" s="1"/>
  <c r="H60" i="43"/>
  <c r="H61" i="23"/>
  <c r="H60" i="15"/>
  <c r="H60" i="13"/>
  <c r="F76" i="12"/>
  <c r="F84" i="12" s="1"/>
  <c r="F85" i="12" s="1"/>
  <c r="G73" i="15"/>
  <c r="G75" i="15" s="1"/>
  <c r="G73" i="38"/>
  <c r="G73" i="11"/>
  <c r="G75" i="11" s="1"/>
  <c r="G74" i="23"/>
  <c r="G76" i="23" s="1"/>
  <c r="I60" i="10"/>
  <c r="G74" i="47"/>
  <c r="G73" i="13"/>
  <c r="G74" i="45"/>
  <c r="G76" i="45" s="1"/>
  <c r="G73" i="10"/>
  <c r="G75" i="10" s="1"/>
  <c r="G74" i="12"/>
  <c r="G76" i="12" s="1"/>
  <c r="G73" i="50"/>
  <c r="G73" i="43"/>
  <c r="G75" i="43" s="1"/>
  <c r="O44" i="10"/>
  <c r="N52" i="10"/>
  <c r="J19" i="17"/>
  <c r="I62" i="10"/>
  <c r="J2" i="12"/>
  <c r="J43" i="12" s="1"/>
  <c r="J44" i="12" s="1"/>
  <c r="J2" i="50"/>
  <c r="J42" i="50" s="1"/>
  <c r="J43" i="50" s="1"/>
  <c r="J2" i="23"/>
  <c r="J43" i="23" s="1"/>
  <c r="J44" i="23" s="1"/>
  <c r="J2" i="13"/>
  <c r="J42" i="13" s="1"/>
  <c r="J43" i="13" s="1"/>
  <c r="J2" i="43"/>
  <c r="J42" i="43" s="1"/>
  <c r="J43" i="43" s="1"/>
  <c r="J2" i="38"/>
  <c r="J42" i="38" s="1"/>
  <c r="J43" i="38" s="1"/>
  <c r="J2" i="45"/>
  <c r="J43" i="45" s="1"/>
  <c r="J44" i="45" s="1"/>
  <c r="K2" i="58"/>
  <c r="K43" i="58" s="1"/>
  <c r="K44" i="58" s="1"/>
  <c r="J2" i="47"/>
  <c r="J43" i="47" s="1"/>
  <c r="J44" i="47" s="1"/>
  <c r="J2" i="10"/>
  <c r="J42" i="10" s="1"/>
  <c r="J43" i="10" s="1"/>
  <c r="J2" i="11"/>
  <c r="J42" i="11" s="1"/>
  <c r="J43" i="11" s="1"/>
  <c r="J2" i="15"/>
  <c r="J42" i="15" s="1"/>
  <c r="J43" i="15" s="1"/>
  <c r="I18" i="17"/>
  <c r="O4" i="50"/>
  <c r="O45" i="50" s="1"/>
  <c r="O4" i="47"/>
  <c r="O46" i="47" s="1"/>
  <c r="O4" i="43"/>
  <c r="O45" i="43" s="1"/>
  <c r="O4" i="45"/>
  <c r="O4" i="38"/>
  <c r="O45" i="38" s="1"/>
  <c r="O4" i="15"/>
  <c r="O45" i="15" s="1"/>
  <c r="O4" i="13"/>
  <c r="O45" i="13" s="1"/>
  <c r="O4" i="23"/>
  <c r="O4" i="12"/>
  <c r="O46" i="12" s="1"/>
  <c r="O4" i="11"/>
  <c r="O45" i="11" s="1"/>
  <c r="O4" i="10"/>
  <c r="O45" i="10" s="1"/>
  <c r="O7" i="50"/>
  <c r="O48" i="50" s="1"/>
  <c r="O7" i="47"/>
  <c r="O49" i="47" s="1"/>
  <c r="O7" i="45"/>
  <c r="O7" i="43"/>
  <c r="O48" i="43" s="1"/>
  <c r="O7" i="38"/>
  <c r="O48" i="38" s="1"/>
  <c r="O7" i="15"/>
  <c r="O48" i="15" s="1"/>
  <c r="O7" i="23"/>
  <c r="O7" i="10"/>
  <c r="O48" i="10" s="1"/>
  <c r="O7" i="13"/>
  <c r="O48" i="13" s="1"/>
  <c r="O7" i="12"/>
  <c r="O49" i="12" s="1"/>
  <c r="O7" i="11"/>
  <c r="O48" i="11" s="1"/>
  <c r="O12" i="50"/>
  <c r="O56" i="50" s="1"/>
  <c r="O12" i="47"/>
  <c r="O57" i="47" s="1"/>
  <c r="O12" i="45"/>
  <c r="O57" i="45" s="1"/>
  <c r="O12" i="43"/>
  <c r="O56" i="43" s="1"/>
  <c r="O12" i="38"/>
  <c r="O56" i="38" s="1"/>
  <c r="O12" i="23"/>
  <c r="O57" i="23" s="1"/>
  <c r="O12" i="13"/>
  <c r="O56" i="13" s="1"/>
  <c r="O12" i="15"/>
  <c r="O56" i="15" s="1"/>
  <c r="O12" i="12"/>
  <c r="O57" i="12" s="1"/>
  <c r="O12" i="11"/>
  <c r="O56" i="11" s="1"/>
  <c r="O12" i="10"/>
  <c r="O56" i="10" s="1"/>
  <c r="O8" i="50"/>
  <c r="O52" i="50" s="1"/>
  <c r="O8" i="47"/>
  <c r="O53" i="47" s="1"/>
  <c r="O8" i="43"/>
  <c r="O52" i="43" s="1"/>
  <c r="O8" i="38"/>
  <c r="O52" i="38" s="1"/>
  <c r="O8" i="45"/>
  <c r="O53" i="45" s="1"/>
  <c r="O8" i="15"/>
  <c r="O52" i="15" s="1"/>
  <c r="O8" i="23"/>
  <c r="O53" i="23" s="1"/>
  <c r="O8" i="13"/>
  <c r="O52" i="13" s="1"/>
  <c r="O8" i="12"/>
  <c r="O53" i="12" s="1"/>
  <c r="O8" i="11"/>
  <c r="O52" i="11" s="1"/>
  <c r="O8" i="10"/>
  <c r="Z10" i="50"/>
  <c r="Z54" i="50" s="1"/>
  <c r="Z10" i="47"/>
  <c r="Z55" i="47" s="1"/>
  <c r="Z10" i="45"/>
  <c r="Z55" i="45" s="1"/>
  <c r="Z10" i="43"/>
  <c r="Z54" i="43" s="1"/>
  <c r="Z10" i="38"/>
  <c r="Z54" i="38" s="1"/>
  <c r="Z10" i="23"/>
  <c r="Z55" i="23" s="1"/>
  <c r="Z10" i="13"/>
  <c r="Z54" i="13" s="1"/>
  <c r="Z10" i="15"/>
  <c r="Z54" i="15" s="1"/>
  <c r="Z10" i="11"/>
  <c r="Z54" i="11" s="1"/>
  <c r="Z10" i="12"/>
  <c r="Z55" i="12" s="1"/>
  <c r="Z10" i="10"/>
  <c r="Z54" i="10" s="1"/>
  <c r="Z5" i="50"/>
  <c r="Z46" i="50" s="1"/>
  <c r="Z5" i="45"/>
  <c r="Z47" i="45" s="1"/>
  <c r="Z5" i="47"/>
  <c r="Z47" i="47" s="1"/>
  <c r="Z5" i="43"/>
  <c r="Z46" i="43" s="1"/>
  <c r="Z5" i="38"/>
  <c r="Z46" i="38" s="1"/>
  <c r="Z5" i="15"/>
  <c r="Z46" i="15" s="1"/>
  <c r="Z5" i="23"/>
  <c r="Z5" i="12"/>
  <c r="Z47" i="12" s="1"/>
  <c r="Z5" i="11"/>
  <c r="Z46" i="11" s="1"/>
  <c r="Z5" i="13"/>
  <c r="Z46" i="13" s="1"/>
  <c r="Z5" i="10"/>
  <c r="Z46" i="10" s="1"/>
  <c r="I63" i="61" l="1"/>
  <c r="I78" i="61" s="1"/>
  <c r="I37" i="17"/>
  <c r="J62" i="61"/>
  <c r="J74" i="61" s="1"/>
  <c r="J75" i="61" s="1"/>
  <c r="J33" i="17"/>
  <c r="J34" i="17" s="1"/>
  <c r="G83" i="61"/>
  <c r="G84" i="61" s="1"/>
  <c r="I61" i="61"/>
  <c r="I77" i="61" s="1"/>
  <c r="I36" i="17"/>
  <c r="M46" i="18"/>
  <c r="O47" i="18"/>
  <c r="M54" i="18"/>
  <c r="M55" i="18"/>
  <c r="M57" i="18"/>
  <c r="M58" i="18"/>
  <c r="M59" i="18"/>
  <c r="G83" i="43"/>
  <c r="G84" i="43" s="1"/>
  <c r="G84" i="45"/>
  <c r="G85" i="45" s="1"/>
  <c r="H79" i="50"/>
  <c r="H80" i="23"/>
  <c r="H79" i="11"/>
  <c r="G84" i="23"/>
  <c r="G85" i="23" s="1"/>
  <c r="H79" i="13"/>
  <c r="I63" i="10"/>
  <c r="I78" i="10" s="1"/>
  <c r="G83" i="15"/>
  <c r="G84" i="15" s="1"/>
  <c r="I64" i="12"/>
  <c r="I64" i="23"/>
  <c r="I79" i="23" s="1"/>
  <c r="I64" i="45"/>
  <c r="I79" i="45" s="1"/>
  <c r="I63" i="43"/>
  <c r="I78" i="43" s="1"/>
  <c r="J20" i="17"/>
  <c r="I63" i="13"/>
  <c r="I78" i="13" s="1"/>
  <c r="I63" i="11"/>
  <c r="I78" i="11" s="1"/>
  <c r="I63" i="38"/>
  <c r="I78" i="38" s="1"/>
  <c r="I64" i="47"/>
  <c r="I79" i="47" s="1"/>
  <c r="I64" i="58"/>
  <c r="H80" i="45"/>
  <c r="I63" i="50"/>
  <c r="I78" i="50" s="1"/>
  <c r="I63" i="15"/>
  <c r="I78" i="15" s="1"/>
  <c r="H79" i="43"/>
  <c r="I80" i="58"/>
  <c r="J63" i="58"/>
  <c r="H80" i="47"/>
  <c r="H84" i="58"/>
  <c r="H85" i="58" s="1"/>
  <c r="H79" i="15"/>
  <c r="H80" i="12"/>
  <c r="H77" i="10"/>
  <c r="H79" i="10" s="1"/>
  <c r="I62" i="58"/>
  <c r="H71" i="11"/>
  <c r="H75" i="10"/>
  <c r="I74" i="50"/>
  <c r="I75" i="47"/>
  <c r="I75" i="45"/>
  <c r="I74" i="43"/>
  <c r="I74" i="38"/>
  <c r="I75" i="23"/>
  <c r="I74" i="15"/>
  <c r="I74" i="13"/>
  <c r="I75" i="12"/>
  <c r="I79" i="12"/>
  <c r="I74" i="11"/>
  <c r="H71" i="10"/>
  <c r="I74" i="10"/>
  <c r="H67" i="10"/>
  <c r="I73" i="10"/>
  <c r="I61" i="10"/>
  <c r="I77" i="10" s="1"/>
  <c r="I61" i="11"/>
  <c r="I77" i="11" s="1"/>
  <c r="I61" i="50"/>
  <c r="I77" i="50" s="1"/>
  <c r="I62" i="47"/>
  <c r="I78" i="47" s="1"/>
  <c r="I61" i="43"/>
  <c r="I77" i="43" s="1"/>
  <c r="I61" i="15"/>
  <c r="I77" i="15" s="1"/>
  <c r="I61" i="38"/>
  <c r="I77" i="38" s="1"/>
  <c r="I62" i="45"/>
  <c r="I78" i="45" s="1"/>
  <c r="I62" i="12"/>
  <c r="I62" i="23"/>
  <c r="I78" i="23" s="1"/>
  <c r="I61" i="13"/>
  <c r="I77" i="13" s="1"/>
  <c r="J62" i="11"/>
  <c r="J63" i="45"/>
  <c r="J62" i="50"/>
  <c r="J62" i="38"/>
  <c r="J62" i="13"/>
  <c r="J63" i="47"/>
  <c r="J62" i="15"/>
  <c r="J63" i="12"/>
  <c r="J79" i="12" s="1"/>
  <c r="J62" i="43"/>
  <c r="J63" i="23"/>
  <c r="I60" i="11"/>
  <c r="I60" i="50"/>
  <c r="I61" i="47"/>
  <c r="I60" i="38"/>
  <c r="I60" i="43"/>
  <c r="I61" i="23"/>
  <c r="I60" i="15"/>
  <c r="I61" i="45"/>
  <c r="I60" i="13"/>
  <c r="I61" i="12"/>
  <c r="I78" i="12" s="1"/>
  <c r="G75" i="50"/>
  <c r="G83" i="50" s="1"/>
  <c r="G84" i="50" s="1"/>
  <c r="G76" i="47"/>
  <c r="G84" i="47" s="1"/>
  <c r="G85" i="47" s="1"/>
  <c r="G67" i="11"/>
  <c r="G83" i="11" s="1"/>
  <c r="G84" i="11" s="1"/>
  <c r="H73" i="13"/>
  <c r="H75" i="13" s="1"/>
  <c r="H74" i="47"/>
  <c r="H76" i="47" s="1"/>
  <c r="H73" i="11"/>
  <c r="H75" i="11" s="1"/>
  <c r="H67" i="11"/>
  <c r="G68" i="12"/>
  <c r="G84" i="12" s="1"/>
  <c r="G85" i="12" s="1"/>
  <c r="H73" i="15"/>
  <c r="H74" i="12"/>
  <c r="H76" i="12" s="1"/>
  <c r="H68" i="12"/>
  <c r="H73" i="50"/>
  <c r="H75" i="50" s="1"/>
  <c r="H83" i="50" s="1"/>
  <c r="H84" i="50" s="1"/>
  <c r="G75" i="13"/>
  <c r="G83" i="13" s="1"/>
  <c r="G84" i="13" s="1"/>
  <c r="H74" i="23"/>
  <c r="H73" i="38"/>
  <c r="H75" i="38" s="1"/>
  <c r="H83" i="38" s="1"/>
  <c r="H84" i="38" s="1"/>
  <c r="G67" i="10"/>
  <c r="G83" i="10" s="1"/>
  <c r="G84" i="10" s="1"/>
  <c r="G75" i="38"/>
  <c r="G83" i="38" s="1"/>
  <c r="G84" i="38" s="1"/>
  <c r="H73" i="43"/>
  <c r="H74" i="45"/>
  <c r="H76" i="45" s="1"/>
  <c r="O52" i="10"/>
  <c r="J62" i="10"/>
  <c r="K19" i="17"/>
  <c r="K2" i="38"/>
  <c r="K42" i="38" s="1"/>
  <c r="K43" i="38" s="1"/>
  <c r="K2" i="13"/>
  <c r="K42" i="13" s="1"/>
  <c r="K43" i="13" s="1"/>
  <c r="K2" i="45"/>
  <c r="K43" i="45" s="1"/>
  <c r="K44" i="45" s="1"/>
  <c r="K2" i="10"/>
  <c r="K42" i="10" s="1"/>
  <c r="K43" i="10" s="1"/>
  <c r="K2" i="15"/>
  <c r="K42" i="15" s="1"/>
  <c r="K43" i="15" s="1"/>
  <c r="L2" i="58"/>
  <c r="L43" i="58" s="1"/>
  <c r="L44" i="58" s="1"/>
  <c r="K2" i="11"/>
  <c r="K42" i="11" s="1"/>
  <c r="K43" i="11" s="1"/>
  <c r="K2" i="43"/>
  <c r="K42" i="43" s="1"/>
  <c r="K43" i="43" s="1"/>
  <c r="K2" i="50"/>
  <c r="K42" i="50" s="1"/>
  <c r="K43" i="50" s="1"/>
  <c r="K2" i="23"/>
  <c r="K43" i="23" s="1"/>
  <c r="K44" i="23" s="1"/>
  <c r="K2" i="47"/>
  <c r="K43" i="47" s="1"/>
  <c r="K44" i="47" s="1"/>
  <c r="K2" i="12"/>
  <c r="K43" i="12" s="1"/>
  <c r="K44" i="12" s="1"/>
  <c r="Z7" i="47"/>
  <c r="Z49" i="47" s="1"/>
  <c r="Z7" i="15"/>
  <c r="Z48" i="15" s="1"/>
  <c r="Z7" i="12"/>
  <c r="Z49" i="12" s="1"/>
  <c r="Z7" i="43"/>
  <c r="Z48" i="43" s="1"/>
  <c r="Z7" i="11"/>
  <c r="Z48" i="11" s="1"/>
  <c r="Z7" i="38"/>
  <c r="Z48" i="38" s="1"/>
  <c r="Z7" i="10"/>
  <c r="Z48" i="10" s="1"/>
  <c r="Z7" i="50"/>
  <c r="Z48" i="50" s="1"/>
  <c r="Z7" i="13"/>
  <c r="Z48" i="13" s="1"/>
  <c r="Z7" i="45"/>
  <c r="Z49" i="45" s="1"/>
  <c r="Z7" i="23"/>
  <c r="J18" i="17"/>
  <c r="Z3" i="50"/>
  <c r="Z44" i="50" s="1"/>
  <c r="Z3" i="47"/>
  <c r="Z45" i="47" s="1"/>
  <c r="Z3" i="43"/>
  <c r="Z44" i="43" s="1"/>
  <c r="Z3" i="45"/>
  <c r="Z45" i="45" s="1"/>
  <c r="Z3" i="38"/>
  <c r="Z44" i="38" s="1"/>
  <c r="Z3" i="23"/>
  <c r="Z3" i="15"/>
  <c r="Z44" i="15" s="1"/>
  <c r="Z3" i="13"/>
  <c r="Z44" i="13" s="1"/>
  <c r="Z3" i="12"/>
  <c r="Z45" i="12" s="1"/>
  <c r="Z3" i="10"/>
  <c r="Z3" i="11"/>
  <c r="Z44" i="11" s="1"/>
  <c r="Z11" i="50"/>
  <c r="Z55" i="50" s="1"/>
  <c r="Z11" i="47"/>
  <c r="Z56" i="47" s="1"/>
  <c r="Z11" i="45"/>
  <c r="Z56" i="45" s="1"/>
  <c r="Z11" i="43"/>
  <c r="Z55" i="43" s="1"/>
  <c r="Z11" i="38"/>
  <c r="Z55" i="38" s="1"/>
  <c r="Z11" i="23"/>
  <c r="Z56" i="23" s="1"/>
  <c r="Z11" i="13"/>
  <c r="Z55" i="13" s="1"/>
  <c r="Z11" i="15"/>
  <c r="Z55" i="15" s="1"/>
  <c r="Z11" i="12"/>
  <c r="Z56" i="12" s="1"/>
  <c r="Z11" i="11"/>
  <c r="Z55" i="11" s="1"/>
  <c r="Z11" i="10"/>
  <c r="Z55" i="10" s="1"/>
  <c r="Z8" i="50"/>
  <c r="Z52" i="50" s="1"/>
  <c r="Z8" i="47"/>
  <c r="Z53" i="47" s="1"/>
  <c r="Z8" i="45"/>
  <c r="Z53" i="45" s="1"/>
  <c r="Z8" i="43"/>
  <c r="Z52" i="43" s="1"/>
  <c r="Z8" i="38"/>
  <c r="Z52" i="38" s="1"/>
  <c r="Z8" i="23"/>
  <c r="Z53" i="23" s="1"/>
  <c r="Z8" i="15"/>
  <c r="Z52" i="15" s="1"/>
  <c r="Z8" i="13"/>
  <c r="Z52" i="13" s="1"/>
  <c r="Z8" i="12"/>
  <c r="Z53" i="12" s="1"/>
  <c r="Z8" i="11"/>
  <c r="Z52" i="11" s="1"/>
  <c r="Z8" i="10"/>
  <c r="Z4" i="50"/>
  <c r="Z45" i="50" s="1"/>
  <c r="Z4" i="47"/>
  <c r="Z46" i="47" s="1"/>
  <c r="Z4" i="45"/>
  <c r="Z46" i="45" s="1"/>
  <c r="Z4" i="43"/>
  <c r="Z45" i="43" s="1"/>
  <c r="Z4" i="38"/>
  <c r="Z45" i="38" s="1"/>
  <c r="Z4" i="23"/>
  <c r="Z4" i="15"/>
  <c r="Z45" i="15" s="1"/>
  <c r="Z4" i="11"/>
  <c r="Z45" i="11" s="1"/>
  <c r="Z4" i="12"/>
  <c r="Z46" i="12" s="1"/>
  <c r="Z4" i="13"/>
  <c r="Z45" i="13" s="1"/>
  <c r="Z4" i="10"/>
  <c r="Z45" i="10" s="1"/>
  <c r="Z12" i="50"/>
  <c r="Z56" i="50" s="1"/>
  <c r="Z12" i="45"/>
  <c r="Z57" i="45" s="1"/>
  <c r="Z12" i="47"/>
  <c r="Z57" i="47" s="1"/>
  <c r="Z12" i="43"/>
  <c r="Z56" i="43" s="1"/>
  <c r="Z12" i="38"/>
  <c r="Z56" i="38" s="1"/>
  <c r="Z12" i="23"/>
  <c r="Z12" i="15"/>
  <c r="Z56" i="15" s="1"/>
  <c r="Z12" i="13"/>
  <c r="Z56" i="13" s="1"/>
  <c r="Z12" i="10"/>
  <c r="Z56" i="10" s="1"/>
  <c r="Z12" i="12"/>
  <c r="Z57" i="12" s="1"/>
  <c r="Z12" i="11"/>
  <c r="Z56" i="11" s="1"/>
  <c r="Z9" i="50"/>
  <c r="Z53" i="50" s="1"/>
  <c r="Z9" i="47"/>
  <c r="Z54" i="47" s="1"/>
  <c r="Z9" i="43"/>
  <c r="Z53" i="43" s="1"/>
  <c r="Z9" i="45"/>
  <c r="Z54" i="45" s="1"/>
  <c r="Z9" i="38"/>
  <c r="Z53" i="38" s="1"/>
  <c r="Z9" i="23"/>
  <c r="Z54" i="23" s="1"/>
  <c r="Z9" i="15"/>
  <c r="Z53" i="15" s="1"/>
  <c r="Z9" i="13"/>
  <c r="Z53" i="13" s="1"/>
  <c r="Z9" i="12"/>
  <c r="Z54" i="12" s="1"/>
  <c r="Z9" i="11"/>
  <c r="Z53" i="11" s="1"/>
  <c r="Z9" i="10"/>
  <c r="Z53" i="10" s="1"/>
  <c r="Z6" i="50"/>
  <c r="Z47" i="50" s="1"/>
  <c r="Z6" i="47"/>
  <c r="Z48" i="47" s="1"/>
  <c r="Z6" i="45"/>
  <c r="Z48" i="45" s="1"/>
  <c r="Z6" i="43"/>
  <c r="Z47" i="43" s="1"/>
  <c r="Z6" i="38"/>
  <c r="Z47" i="38" s="1"/>
  <c r="Z6" i="23"/>
  <c r="Z6" i="15"/>
  <c r="Z47" i="15" s="1"/>
  <c r="Z6" i="13"/>
  <c r="Z47" i="13" s="1"/>
  <c r="Z6" i="11"/>
  <c r="Z47" i="11" s="1"/>
  <c r="Z6" i="10"/>
  <c r="Z47" i="10" s="1"/>
  <c r="Z6" i="12"/>
  <c r="Z48" i="12" s="1"/>
  <c r="J63" i="43" l="1"/>
  <c r="J78" i="43" s="1"/>
  <c r="J63" i="61"/>
  <c r="J78" i="61" s="1"/>
  <c r="J37" i="17"/>
  <c r="J63" i="13"/>
  <c r="J78" i="13" s="1"/>
  <c r="J63" i="38"/>
  <c r="J78" i="38" s="1"/>
  <c r="K63" i="58"/>
  <c r="K79" i="58" s="1"/>
  <c r="K80" i="58" s="1"/>
  <c r="K62" i="61"/>
  <c r="K74" i="61" s="1"/>
  <c r="K75" i="61" s="1"/>
  <c r="K33" i="17"/>
  <c r="K34" i="17" s="1"/>
  <c r="I38" i="17"/>
  <c r="I44" i="17" s="1"/>
  <c r="J61" i="61"/>
  <c r="J77" i="61" s="1"/>
  <c r="J79" i="61" s="1"/>
  <c r="J83" i="61" s="1"/>
  <c r="J84" i="61" s="1"/>
  <c r="J36" i="17"/>
  <c r="J38" i="17" s="1"/>
  <c r="J44" i="17" s="1"/>
  <c r="I79" i="61"/>
  <c r="Q47" i="18"/>
  <c r="O46" i="18"/>
  <c r="O55" i="18"/>
  <c r="O58" i="18"/>
  <c r="O54" i="18"/>
  <c r="O57" i="18"/>
  <c r="O56" i="18"/>
  <c r="O59" i="18"/>
  <c r="I79" i="11"/>
  <c r="H83" i="13"/>
  <c r="H84" i="13" s="1"/>
  <c r="I79" i="43"/>
  <c r="I79" i="10"/>
  <c r="I79" i="38"/>
  <c r="I79" i="15"/>
  <c r="I80" i="45"/>
  <c r="H84" i="45"/>
  <c r="H85" i="45" s="1"/>
  <c r="I79" i="13"/>
  <c r="I80" i="23"/>
  <c r="I80" i="12"/>
  <c r="I79" i="50"/>
  <c r="J64" i="47"/>
  <c r="J79" i="47" s="1"/>
  <c r="J63" i="15"/>
  <c r="J78" i="15" s="1"/>
  <c r="J64" i="58"/>
  <c r="K20" i="17"/>
  <c r="K64" i="45" s="1"/>
  <c r="K79" i="45" s="1"/>
  <c r="J64" i="23"/>
  <c r="J79" i="23" s="1"/>
  <c r="J63" i="11"/>
  <c r="J78" i="11" s="1"/>
  <c r="J63" i="50"/>
  <c r="J78" i="50" s="1"/>
  <c r="J63" i="10"/>
  <c r="J78" i="10" s="1"/>
  <c r="J64" i="12"/>
  <c r="J64" i="45"/>
  <c r="J79" i="45" s="1"/>
  <c r="I80" i="47"/>
  <c r="H83" i="10"/>
  <c r="H84" i="10" s="1"/>
  <c r="H84" i="47"/>
  <c r="H85" i="47" s="1"/>
  <c r="J79" i="58"/>
  <c r="J75" i="58"/>
  <c r="I84" i="58"/>
  <c r="I85" i="58" s="1"/>
  <c r="H84" i="12"/>
  <c r="H85" i="12" s="1"/>
  <c r="H83" i="11"/>
  <c r="H84" i="11" s="1"/>
  <c r="J62" i="58"/>
  <c r="I71" i="10"/>
  <c r="J60" i="10"/>
  <c r="J73" i="10" s="1"/>
  <c r="I75" i="10"/>
  <c r="I67" i="10"/>
  <c r="J74" i="10"/>
  <c r="J74" i="11"/>
  <c r="I71" i="11"/>
  <c r="K63" i="43"/>
  <c r="K78" i="43" s="1"/>
  <c r="K63" i="38"/>
  <c r="K78" i="38" s="1"/>
  <c r="K63" i="50"/>
  <c r="K78" i="50" s="1"/>
  <c r="J74" i="43"/>
  <c r="J74" i="38"/>
  <c r="J61" i="10"/>
  <c r="J77" i="10" s="1"/>
  <c r="J61" i="11"/>
  <c r="J77" i="11" s="1"/>
  <c r="J61" i="50"/>
  <c r="J77" i="50" s="1"/>
  <c r="J62" i="47"/>
  <c r="J78" i="47" s="1"/>
  <c r="J61" i="38"/>
  <c r="J77" i="38" s="1"/>
  <c r="J79" i="38" s="1"/>
  <c r="J62" i="45"/>
  <c r="J78" i="45" s="1"/>
  <c r="J61" i="13"/>
  <c r="J77" i="13" s="1"/>
  <c r="J79" i="13" s="1"/>
  <c r="J61" i="15"/>
  <c r="J77" i="15" s="1"/>
  <c r="J61" i="43"/>
  <c r="J77" i="43" s="1"/>
  <c r="J79" i="43" s="1"/>
  <c r="J62" i="12"/>
  <c r="J62" i="23"/>
  <c r="J78" i="23" s="1"/>
  <c r="J75" i="12"/>
  <c r="J74" i="50"/>
  <c r="J74" i="15"/>
  <c r="J75" i="45"/>
  <c r="K62" i="11"/>
  <c r="K62" i="50"/>
  <c r="K63" i="47"/>
  <c r="K62" i="43"/>
  <c r="K63" i="45"/>
  <c r="K62" i="15"/>
  <c r="K63" i="12"/>
  <c r="K79" i="12" s="1"/>
  <c r="K62" i="38"/>
  <c r="K63" i="23"/>
  <c r="K62" i="13"/>
  <c r="J75" i="23"/>
  <c r="J75" i="47"/>
  <c r="J74" i="13"/>
  <c r="I73" i="11"/>
  <c r="H75" i="43"/>
  <c r="H83" i="43" s="1"/>
  <c r="H84" i="43" s="1"/>
  <c r="J60" i="11"/>
  <c r="J61" i="47"/>
  <c r="J60" i="38"/>
  <c r="J60" i="43"/>
  <c r="J61" i="45"/>
  <c r="J60" i="50"/>
  <c r="J61" i="23"/>
  <c r="J60" i="15"/>
  <c r="J60" i="13"/>
  <c r="J61" i="12"/>
  <c r="J78" i="12" s="1"/>
  <c r="J80" i="12" s="1"/>
  <c r="H75" i="15"/>
  <c r="H83" i="15" s="1"/>
  <c r="H84" i="15" s="1"/>
  <c r="I74" i="23"/>
  <c r="I76" i="23" s="1"/>
  <c r="I74" i="12"/>
  <c r="I73" i="38"/>
  <c r="I75" i="38" s="1"/>
  <c r="K60" i="10"/>
  <c r="H76" i="23"/>
  <c r="H84" i="23" s="1"/>
  <c r="H85" i="23" s="1"/>
  <c r="I73" i="13"/>
  <c r="I74" i="47"/>
  <c r="I76" i="47" s="1"/>
  <c r="I73" i="15"/>
  <c r="I75" i="15" s="1"/>
  <c r="I74" i="45"/>
  <c r="I76" i="45" s="1"/>
  <c r="I73" i="43"/>
  <c r="I73" i="50"/>
  <c r="I75" i="50" s="1"/>
  <c r="Z52" i="10"/>
  <c r="K62" i="10"/>
  <c r="L19" i="17"/>
  <c r="Z44" i="10"/>
  <c r="L2" i="11"/>
  <c r="L42" i="11" s="1"/>
  <c r="L43" i="11" s="1"/>
  <c r="L2" i="43"/>
  <c r="L42" i="43" s="1"/>
  <c r="L43" i="43" s="1"/>
  <c r="L2" i="38"/>
  <c r="L42" i="38" s="1"/>
  <c r="L43" i="38" s="1"/>
  <c r="L2" i="12"/>
  <c r="L43" i="12" s="1"/>
  <c r="L44" i="12" s="1"/>
  <c r="M2" i="58"/>
  <c r="M43" i="58" s="1"/>
  <c r="M44" i="58" s="1"/>
  <c r="L2" i="47"/>
  <c r="L43" i="47" s="1"/>
  <c r="L44" i="47" s="1"/>
  <c r="L2" i="10"/>
  <c r="L42" i="10" s="1"/>
  <c r="L43" i="10" s="1"/>
  <c r="L2" i="15"/>
  <c r="L42" i="15" s="1"/>
  <c r="L43" i="15" s="1"/>
  <c r="L2" i="50"/>
  <c r="L42" i="50" s="1"/>
  <c r="L43" i="50" s="1"/>
  <c r="L2" i="23"/>
  <c r="L43" i="23" s="1"/>
  <c r="L44" i="23" s="1"/>
  <c r="L2" i="45"/>
  <c r="L43" i="45" s="1"/>
  <c r="L44" i="45" s="1"/>
  <c r="L2" i="13"/>
  <c r="L42" i="13" s="1"/>
  <c r="L43" i="13" s="1"/>
  <c r="K18" i="17"/>
  <c r="L20" i="17"/>
  <c r="K63" i="13" l="1"/>
  <c r="K78" i="13" s="1"/>
  <c r="K63" i="15"/>
  <c r="K78" i="15" s="1"/>
  <c r="K63" i="11"/>
  <c r="K78" i="11" s="1"/>
  <c r="K64" i="23"/>
  <c r="K79" i="23" s="1"/>
  <c r="K63" i="10"/>
  <c r="K78" i="10" s="1"/>
  <c r="K64" i="47"/>
  <c r="K79" i="47" s="1"/>
  <c r="K64" i="12"/>
  <c r="K64" i="58"/>
  <c r="K63" i="61"/>
  <c r="K78" i="61" s="1"/>
  <c r="K37" i="17"/>
  <c r="K75" i="58"/>
  <c r="K76" i="58" s="1"/>
  <c r="L63" i="61"/>
  <c r="L78" i="61" s="1"/>
  <c r="L37" i="17"/>
  <c r="L63" i="58"/>
  <c r="L62" i="61"/>
  <c r="L74" i="61" s="1"/>
  <c r="L75" i="61" s="1"/>
  <c r="L33" i="17"/>
  <c r="L34" i="17" s="1"/>
  <c r="I83" i="61"/>
  <c r="I84" i="61" s="1"/>
  <c r="K61" i="61"/>
  <c r="K77" i="61" s="1"/>
  <c r="K36" i="17"/>
  <c r="K38" i="17" s="1"/>
  <c r="K44" i="17" s="1"/>
  <c r="Q46" i="18"/>
  <c r="S47" i="18"/>
  <c r="Q54" i="18"/>
  <c r="Q55" i="18"/>
  <c r="Q51" i="18"/>
  <c r="Q50" i="18"/>
  <c r="Q48" i="18"/>
  <c r="Q52" i="18"/>
  <c r="Q49" i="18"/>
  <c r="Q57" i="18"/>
  <c r="Q59" i="18"/>
  <c r="Q60" i="18"/>
  <c r="Q58" i="18"/>
  <c r="J80" i="45"/>
  <c r="I84" i="23"/>
  <c r="I85" i="23" s="1"/>
  <c r="I84" i="45"/>
  <c r="I85" i="45" s="1"/>
  <c r="I83" i="38"/>
  <c r="I84" i="38" s="1"/>
  <c r="I83" i="15"/>
  <c r="I84" i="15" s="1"/>
  <c r="I84" i="47"/>
  <c r="I85" i="47" s="1"/>
  <c r="I83" i="50"/>
  <c r="I84" i="50" s="1"/>
  <c r="J80" i="23"/>
  <c r="J79" i="15"/>
  <c r="J79" i="50"/>
  <c r="K84" i="58"/>
  <c r="K85" i="58" s="1"/>
  <c r="J79" i="10"/>
  <c r="J80" i="47"/>
  <c r="J79" i="11"/>
  <c r="J76" i="58"/>
  <c r="J80" i="58"/>
  <c r="L79" i="58"/>
  <c r="L80" i="58" s="1"/>
  <c r="L75" i="58"/>
  <c r="L76" i="58" s="1"/>
  <c r="I83" i="10"/>
  <c r="I84" i="10" s="1"/>
  <c r="L64" i="58"/>
  <c r="K62" i="58"/>
  <c r="J71" i="11"/>
  <c r="J71" i="10"/>
  <c r="J75" i="10"/>
  <c r="K74" i="10"/>
  <c r="K73" i="10"/>
  <c r="K74" i="43"/>
  <c r="K74" i="38"/>
  <c r="K75" i="47"/>
  <c r="K61" i="10"/>
  <c r="K77" i="10" s="1"/>
  <c r="K79" i="10" s="1"/>
  <c r="K61" i="11"/>
  <c r="K77" i="11" s="1"/>
  <c r="K79" i="11" s="1"/>
  <c r="K61" i="50"/>
  <c r="K77" i="50" s="1"/>
  <c r="K79" i="50" s="1"/>
  <c r="K62" i="47"/>
  <c r="K78" i="47" s="1"/>
  <c r="K80" i="47" s="1"/>
  <c r="K61" i="38"/>
  <c r="K77" i="38" s="1"/>
  <c r="K79" i="38" s="1"/>
  <c r="K61" i="43"/>
  <c r="K77" i="43" s="1"/>
  <c r="K79" i="43" s="1"/>
  <c r="K61" i="13"/>
  <c r="K77" i="13" s="1"/>
  <c r="K79" i="13" s="1"/>
  <c r="K62" i="23"/>
  <c r="K78" i="23" s="1"/>
  <c r="K62" i="12"/>
  <c r="K62" i="45"/>
  <c r="K78" i="45" s="1"/>
  <c r="K80" i="45" s="1"/>
  <c r="K61" i="15"/>
  <c r="K77" i="15" s="1"/>
  <c r="K79" i="15" s="1"/>
  <c r="K75" i="23"/>
  <c r="L63" i="10"/>
  <c r="L78" i="10" s="1"/>
  <c r="L63" i="11"/>
  <c r="L78" i="11" s="1"/>
  <c r="L64" i="45"/>
  <c r="L79" i="45" s="1"/>
  <c r="L63" i="50"/>
  <c r="L78" i="50" s="1"/>
  <c r="L63" i="38"/>
  <c r="L78" i="38" s="1"/>
  <c r="L63" i="43"/>
  <c r="L78" i="43" s="1"/>
  <c r="L64" i="47"/>
  <c r="L79" i="47" s="1"/>
  <c r="L64" i="23"/>
  <c r="L79" i="23" s="1"/>
  <c r="L64" i="12"/>
  <c r="L63" i="15"/>
  <c r="L78" i="15" s="1"/>
  <c r="L63" i="13"/>
  <c r="L78" i="13" s="1"/>
  <c r="K74" i="50"/>
  <c r="K74" i="15"/>
  <c r="K75" i="45"/>
  <c r="L62" i="11"/>
  <c r="L62" i="50"/>
  <c r="L63" i="47"/>
  <c r="L62" i="38"/>
  <c r="L63" i="45"/>
  <c r="L62" i="13"/>
  <c r="L62" i="43"/>
  <c r="L63" i="12"/>
  <c r="L79" i="12" s="1"/>
  <c r="L63" i="23"/>
  <c r="L62" i="15"/>
  <c r="K74" i="13"/>
  <c r="J73" i="15"/>
  <c r="J75" i="15" s="1"/>
  <c r="J83" i="15" s="1"/>
  <c r="J84" i="15" s="1"/>
  <c r="J74" i="45"/>
  <c r="J76" i="45" s="1"/>
  <c r="J84" i="45" s="1"/>
  <c r="J85" i="45" s="1"/>
  <c r="I75" i="11"/>
  <c r="I75" i="43"/>
  <c r="I83" i="43" s="1"/>
  <c r="I84" i="43" s="1"/>
  <c r="I75" i="13"/>
  <c r="I83" i="13" s="1"/>
  <c r="I84" i="13" s="1"/>
  <c r="K60" i="11"/>
  <c r="K60" i="43"/>
  <c r="K61" i="45"/>
  <c r="K60" i="50"/>
  <c r="K60" i="38"/>
  <c r="K60" i="13"/>
  <c r="K61" i="47"/>
  <c r="K61" i="12"/>
  <c r="K78" i="12" s="1"/>
  <c r="K80" i="12" s="1"/>
  <c r="K61" i="23"/>
  <c r="K60" i="15"/>
  <c r="I68" i="12"/>
  <c r="J74" i="23"/>
  <c r="J76" i="23" s="1"/>
  <c r="J74" i="47"/>
  <c r="J76" i="47" s="1"/>
  <c r="J84" i="47" s="1"/>
  <c r="J85" i="47" s="1"/>
  <c r="L61" i="45"/>
  <c r="J67" i="10"/>
  <c r="J74" i="12"/>
  <c r="J76" i="12" s="1"/>
  <c r="J68" i="12"/>
  <c r="J73" i="50"/>
  <c r="J75" i="50" s="1"/>
  <c r="J83" i="50" s="1"/>
  <c r="J84" i="50" s="1"/>
  <c r="J73" i="43"/>
  <c r="J75" i="43" s="1"/>
  <c r="J83" i="43" s="1"/>
  <c r="J84" i="43" s="1"/>
  <c r="J73" i="11"/>
  <c r="J75" i="11" s="1"/>
  <c r="J67" i="11"/>
  <c r="I76" i="12"/>
  <c r="J73" i="13"/>
  <c r="J75" i="13" s="1"/>
  <c r="J83" i="13" s="1"/>
  <c r="J84" i="13" s="1"/>
  <c r="J73" i="38"/>
  <c r="I67" i="11"/>
  <c r="L62" i="10"/>
  <c r="M19" i="17"/>
  <c r="M2" i="43"/>
  <c r="M42" i="43" s="1"/>
  <c r="M43" i="43" s="1"/>
  <c r="M2" i="13"/>
  <c r="M42" i="13" s="1"/>
  <c r="M43" i="13" s="1"/>
  <c r="M2" i="45"/>
  <c r="M43" i="45" s="1"/>
  <c r="M44" i="45" s="1"/>
  <c r="M2" i="47"/>
  <c r="M43" i="47" s="1"/>
  <c r="M44" i="47" s="1"/>
  <c r="M2" i="12"/>
  <c r="M43" i="12" s="1"/>
  <c r="M44" i="12" s="1"/>
  <c r="M2" i="10"/>
  <c r="M42" i="10" s="1"/>
  <c r="M43" i="10" s="1"/>
  <c r="M2" i="11"/>
  <c r="M42" i="11" s="1"/>
  <c r="M43" i="11" s="1"/>
  <c r="N2" i="58"/>
  <c r="N43" i="58" s="1"/>
  <c r="N44" i="58" s="1"/>
  <c r="M2" i="15"/>
  <c r="M42" i="15" s="1"/>
  <c r="M43" i="15" s="1"/>
  <c r="M2" i="38"/>
  <c r="M42" i="38" s="1"/>
  <c r="M43" i="38" s="1"/>
  <c r="M2" i="23"/>
  <c r="M43" i="23" s="1"/>
  <c r="M44" i="23" s="1"/>
  <c r="M2" i="50"/>
  <c r="M42" i="50" s="1"/>
  <c r="M43" i="50" s="1"/>
  <c r="L18" i="17"/>
  <c r="M20" i="17"/>
  <c r="K80" i="23" l="1"/>
  <c r="M63" i="58"/>
  <c r="M62" i="61"/>
  <c r="M74" i="61" s="1"/>
  <c r="M75" i="61" s="1"/>
  <c r="M33" i="17"/>
  <c r="M34" i="17" s="1"/>
  <c r="M63" i="61"/>
  <c r="M78" i="61" s="1"/>
  <c r="M37" i="17"/>
  <c r="L61" i="61"/>
  <c r="L77" i="61" s="1"/>
  <c r="L79" i="61" s="1"/>
  <c r="L83" i="61" s="1"/>
  <c r="L84" i="61" s="1"/>
  <c r="L36" i="17"/>
  <c r="L38" i="17" s="1"/>
  <c r="L44" i="17" s="1"/>
  <c r="K79" i="61"/>
  <c r="U47" i="18"/>
  <c r="W47" i="18" s="1"/>
  <c r="S46" i="18"/>
  <c r="S57" i="18"/>
  <c r="S58" i="18"/>
  <c r="S55" i="18"/>
  <c r="S60" i="18"/>
  <c r="S56" i="18"/>
  <c r="S59" i="18"/>
  <c r="S54" i="18"/>
  <c r="S52" i="18"/>
  <c r="S50" i="18"/>
  <c r="S48" i="18"/>
  <c r="S49" i="18"/>
  <c r="S51" i="18"/>
  <c r="J84" i="23"/>
  <c r="J85" i="23" s="1"/>
  <c r="J84" i="12"/>
  <c r="J85" i="12" s="1"/>
  <c r="L84" i="58"/>
  <c r="L85" i="58" s="1"/>
  <c r="I84" i="12"/>
  <c r="I85" i="12" s="1"/>
  <c r="M79" i="58"/>
  <c r="M80" i="58" s="1"/>
  <c r="M75" i="58"/>
  <c r="M76" i="58" s="1"/>
  <c r="J83" i="11"/>
  <c r="J84" i="11" s="1"/>
  <c r="J84" i="58"/>
  <c r="J85" i="58" s="1"/>
  <c r="I83" i="11"/>
  <c r="I84" i="11" s="1"/>
  <c r="J83" i="10"/>
  <c r="J84" i="10" s="1"/>
  <c r="M64" i="58"/>
  <c r="L62" i="58"/>
  <c r="K71" i="11"/>
  <c r="K71" i="10"/>
  <c r="L60" i="43"/>
  <c r="L60" i="13"/>
  <c r="L61" i="12"/>
  <c r="L78" i="12" s="1"/>
  <c r="L80" i="12" s="1"/>
  <c r="L60" i="38"/>
  <c r="L60" i="11"/>
  <c r="L61" i="47"/>
  <c r="L60" i="15"/>
  <c r="L60" i="50"/>
  <c r="L60" i="10"/>
  <c r="L73" i="10" s="1"/>
  <c r="L61" i="23"/>
  <c r="L74" i="10"/>
  <c r="L74" i="13"/>
  <c r="L61" i="10"/>
  <c r="L77" i="10" s="1"/>
  <c r="L79" i="10" s="1"/>
  <c r="L61" i="11"/>
  <c r="L77" i="11" s="1"/>
  <c r="L79" i="11" s="1"/>
  <c r="L61" i="50"/>
  <c r="L77" i="50" s="1"/>
  <c r="L79" i="50" s="1"/>
  <c r="L62" i="47"/>
  <c r="L78" i="47" s="1"/>
  <c r="L80" i="47" s="1"/>
  <c r="L61" i="38"/>
  <c r="L77" i="38" s="1"/>
  <c r="L79" i="38" s="1"/>
  <c r="L61" i="43"/>
  <c r="L77" i="43" s="1"/>
  <c r="L79" i="43" s="1"/>
  <c r="L62" i="45"/>
  <c r="L78" i="45" s="1"/>
  <c r="L80" i="45" s="1"/>
  <c r="L61" i="13"/>
  <c r="L77" i="13" s="1"/>
  <c r="L79" i="13" s="1"/>
  <c r="L62" i="23"/>
  <c r="L78" i="23" s="1"/>
  <c r="L80" i="23" s="1"/>
  <c r="L61" i="15"/>
  <c r="L77" i="15" s="1"/>
  <c r="L79" i="15" s="1"/>
  <c r="L62" i="12"/>
  <c r="L74" i="15"/>
  <c r="L75" i="45"/>
  <c r="M63" i="10"/>
  <c r="M78" i="10" s="1"/>
  <c r="M63" i="11"/>
  <c r="M78" i="11" s="1"/>
  <c r="M63" i="50"/>
  <c r="M78" i="50" s="1"/>
  <c r="M64" i="47"/>
  <c r="M79" i="47" s="1"/>
  <c r="M63" i="43"/>
  <c r="M78" i="43" s="1"/>
  <c r="M64" i="45"/>
  <c r="M79" i="45" s="1"/>
  <c r="M63" i="38"/>
  <c r="M78" i="38" s="1"/>
  <c r="M64" i="23"/>
  <c r="M79" i="23" s="1"/>
  <c r="M64" i="12"/>
  <c r="M63" i="13"/>
  <c r="M78" i="13" s="1"/>
  <c r="M63" i="15"/>
  <c r="M78" i="15" s="1"/>
  <c r="K67" i="10"/>
  <c r="L75" i="23"/>
  <c r="L74" i="38"/>
  <c r="L75" i="47"/>
  <c r="M62" i="11"/>
  <c r="M62" i="50"/>
  <c r="M63" i="47"/>
  <c r="M62" i="38"/>
  <c r="M62" i="43"/>
  <c r="M62" i="13"/>
  <c r="M63" i="45"/>
  <c r="M63" i="12"/>
  <c r="M79" i="12" s="1"/>
  <c r="M63" i="23"/>
  <c r="M62" i="15"/>
  <c r="L74" i="50"/>
  <c r="L74" i="43"/>
  <c r="K74" i="47"/>
  <c r="K76" i="47" s="1"/>
  <c r="K84" i="47" s="1"/>
  <c r="K85" i="47" s="1"/>
  <c r="K68" i="12"/>
  <c r="K73" i="50"/>
  <c r="K75" i="50" s="1"/>
  <c r="K83" i="50" s="1"/>
  <c r="K84" i="50" s="1"/>
  <c r="K73" i="43"/>
  <c r="K75" i="43" s="1"/>
  <c r="K83" i="43" s="1"/>
  <c r="K84" i="43" s="1"/>
  <c r="M60" i="11"/>
  <c r="M60" i="43"/>
  <c r="M61" i="23"/>
  <c r="L74" i="45"/>
  <c r="K73" i="15"/>
  <c r="K75" i="15" s="1"/>
  <c r="K83" i="15" s="1"/>
  <c r="K84" i="15" s="1"/>
  <c r="K73" i="13"/>
  <c r="K75" i="13" s="1"/>
  <c r="K83" i="13" s="1"/>
  <c r="K84" i="13" s="1"/>
  <c r="K74" i="45"/>
  <c r="K76" i="45" s="1"/>
  <c r="K84" i="45" s="1"/>
  <c r="K85" i="45" s="1"/>
  <c r="J75" i="38"/>
  <c r="J83" i="38" s="1"/>
  <c r="J84" i="38" s="1"/>
  <c r="K74" i="23"/>
  <c r="K76" i="23" s="1"/>
  <c r="K84" i="23" s="1"/>
  <c r="K85" i="23" s="1"/>
  <c r="K73" i="38"/>
  <c r="K75" i="38" s="1"/>
  <c r="K83" i="38" s="1"/>
  <c r="K84" i="38" s="1"/>
  <c r="K75" i="10"/>
  <c r="M60" i="10"/>
  <c r="M62" i="10"/>
  <c r="N19" i="17"/>
  <c r="N2" i="12"/>
  <c r="N43" i="12" s="1"/>
  <c r="N44" i="12" s="1"/>
  <c r="N2" i="38"/>
  <c r="N42" i="38" s="1"/>
  <c r="N43" i="38" s="1"/>
  <c r="O2" i="58"/>
  <c r="O43" i="58" s="1"/>
  <c r="O44" i="58" s="1"/>
  <c r="N2" i="23"/>
  <c r="N43" i="23" s="1"/>
  <c r="N44" i="23" s="1"/>
  <c r="N2" i="50"/>
  <c r="N42" i="50" s="1"/>
  <c r="N43" i="50" s="1"/>
  <c r="N2" i="15"/>
  <c r="N42" i="15" s="1"/>
  <c r="N43" i="15" s="1"/>
  <c r="N2" i="47"/>
  <c r="N43" i="47" s="1"/>
  <c r="N44" i="47" s="1"/>
  <c r="N2" i="45"/>
  <c r="N43" i="45" s="1"/>
  <c r="N44" i="45" s="1"/>
  <c r="N2" i="13"/>
  <c r="N42" i="13" s="1"/>
  <c r="N43" i="13" s="1"/>
  <c r="N2" i="43"/>
  <c r="N42" i="43" s="1"/>
  <c r="N43" i="43" s="1"/>
  <c r="N2" i="10"/>
  <c r="N42" i="10" s="1"/>
  <c r="N43" i="10" s="1"/>
  <c r="N2" i="11"/>
  <c r="N42" i="11" s="1"/>
  <c r="N43" i="11" s="1"/>
  <c r="M18" i="17"/>
  <c r="N20" i="17"/>
  <c r="N63" i="58" l="1"/>
  <c r="N62" i="61"/>
  <c r="N74" i="61" s="1"/>
  <c r="N75" i="61" s="1"/>
  <c r="N33" i="17"/>
  <c r="N34" i="17" s="1"/>
  <c r="N63" i="61"/>
  <c r="N78" i="61" s="1"/>
  <c r="N37" i="17"/>
  <c r="M61" i="61"/>
  <c r="M77" i="61" s="1"/>
  <c r="M79" i="61" s="1"/>
  <c r="M83" i="61" s="1"/>
  <c r="M84" i="61" s="1"/>
  <c r="M36" i="17"/>
  <c r="M38" i="17" s="1"/>
  <c r="M44" i="17" s="1"/>
  <c r="K83" i="61"/>
  <c r="K84" i="61" s="1"/>
  <c r="W46" i="18"/>
  <c r="Y47" i="18"/>
  <c r="Y56" i="18" s="1"/>
  <c r="W50" i="18"/>
  <c r="W48" i="18"/>
  <c r="W59" i="18"/>
  <c r="W52" i="18"/>
  <c r="W58" i="18"/>
  <c r="W60" i="18"/>
  <c r="W56" i="18"/>
  <c r="W55" i="18"/>
  <c r="W57" i="18"/>
  <c r="W51" i="18"/>
  <c r="W54" i="18"/>
  <c r="W49" i="18"/>
  <c r="U46" i="18"/>
  <c r="U54" i="18"/>
  <c r="U55" i="18"/>
  <c r="U60" i="18"/>
  <c r="U52" i="18"/>
  <c r="U48" i="18"/>
  <c r="U57" i="18"/>
  <c r="U50" i="18"/>
  <c r="U51" i="18"/>
  <c r="U58" i="18"/>
  <c r="U59" i="18"/>
  <c r="U49" i="18"/>
  <c r="N79" i="58"/>
  <c r="N80" i="58" s="1"/>
  <c r="N75" i="58"/>
  <c r="N76" i="58" s="1"/>
  <c r="M84" i="58"/>
  <c r="M85" i="58" s="1"/>
  <c r="K83" i="10"/>
  <c r="K84" i="10" s="1"/>
  <c r="N64" i="58"/>
  <c r="M62" i="58"/>
  <c r="L71" i="10"/>
  <c r="L74" i="47"/>
  <c r="L76" i="47" s="1"/>
  <c r="L84" i="47" s="1"/>
  <c r="L85" i="47" s="1"/>
  <c r="L71" i="11"/>
  <c r="L73" i="13"/>
  <c r="L75" i="13" s="1"/>
  <c r="L83" i="13" s="1"/>
  <c r="L84" i="13" s="1"/>
  <c r="L73" i="43"/>
  <c r="L75" i="43" s="1"/>
  <c r="L83" i="43" s="1"/>
  <c r="L84" i="43" s="1"/>
  <c r="M60" i="13"/>
  <c r="M73" i="13" s="1"/>
  <c r="M60" i="38"/>
  <c r="M61" i="47"/>
  <c r="M61" i="12"/>
  <c r="M78" i="12" s="1"/>
  <c r="M80" i="12" s="1"/>
  <c r="M60" i="50"/>
  <c r="M73" i="50" s="1"/>
  <c r="M60" i="15"/>
  <c r="M61" i="45"/>
  <c r="L73" i="38"/>
  <c r="L75" i="38" s="1"/>
  <c r="L83" i="38" s="1"/>
  <c r="L84" i="38" s="1"/>
  <c r="L73" i="50"/>
  <c r="L75" i="50" s="1"/>
  <c r="L83" i="50" s="1"/>
  <c r="L84" i="50" s="1"/>
  <c r="L74" i="23"/>
  <c r="L76" i="23" s="1"/>
  <c r="L84" i="23" s="1"/>
  <c r="L85" i="23" s="1"/>
  <c r="L73" i="15"/>
  <c r="L75" i="15" s="1"/>
  <c r="L83" i="15" s="1"/>
  <c r="L84" i="15" s="1"/>
  <c r="L67" i="11"/>
  <c r="L76" i="45"/>
  <c r="L84" i="45" s="1"/>
  <c r="L85" i="45" s="1"/>
  <c r="N13" i="60"/>
  <c r="I13" i="60"/>
  <c r="M75" i="23"/>
  <c r="G13" i="60"/>
  <c r="L68" i="12"/>
  <c r="D13" i="60"/>
  <c r="M74" i="10"/>
  <c r="C13" i="60"/>
  <c r="M73" i="10"/>
  <c r="M12" i="60"/>
  <c r="M61" i="10"/>
  <c r="M77" i="10" s="1"/>
  <c r="M79" i="10" s="1"/>
  <c r="M61" i="11"/>
  <c r="M77" i="11" s="1"/>
  <c r="M79" i="11" s="1"/>
  <c r="M62" i="47"/>
  <c r="M78" i="47" s="1"/>
  <c r="M80" i="47" s="1"/>
  <c r="M61" i="38"/>
  <c r="M77" i="38" s="1"/>
  <c r="M79" i="38" s="1"/>
  <c r="M61" i="43"/>
  <c r="M77" i="43" s="1"/>
  <c r="M79" i="43" s="1"/>
  <c r="M62" i="45"/>
  <c r="M78" i="45" s="1"/>
  <c r="M80" i="45" s="1"/>
  <c r="M61" i="50"/>
  <c r="M77" i="50" s="1"/>
  <c r="M79" i="50" s="1"/>
  <c r="M61" i="13"/>
  <c r="M77" i="13" s="1"/>
  <c r="M79" i="13" s="1"/>
  <c r="M62" i="23"/>
  <c r="M78" i="23" s="1"/>
  <c r="M80" i="23" s="1"/>
  <c r="M61" i="15"/>
  <c r="M77" i="15" s="1"/>
  <c r="M79" i="15" s="1"/>
  <c r="M62" i="12"/>
  <c r="M74" i="15"/>
  <c r="M74" i="43"/>
  <c r="M74" i="38"/>
  <c r="M75" i="47"/>
  <c r="N62" i="11"/>
  <c r="N62" i="50"/>
  <c r="N63" i="47"/>
  <c r="N62" i="38"/>
  <c r="N62" i="43"/>
  <c r="N63" i="45"/>
  <c r="N62" i="13"/>
  <c r="N63" i="23"/>
  <c r="N62" i="15"/>
  <c r="N63" i="12"/>
  <c r="N79" i="12" s="1"/>
  <c r="M75" i="45"/>
  <c r="M74" i="50"/>
  <c r="H12" i="60"/>
  <c r="N63" i="10"/>
  <c r="N78" i="10" s="1"/>
  <c r="N63" i="11"/>
  <c r="N78" i="11" s="1"/>
  <c r="N63" i="50"/>
  <c r="N78" i="50" s="1"/>
  <c r="N64" i="47"/>
  <c r="N79" i="47" s="1"/>
  <c r="N63" i="38"/>
  <c r="N78" i="38" s="1"/>
  <c r="N64" i="45"/>
  <c r="N79" i="45" s="1"/>
  <c r="N63" i="43"/>
  <c r="N78" i="43" s="1"/>
  <c r="N63" i="13"/>
  <c r="N78" i="13" s="1"/>
  <c r="N64" i="23"/>
  <c r="N79" i="23" s="1"/>
  <c r="N63" i="15"/>
  <c r="N78" i="15" s="1"/>
  <c r="N64" i="12"/>
  <c r="M74" i="13"/>
  <c r="M74" i="23"/>
  <c r="K67" i="11"/>
  <c r="M73" i="43"/>
  <c r="N60" i="11"/>
  <c r="N61" i="47"/>
  <c r="N60" i="38"/>
  <c r="N60" i="43"/>
  <c r="N61" i="45"/>
  <c r="N61" i="23"/>
  <c r="N60" i="15"/>
  <c r="N60" i="13"/>
  <c r="N61" i="12"/>
  <c r="N78" i="12" s="1"/>
  <c r="N60" i="50"/>
  <c r="L75" i="10"/>
  <c r="L67" i="10"/>
  <c r="N60" i="10"/>
  <c r="N62" i="10"/>
  <c r="O19" i="17"/>
  <c r="O2" i="47"/>
  <c r="O43" i="47" s="1"/>
  <c r="O44" i="47" s="1"/>
  <c r="O2" i="15"/>
  <c r="O42" i="15" s="1"/>
  <c r="O43" i="15" s="1"/>
  <c r="O2" i="43"/>
  <c r="O2" i="12"/>
  <c r="O43" i="12" s="1"/>
  <c r="O44" i="12" s="1"/>
  <c r="O2" i="50"/>
  <c r="O42" i="50" s="1"/>
  <c r="O43" i="50" s="1"/>
  <c r="O2" i="23"/>
  <c r="O43" i="23" s="1"/>
  <c r="O44" i="23" s="1"/>
  <c r="O2" i="45"/>
  <c r="O43" i="45" s="1"/>
  <c r="O44" i="45" s="1"/>
  <c r="O2" i="13"/>
  <c r="O42" i="13" s="1"/>
  <c r="O43" i="13" s="1"/>
  <c r="O2" i="11"/>
  <c r="O2" i="38"/>
  <c r="O42" i="38" s="1"/>
  <c r="O43" i="38" s="1"/>
  <c r="O2" i="10"/>
  <c r="O42" i="10" s="1"/>
  <c r="O43" i="10" s="1"/>
  <c r="N18" i="17"/>
  <c r="O20" i="17"/>
  <c r="U49" i="23"/>
  <c r="U46" i="23"/>
  <c r="O63" i="61" l="1"/>
  <c r="O78" i="61" s="1"/>
  <c r="O37" i="17"/>
  <c r="O63" i="58"/>
  <c r="O62" i="61"/>
  <c r="O74" i="61" s="1"/>
  <c r="O75" i="61" s="1"/>
  <c r="O33" i="17"/>
  <c r="O34" i="17" s="1"/>
  <c r="N61" i="61"/>
  <c r="N77" i="61" s="1"/>
  <c r="N79" i="61" s="1"/>
  <c r="N83" i="61" s="1"/>
  <c r="N84" i="61" s="1"/>
  <c r="N36" i="17"/>
  <c r="N38" i="17" s="1"/>
  <c r="N44" i="17" s="1"/>
  <c r="Y46" i="18"/>
  <c r="Y52" i="18"/>
  <c r="Y54" i="18"/>
  <c r="Y48" i="18"/>
  <c r="Y55" i="18"/>
  <c r="Y50" i="18"/>
  <c r="Y57" i="18"/>
  <c r="Y49" i="18"/>
  <c r="Y51" i="18"/>
  <c r="Y59" i="18"/>
  <c r="Y58" i="18"/>
  <c r="Y60" i="18"/>
  <c r="P13" i="60"/>
  <c r="Q13" i="60"/>
  <c r="R13" i="60"/>
  <c r="L83" i="10"/>
  <c r="L84" i="10" s="1"/>
  <c r="N84" i="58"/>
  <c r="N85" i="58" s="1"/>
  <c r="O79" i="58"/>
  <c r="O80" i="58" s="1"/>
  <c r="O75" i="58"/>
  <c r="O76" i="58" s="1"/>
  <c r="N80" i="12"/>
  <c r="N29" i="18"/>
  <c r="AP170" i="18" s="1"/>
  <c r="M28" i="18"/>
  <c r="AP156" i="18" s="1"/>
  <c r="M29" i="18"/>
  <c r="AP157" i="18" s="1"/>
  <c r="L29" i="18"/>
  <c r="AP144" i="18" s="1"/>
  <c r="K29" i="18"/>
  <c r="AP131" i="18" s="1"/>
  <c r="AP117" i="18"/>
  <c r="AP118" i="18"/>
  <c r="I29" i="18"/>
  <c r="AP105" i="18" s="1"/>
  <c r="H29" i="18"/>
  <c r="AP92" i="18" s="1"/>
  <c r="H28" i="18"/>
  <c r="AP91" i="18" s="1"/>
  <c r="G29" i="18"/>
  <c r="AP66" i="18" s="1"/>
  <c r="F29" i="18"/>
  <c r="AP53" i="18" s="1"/>
  <c r="E29" i="18"/>
  <c r="AP40" i="18" s="1"/>
  <c r="D29" i="18"/>
  <c r="AP24" i="18" s="1"/>
  <c r="C29" i="18"/>
  <c r="AP11" i="18" s="1"/>
  <c r="O64" i="58"/>
  <c r="N62" i="58"/>
  <c r="M71" i="10"/>
  <c r="M71" i="11"/>
  <c r="M73" i="38"/>
  <c r="M75" i="38" s="1"/>
  <c r="M83" i="38" s="1"/>
  <c r="M84" i="38" s="1"/>
  <c r="M74" i="47"/>
  <c r="M76" i="47" s="1"/>
  <c r="M84" i="47" s="1"/>
  <c r="M85" i="47" s="1"/>
  <c r="M73" i="15"/>
  <c r="M75" i="15" s="1"/>
  <c r="M83" i="15" s="1"/>
  <c r="M84" i="15" s="1"/>
  <c r="M74" i="45"/>
  <c r="M76" i="45" s="1"/>
  <c r="M84" i="45" s="1"/>
  <c r="M85" i="45" s="1"/>
  <c r="M76" i="23"/>
  <c r="M84" i="23" s="1"/>
  <c r="M85" i="23" s="1"/>
  <c r="M75" i="43"/>
  <c r="M83" i="43" s="1"/>
  <c r="M84" i="43" s="1"/>
  <c r="N75" i="23"/>
  <c r="M67" i="11"/>
  <c r="N74" i="10"/>
  <c r="N73" i="10"/>
  <c r="M75" i="50"/>
  <c r="M83" i="50" s="1"/>
  <c r="M84" i="50" s="1"/>
  <c r="N74" i="43"/>
  <c r="O63" i="10"/>
  <c r="O78" i="10" s="1"/>
  <c r="O63" i="11"/>
  <c r="O78" i="11" s="1"/>
  <c r="O63" i="50"/>
  <c r="O78" i="50" s="1"/>
  <c r="O64" i="47"/>
  <c r="O79" i="47" s="1"/>
  <c r="O63" i="38"/>
  <c r="O78" i="38" s="1"/>
  <c r="O63" i="43"/>
  <c r="O78" i="43" s="1"/>
  <c r="O64" i="45"/>
  <c r="O79" i="45" s="1"/>
  <c r="O63" i="13"/>
  <c r="O78" i="13" s="1"/>
  <c r="O64" i="23"/>
  <c r="O79" i="23" s="1"/>
  <c r="O64" i="12"/>
  <c r="O63" i="15"/>
  <c r="O78" i="15" s="1"/>
  <c r="N74" i="38"/>
  <c r="N74" i="15"/>
  <c r="N75" i="47"/>
  <c r="M75" i="13"/>
  <c r="M83" i="13" s="1"/>
  <c r="M84" i="13" s="1"/>
  <c r="N74" i="50"/>
  <c r="O62" i="11"/>
  <c r="O63" i="47"/>
  <c r="O62" i="38"/>
  <c r="O62" i="43"/>
  <c r="O63" i="45"/>
  <c r="O62" i="13"/>
  <c r="O63" i="23"/>
  <c r="O62" i="15"/>
  <c r="O62" i="50"/>
  <c r="O63" i="12"/>
  <c r="O79" i="12" s="1"/>
  <c r="N74" i="13"/>
  <c r="N61" i="10"/>
  <c r="N77" i="10" s="1"/>
  <c r="N79" i="10" s="1"/>
  <c r="N61" i="11"/>
  <c r="N77" i="11" s="1"/>
  <c r="N79" i="11" s="1"/>
  <c r="N61" i="38"/>
  <c r="N61" i="43"/>
  <c r="N77" i="43" s="1"/>
  <c r="N79" i="43" s="1"/>
  <c r="N62" i="45"/>
  <c r="N78" i="45" s="1"/>
  <c r="N80" i="45" s="1"/>
  <c r="N61" i="50"/>
  <c r="N62" i="23"/>
  <c r="N78" i="23" s="1"/>
  <c r="N80" i="23" s="1"/>
  <c r="N61" i="15"/>
  <c r="N61" i="13"/>
  <c r="N77" i="13" s="1"/>
  <c r="N79" i="13" s="1"/>
  <c r="N62" i="12"/>
  <c r="N62" i="47"/>
  <c r="N78" i="47" s="1"/>
  <c r="N80" i="47" s="1"/>
  <c r="N75" i="45"/>
  <c r="N74" i="47"/>
  <c r="N73" i="38"/>
  <c r="M68" i="12"/>
  <c r="N73" i="15"/>
  <c r="O60" i="11"/>
  <c r="O60" i="43"/>
  <c r="O61" i="45"/>
  <c r="O60" i="50"/>
  <c r="O61" i="47"/>
  <c r="O60" i="13"/>
  <c r="O60" i="15"/>
  <c r="O61" i="12"/>
  <c r="O78" i="12" s="1"/>
  <c r="O60" i="38"/>
  <c r="O61" i="23"/>
  <c r="N73" i="13"/>
  <c r="N74" i="45"/>
  <c r="N73" i="50"/>
  <c r="N74" i="23"/>
  <c r="N73" i="43"/>
  <c r="M67" i="10"/>
  <c r="M75" i="10"/>
  <c r="O62" i="10"/>
  <c r="P19" i="17"/>
  <c r="O60" i="10"/>
  <c r="AQ169" i="18"/>
  <c r="P20" i="17"/>
  <c r="B49" i="38"/>
  <c r="AQ143" i="18"/>
  <c r="O18" i="17"/>
  <c r="P63" i="61" l="1"/>
  <c r="P78" i="61" s="1"/>
  <c r="P37" i="17"/>
  <c r="P63" i="58"/>
  <c r="P62" i="61"/>
  <c r="P74" i="61" s="1"/>
  <c r="P75" i="61" s="1"/>
  <c r="P33" i="17"/>
  <c r="P34" i="17" s="1"/>
  <c r="O61" i="61"/>
  <c r="O77" i="61" s="1"/>
  <c r="O79" i="61" s="1"/>
  <c r="O83" i="61" s="1"/>
  <c r="O84" i="61" s="1"/>
  <c r="O36" i="17"/>
  <c r="O38" i="17" s="1"/>
  <c r="O44" i="17" s="1"/>
  <c r="W53" i="18"/>
  <c r="O84" i="58"/>
  <c r="O85" i="58" s="1"/>
  <c r="P79" i="58"/>
  <c r="P80" i="58" s="1"/>
  <c r="P75" i="58"/>
  <c r="P76" i="58" s="1"/>
  <c r="O80" i="12"/>
  <c r="M83" i="10"/>
  <c r="M84" i="10" s="1"/>
  <c r="N77" i="50"/>
  <c r="N79" i="50" s="1"/>
  <c r="AQ104" i="18"/>
  <c r="M53" i="18" s="1"/>
  <c r="N77" i="38"/>
  <c r="N79" i="38" s="1"/>
  <c r="N77" i="15"/>
  <c r="N79" i="15" s="1"/>
  <c r="P64" i="58"/>
  <c r="O62" i="58"/>
  <c r="N71" i="11"/>
  <c r="N71" i="10"/>
  <c r="N76" i="23"/>
  <c r="N84" i="23" s="1"/>
  <c r="N85" i="23" s="1"/>
  <c r="N68" i="12"/>
  <c r="N76" i="45"/>
  <c r="N84" i="45" s="1"/>
  <c r="N85" i="45" s="1"/>
  <c r="N67" i="11"/>
  <c r="N75" i="13"/>
  <c r="N83" i="13" s="1"/>
  <c r="N84" i="13" s="1"/>
  <c r="N75" i="50"/>
  <c r="O75" i="23"/>
  <c r="O74" i="10"/>
  <c r="N75" i="15"/>
  <c r="O73" i="10"/>
  <c r="N75" i="38"/>
  <c r="O75" i="45"/>
  <c r="O74" i="11"/>
  <c r="O74" i="13"/>
  <c r="P63" i="10"/>
  <c r="P78" i="10" s="1"/>
  <c r="P63" i="11"/>
  <c r="P78" i="11" s="1"/>
  <c r="P63" i="50"/>
  <c r="P78" i="50" s="1"/>
  <c r="P64" i="47"/>
  <c r="P79" i="47" s="1"/>
  <c r="P63" i="38"/>
  <c r="P78" i="38" s="1"/>
  <c r="P63" i="43"/>
  <c r="P78" i="43" s="1"/>
  <c r="P64" i="45"/>
  <c r="P79" i="45" s="1"/>
  <c r="P63" i="13"/>
  <c r="P78" i="13" s="1"/>
  <c r="P64" i="23"/>
  <c r="P79" i="23" s="1"/>
  <c r="P63" i="15"/>
  <c r="P78" i="15" s="1"/>
  <c r="P64" i="12"/>
  <c r="O75" i="12"/>
  <c r="N75" i="43"/>
  <c r="N83" i="43" s="1"/>
  <c r="N84" i="43" s="1"/>
  <c r="O74" i="50"/>
  <c r="O74" i="43"/>
  <c r="N76" i="47"/>
  <c r="N84" i="47" s="1"/>
  <c r="N85" i="47" s="1"/>
  <c r="O74" i="38"/>
  <c r="O75" i="47"/>
  <c r="O61" i="10"/>
  <c r="O77" i="10" s="1"/>
  <c r="O79" i="10" s="1"/>
  <c r="O61" i="11"/>
  <c r="O77" i="11" s="1"/>
  <c r="O79" i="11" s="1"/>
  <c r="O61" i="43"/>
  <c r="O77" i="43" s="1"/>
  <c r="O79" i="43" s="1"/>
  <c r="O62" i="45"/>
  <c r="O78" i="45" s="1"/>
  <c r="O80" i="45" s="1"/>
  <c r="O62" i="47"/>
  <c r="O78" i="47" s="1"/>
  <c r="O80" i="47" s="1"/>
  <c r="O62" i="23"/>
  <c r="O78" i="23" s="1"/>
  <c r="O80" i="23" s="1"/>
  <c r="O61" i="15"/>
  <c r="O61" i="50"/>
  <c r="O61" i="38"/>
  <c r="O61" i="13"/>
  <c r="O77" i="13" s="1"/>
  <c r="O79" i="13" s="1"/>
  <c r="O62" i="12"/>
  <c r="P62" i="11"/>
  <c r="P62" i="38"/>
  <c r="P62" i="43"/>
  <c r="P63" i="45"/>
  <c r="P62" i="50"/>
  <c r="P63" i="23"/>
  <c r="P62" i="15"/>
  <c r="P63" i="47"/>
  <c r="P62" i="13"/>
  <c r="P63" i="12"/>
  <c r="P79" i="12" s="1"/>
  <c r="O74" i="15"/>
  <c r="O73" i="13"/>
  <c r="O73" i="50"/>
  <c r="O73" i="43"/>
  <c r="O74" i="23"/>
  <c r="O73" i="15"/>
  <c r="O73" i="38"/>
  <c r="O74" i="45"/>
  <c r="P60" i="11"/>
  <c r="P61" i="45"/>
  <c r="P60" i="50"/>
  <c r="P61" i="47"/>
  <c r="P60" i="38"/>
  <c r="P60" i="43"/>
  <c r="P61" i="12"/>
  <c r="P78" i="12" s="1"/>
  <c r="P60" i="13"/>
  <c r="P61" i="23"/>
  <c r="P60" i="15"/>
  <c r="O74" i="12"/>
  <c r="O74" i="47"/>
  <c r="O73" i="11"/>
  <c r="N67" i="10"/>
  <c r="N75" i="10"/>
  <c r="P60" i="10"/>
  <c r="P62" i="10"/>
  <c r="Q19" i="17"/>
  <c r="O47" i="23"/>
  <c r="P18" i="17"/>
  <c r="O46" i="23"/>
  <c r="Z49" i="23"/>
  <c r="U47" i="23"/>
  <c r="U48" i="23"/>
  <c r="O49" i="23"/>
  <c r="Q20" i="17"/>
  <c r="I12" i="60"/>
  <c r="O48" i="23"/>
  <c r="U45" i="23"/>
  <c r="Q63" i="58" l="1"/>
  <c r="Q62" i="61"/>
  <c r="Q74" i="61" s="1"/>
  <c r="Q75" i="61" s="1"/>
  <c r="Q33" i="17"/>
  <c r="Q34" i="17" s="1"/>
  <c r="Q63" i="61"/>
  <c r="Q78" i="61" s="1"/>
  <c r="Q37" i="17"/>
  <c r="O53" i="18"/>
  <c r="P61" i="61"/>
  <c r="P77" i="61" s="1"/>
  <c r="P79" i="61" s="1"/>
  <c r="P83" i="61" s="1"/>
  <c r="P36" i="17"/>
  <c r="P38" i="17" s="1"/>
  <c r="P44" i="17" s="1"/>
  <c r="N83" i="50"/>
  <c r="N84" i="50" s="1"/>
  <c r="P80" i="12"/>
  <c r="Q79" i="58"/>
  <c r="Q80" i="58" s="1"/>
  <c r="Q75" i="58"/>
  <c r="Q76" i="58" s="1"/>
  <c r="N83" i="38"/>
  <c r="N84" i="38" s="1"/>
  <c r="P84" i="58"/>
  <c r="N83" i="15"/>
  <c r="N84" i="15" s="1"/>
  <c r="N83" i="10"/>
  <c r="N84" i="10" s="1"/>
  <c r="O77" i="50"/>
  <c r="O79" i="50" s="1"/>
  <c r="O77" i="38"/>
  <c r="O79" i="38" s="1"/>
  <c r="O77" i="15"/>
  <c r="O79" i="15" s="1"/>
  <c r="Q64" i="58"/>
  <c r="P62" i="58"/>
  <c r="O71" i="10"/>
  <c r="O71" i="11"/>
  <c r="O75" i="50"/>
  <c r="O76" i="45"/>
  <c r="O84" i="45" s="1"/>
  <c r="O85" i="45" s="1"/>
  <c r="O76" i="23"/>
  <c r="O84" i="23" s="1"/>
  <c r="O85" i="23" s="1"/>
  <c r="O76" i="12"/>
  <c r="O75" i="11"/>
  <c r="O67" i="11"/>
  <c r="O76" i="47"/>
  <c r="O84" i="47" s="1"/>
  <c r="O85" i="47" s="1"/>
  <c r="O75" i="43"/>
  <c r="O83" i="43" s="1"/>
  <c r="O75" i="38"/>
  <c r="O75" i="10"/>
  <c r="P75" i="23"/>
  <c r="O75" i="15"/>
  <c r="O68" i="12"/>
  <c r="P74" i="10"/>
  <c r="P73" i="10"/>
  <c r="P75" i="47"/>
  <c r="P74" i="15"/>
  <c r="Z45" i="23"/>
  <c r="P74" i="50"/>
  <c r="P74" i="11"/>
  <c r="O75" i="13"/>
  <c r="O83" i="13" s="1"/>
  <c r="O84" i="13" s="1"/>
  <c r="P75" i="12"/>
  <c r="N12" i="60"/>
  <c r="P61" i="10"/>
  <c r="P77" i="10" s="1"/>
  <c r="P79" i="10" s="1"/>
  <c r="P61" i="11"/>
  <c r="P77" i="11" s="1"/>
  <c r="P79" i="11" s="1"/>
  <c r="P62" i="45"/>
  <c r="P78" i="45" s="1"/>
  <c r="P80" i="45" s="1"/>
  <c r="P61" i="50"/>
  <c r="P61" i="38"/>
  <c r="P61" i="43"/>
  <c r="P77" i="43" s="1"/>
  <c r="P79" i="43" s="1"/>
  <c r="P61" i="13"/>
  <c r="P77" i="13" s="1"/>
  <c r="P79" i="13" s="1"/>
  <c r="P62" i="23"/>
  <c r="P78" i="23" s="1"/>
  <c r="P80" i="23" s="1"/>
  <c r="P62" i="12"/>
  <c r="P62" i="47"/>
  <c r="P78" i="47" s="1"/>
  <c r="P80" i="47" s="1"/>
  <c r="P61" i="15"/>
  <c r="I28" i="18"/>
  <c r="AP104" i="18" s="1"/>
  <c r="Q62" i="11"/>
  <c r="Q62" i="43"/>
  <c r="Q63" i="45"/>
  <c r="Q63" i="47"/>
  <c r="Q63" i="23"/>
  <c r="Q62" i="15"/>
  <c r="Q62" i="38"/>
  <c r="Q62" i="50"/>
  <c r="Q63" i="12"/>
  <c r="Q79" i="12" s="1"/>
  <c r="Q62" i="13"/>
  <c r="Z47" i="23"/>
  <c r="P75" i="45"/>
  <c r="L12" i="60"/>
  <c r="Z48" i="23"/>
  <c r="Z46" i="23"/>
  <c r="P74" i="13"/>
  <c r="P74" i="43"/>
  <c r="P74" i="38"/>
  <c r="Q63" i="10"/>
  <c r="Q78" i="10" s="1"/>
  <c r="Q63" i="11"/>
  <c r="Q78" i="11" s="1"/>
  <c r="Q64" i="47"/>
  <c r="Q79" i="47" s="1"/>
  <c r="Q63" i="38"/>
  <c r="Q78" i="38" s="1"/>
  <c r="Q63" i="43"/>
  <c r="Q78" i="43" s="1"/>
  <c r="Q64" i="45"/>
  <c r="Q79" i="45" s="1"/>
  <c r="Q63" i="13"/>
  <c r="Q78" i="13" s="1"/>
  <c r="Q64" i="23"/>
  <c r="Q79" i="23" s="1"/>
  <c r="Q63" i="15"/>
  <c r="Q78" i="15" s="1"/>
  <c r="Q64" i="12"/>
  <c r="Q63" i="50"/>
  <c r="Q78" i="50" s="1"/>
  <c r="P73" i="13"/>
  <c r="P73" i="38"/>
  <c r="P74" i="45"/>
  <c r="P73" i="15"/>
  <c r="P74" i="12"/>
  <c r="P74" i="47"/>
  <c r="P73" i="11"/>
  <c r="Q60" i="11"/>
  <c r="Q60" i="50"/>
  <c r="Q61" i="47"/>
  <c r="Q60" i="38"/>
  <c r="Q60" i="43"/>
  <c r="Q61" i="45"/>
  <c r="Q61" i="12"/>
  <c r="Q78" i="12" s="1"/>
  <c r="Q61" i="23"/>
  <c r="Q60" i="15"/>
  <c r="Q60" i="13"/>
  <c r="P74" i="23"/>
  <c r="P73" i="43"/>
  <c r="P73" i="50"/>
  <c r="O67" i="10"/>
  <c r="Q60" i="10"/>
  <c r="Q62" i="10"/>
  <c r="R19" i="17"/>
  <c r="Q18" i="17"/>
  <c r="R20" i="17"/>
  <c r="R63" i="58" l="1"/>
  <c r="R62" i="61"/>
  <c r="R74" i="61" s="1"/>
  <c r="R75" i="61" s="1"/>
  <c r="R33" i="17"/>
  <c r="R34" i="17" s="1"/>
  <c r="R63" i="61"/>
  <c r="R78" i="61" s="1"/>
  <c r="R37" i="17"/>
  <c r="Q61" i="61"/>
  <c r="Q77" i="61" s="1"/>
  <c r="Q79" i="61" s="1"/>
  <c r="Q83" i="61" s="1"/>
  <c r="Q36" i="17"/>
  <c r="Q38" i="17" s="1"/>
  <c r="Q44" i="17" s="1"/>
  <c r="Q84" i="58"/>
  <c r="O83" i="38"/>
  <c r="O84" i="38" s="1"/>
  <c r="R79" i="58"/>
  <c r="R80" i="58" s="1"/>
  <c r="R75" i="58"/>
  <c r="R76" i="58" s="1"/>
  <c r="O83" i="10"/>
  <c r="O84" i="10" s="1"/>
  <c r="Q80" i="12"/>
  <c r="O83" i="50"/>
  <c r="O84" i="50" s="1"/>
  <c r="O83" i="15"/>
  <c r="O84" i="15" s="1"/>
  <c r="O84" i="12"/>
  <c r="O85" i="12" s="1"/>
  <c r="O83" i="11"/>
  <c r="P77" i="50"/>
  <c r="P79" i="50" s="1"/>
  <c r="N28" i="18"/>
  <c r="AP169" i="18" s="1"/>
  <c r="L28" i="18"/>
  <c r="AP143" i="18" s="1"/>
  <c r="P77" i="38"/>
  <c r="P79" i="38" s="1"/>
  <c r="P77" i="15"/>
  <c r="P79" i="15" s="1"/>
  <c r="R64" i="58"/>
  <c r="Q62" i="58"/>
  <c r="P71" i="11"/>
  <c r="P71" i="10"/>
  <c r="C87" i="12"/>
  <c r="P76" i="23"/>
  <c r="P84" i="23" s="1"/>
  <c r="P75" i="15"/>
  <c r="P75" i="43"/>
  <c r="P83" i="43" s="1"/>
  <c r="P67" i="11"/>
  <c r="P67" i="10"/>
  <c r="P76" i="45"/>
  <c r="P84" i="45" s="1"/>
  <c r="P76" i="12"/>
  <c r="Q74" i="10"/>
  <c r="P76" i="47"/>
  <c r="P84" i="47" s="1"/>
  <c r="Q73" i="10"/>
  <c r="P75" i="38"/>
  <c r="P75" i="13"/>
  <c r="P83" i="13" s="1"/>
  <c r="P75" i="50"/>
  <c r="P68" i="12"/>
  <c r="Q74" i="43"/>
  <c r="R62" i="11"/>
  <c r="R63" i="45"/>
  <c r="R62" i="50"/>
  <c r="R62" i="38"/>
  <c r="R63" i="47"/>
  <c r="R62" i="43"/>
  <c r="R63" i="23"/>
  <c r="R62" i="13"/>
  <c r="R63" i="12"/>
  <c r="R79" i="12" s="1"/>
  <c r="R62" i="15"/>
  <c r="Q74" i="50"/>
  <c r="R63" i="10"/>
  <c r="R78" i="10" s="1"/>
  <c r="R63" i="11"/>
  <c r="R78" i="11" s="1"/>
  <c r="R63" i="38"/>
  <c r="R78" i="38" s="1"/>
  <c r="R63" i="43"/>
  <c r="R78" i="43" s="1"/>
  <c r="R64" i="45"/>
  <c r="R79" i="45" s="1"/>
  <c r="R63" i="50"/>
  <c r="R78" i="50" s="1"/>
  <c r="R64" i="23"/>
  <c r="R79" i="23" s="1"/>
  <c r="R63" i="15"/>
  <c r="R78" i="15" s="1"/>
  <c r="R64" i="47"/>
  <c r="R79" i="47" s="1"/>
  <c r="R64" i="12"/>
  <c r="R63" i="13"/>
  <c r="R78" i="13" s="1"/>
  <c r="Q74" i="38"/>
  <c r="P75" i="11"/>
  <c r="Q74" i="15"/>
  <c r="Q75" i="23"/>
  <c r="Q74" i="11"/>
  <c r="Q74" i="13"/>
  <c r="Q75" i="47"/>
  <c r="Q61" i="10"/>
  <c r="Q61" i="11"/>
  <c r="Q77" i="11" s="1"/>
  <c r="Q79" i="11" s="1"/>
  <c r="Q61" i="50"/>
  <c r="Q62" i="47"/>
  <c r="Q78" i="47" s="1"/>
  <c r="Q80" i="47" s="1"/>
  <c r="Q61" i="43"/>
  <c r="Q77" i="43" s="1"/>
  <c r="Q79" i="43" s="1"/>
  <c r="Q62" i="45"/>
  <c r="Q78" i="45" s="1"/>
  <c r="Q80" i="45" s="1"/>
  <c r="Q61" i="38"/>
  <c r="Q62" i="23"/>
  <c r="Q78" i="23" s="1"/>
  <c r="Q80" i="23" s="1"/>
  <c r="Q61" i="13"/>
  <c r="Q77" i="13" s="1"/>
  <c r="Q79" i="13" s="1"/>
  <c r="Q62" i="12"/>
  <c r="Q61" i="15"/>
  <c r="Q75" i="12"/>
  <c r="Q75" i="45"/>
  <c r="R60" i="11"/>
  <c r="R61" i="47"/>
  <c r="R60" i="38"/>
  <c r="R60" i="43"/>
  <c r="R61" i="45"/>
  <c r="R61" i="23"/>
  <c r="R60" i="15"/>
  <c r="R60" i="13"/>
  <c r="R60" i="50"/>
  <c r="R61" i="12"/>
  <c r="R78" i="12" s="1"/>
  <c r="Q74" i="23"/>
  <c r="Q74" i="45"/>
  <c r="Q74" i="47"/>
  <c r="Q73" i="43"/>
  <c r="Q73" i="50"/>
  <c r="Q73" i="15"/>
  <c r="Q73" i="13"/>
  <c r="Q74" i="12"/>
  <c r="Q73" i="38"/>
  <c r="Q73" i="11"/>
  <c r="P75" i="10"/>
  <c r="Q71" i="10"/>
  <c r="R60" i="10"/>
  <c r="R62" i="10"/>
  <c r="S19" i="17"/>
  <c r="R18" i="17"/>
  <c r="S20" i="17"/>
  <c r="S63" i="61" l="1"/>
  <c r="S78" i="61" s="1"/>
  <c r="S37" i="17"/>
  <c r="S63" i="58"/>
  <c r="S62" i="61"/>
  <c r="S74" i="61" s="1"/>
  <c r="S75" i="61" s="1"/>
  <c r="S33" i="17"/>
  <c r="S34" i="17" s="1"/>
  <c r="R61" i="61"/>
  <c r="R77" i="61" s="1"/>
  <c r="R79" i="61" s="1"/>
  <c r="R83" i="61" s="1"/>
  <c r="R36" i="17"/>
  <c r="R38" i="17" s="1"/>
  <c r="R44" i="17" s="1"/>
  <c r="R80" i="12"/>
  <c r="R84" i="58"/>
  <c r="P83" i="15"/>
  <c r="P83" i="50"/>
  <c r="P83" i="11"/>
  <c r="S79" i="58"/>
  <c r="S80" i="58" s="1"/>
  <c r="S75" i="58"/>
  <c r="S76" i="58" s="1"/>
  <c r="P83" i="38"/>
  <c r="P84" i="12"/>
  <c r="P83" i="10"/>
  <c r="Q77" i="50"/>
  <c r="Q79" i="50" s="1"/>
  <c r="Q77" i="38"/>
  <c r="Q79" i="38" s="1"/>
  <c r="Q77" i="15"/>
  <c r="Q79" i="15" s="1"/>
  <c r="Q77" i="10"/>
  <c r="Q79" i="10" s="1"/>
  <c r="S64" i="58"/>
  <c r="R62" i="58"/>
  <c r="Q71" i="11"/>
  <c r="Q75" i="50"/>
  <c r="Q75" i="43"/>
  <c r="Q83" i="43" s="1"/>
  <c r="Q75" i="38"/>
  <c r="Q76" i="12"/>
  <c r="Q76" i="23"/>
  <c r="Q84" i="23" s="1"/>
  <c r="Q76" i="45"/>
  <c r="Q84" i="45" s="1"/>
  <c r="Q75" i="15"/>
  <c r="Q75" i="13"/>
  <c r="Q83" i="13" s="1"/>
  <c r="Q75" i="11"/>
  <c r="Q75" i="10"/>
  <c r="Q67" i="11"/>
  <c r="Q76" i="47"/>
  <c r="Q84" i="47" s="1"/>
  <c r="R74" i="10"/>
  <c r="R73" i="10"/>
  <c r="S62" i="11"/>
  <c r="S62" i="50"/>
  <c r="S63" i="47"/>
  <c r="S62" i="43"/>
  <c r="S63" i="45"/>
  <c r="S62" i="38"/>
  <c r="S63" i="23"/>
  <c r="S62" i="15"/>
  <c r="S62" i="13"/>
  <c r="S63" i="12"/>
  <c r="S79" i="12" s="1"/>
  <c r="S63" i="10"/>
  <c r="S78" i="10" s="1"/>
  <c r="S63" i="11"/>
  <c r="S78" i="11" s="1"/>
  <c r="S63" i="43"/>
  <c r="S78" i="43" s="1"/>
  <c r="S64" i="45"/>
  <c r="S79" i="45" s="1"/>
  <c r="S64" i="47"/>
  <c r="S79" i="47" s="1"/>
  <c r="S64" i="23"/>
  <c r="S79" i="23" s="1"/>
  <c r="S63" i="15"/>
  <c r="S78" i="15" s="1"/>
  <c r="S63" i="38"/>
  <c r="S78" i="38" s="1"/>
  <c r="S63" i="50"/>
  <c r="S78" i="50" s="1"/>
  <c r="S63" i="13"/>
  <c r="S78" i="13" s="1"/>
  <c r="S64" i="12"/>
  <c r="Q68" i="12"/>
  <c r="R74" i="43"/>
  <c r="R74" i="11"/>
  <c r="R74" i="15"/>
  <c r="R75" i="47"/>
  <c r="R61" i="10"/>
  <c r="R77" i="10" s="1"/>
  <c r="R79" i="10" s="1"/>
  <c r="R61" i="11"/>
  <c r="R77" i="11" s="1"/>
  <c r="R79" i="11" s="1"/>
  <c r="R61" i="50"/>
  <c r="R62" i="47"/>
  <c r="R78" i="47" s="1"/>
  <c r="R80" i="47" s="1"/>
  <c r="R61" i="38"/>
  <c r="R62" i="45"/>
  <c r="R78" i="45" s="1"/>
  <c r="R80" i="45" s="1"/>
  <c r="R61" i="13"/>
  <c r="R77" i="13" s="1"/>
  <c r="R79" i="13" s="1"/>
  <c r="R61" i="43"/>
  <c r="R77" i="43" s="1"/>
  <c r="R79" i="43" s="1"/>
  <c r="R62" i="23"/>
  <c r="R78" i="23" s="1"/>
  <c r="R80" i="23" s="1"/>
  <c r="R61" i="15"/>
  <c r="R62" i="12"/>
  <c r="R75" i="12"/>
  <c r="R74" i="38"/>
  <c r="R74" i="13"/>
  <c r="R74" i="50"/>
  <c r="R75" i="23"/>
  <c r="R75" i="45"/>
  <c r="R73" i="50"/>
  <c r="R73" i="38"/>
  <c r="R73" i="13"/>
  <c r="R74" i="45"/>
  <c r="R73" i="15"/>
  <c r="R74" i="47"/>
  <c r="R73" i="11"/>
  <c r="S60" i="11"/>
  <c r="S60" i="43"/>
  <c r="S61" i="45"/>
  <c r="S60" i="50"/>
  <c r="S60" i="13"/>
  <c r="S61" i="23"/>
  <c r="S60" i="15"/>
  <c r="S61" i="12"/>
  <c r="S78" i="12" s="1"/>
  <c r="S60" i="38"/>
  <c r="S61" i="47"/>
  <c r="R74" i="12"/>
  <c r="R74" i="23"/>
  <c r="R73" i="43"/>
  <c r="Q67" i="10"/>
  <c r="S60" i="10"/>
  <c r="S62" i="10"/>
  <c r="T19" i="17"/>
  <c r="T20" i="17"/>
  <c r="S18" i="17"/>
  <c r="T63" i="61" l="1"/>
  <c r="T78" i="61" s="1"/>
  <c r="T37" i="17"/>
  <c r="T63" i="58"/>
  <c r="T79" i="58" s="1"/>
  <c r="T80" i="58" s="1"/>
  <c r="T62" i="61"/>
  <c r="T74" i="61" s="1"/>
  <c r="T75" i="61" s="1"/>
  <c r="T33" i="17"/>
  <c r="T34" i="17" s="1"/>
  <c r="S61" i="61"/>
  <c r="S77" i="61" s="1"/>
  <c r="S79" i="61" s="1"/>
  <c r="S83" i="61" s="1"/>
  <c r="S36" i="17"/>
  <c r="S38" i="17" s="1"/>
  <c r="S44" i="17" s="1"/>
  <c r="Q84" i="12"/>
  <c r="S80" i="12"/>
  <c r="Q83" i="38"/>
  <c r="S84" i="58"/>
  <c r="Q83" i="50"/>
  <c r="Q83" i="15"/>
  <c r="Q83" i="11"/>
  <c r="Q83" i="10"/>
  <c r="R77" i="50"/>
  <c r="R79" i="50" s="1"/>
  <c r="R77" i="38"/>
  <c r="R79" i="38" s="1"/>
  <c r="R77" i="15"/>
  <c r="R79" i="15" s="1"/>
  <c r="T64" i="58"/>
  <c r="S62" i="58"/>
  <c r="R71" i="10"/>
  <c r="R71" i="11"/>
  <c r="R76" i="47"/>
  <c r="R84" i="47" s="1"/>
  <c r="R75" i="11"/>
  <c r="R76" i="23"/>
  <c r="R84" i="23" s="1"/>
  <c r="R68" i="12"/>
  <c r="R76" i="45"/>
  <c r="R84" i="45" s="1"/>
  <c r="R75" i="15"/>
  <c r="S74" i="10"/>
  <c r="R75" i="13"/>
  <c r="R83" i="13" s="1"/>
  <c r="S73" i="10"/>
  <c r="R67" i="10"/>
  <c r="R67" i="11"/>
  <c r="S74" i="15"/>
  <c r="R75" i="38"/>
  <c r="S75" i="12"/>
  <c r="S75" i="47"/>
  <c r="S74" i="13"/>
  <c r="S74" i="43"/>
  <c r="S75" i="23"/>
  <c r="S74" i="50"/>
  <c r="T62" i="11"/>
  <c r="T62" i="50"/>
  <c r="T63" i="47"/>
  <c r="T62" i="38"/>
  <c r="T63" i="45"/>
  <c r="T62" i="43"/>
  <c r="T62" i="13"/>
  <c r="T63" i="23"/>
  <c r="T63" i="12"/>
  <c r="T79" i="12" s="1"/>
  <c r="T62" i="15"/>
  <c r="R76" i="12"/>
  <c r="R75" i="50"/>
  <c r="S74" i="38"/>
  <c r="S61" i="10"/>
  <c r="S77" i="10" s="1"/>
  <c r="S79" i="10" s="1"/>
  <c r="S61" i="11"/>
  <c r="S77" i="11" s="1"/>
  <c r="S79" i="11" s="1"/>
  <c r="S61" i="50"/>
  <c r="S62" i="47"/>
  <c r="S78" i="47" s="1"/>
  <c r="S80" i="47" s="1"/>
  <c r="S61" i="38"/>
  <c r="S61" i="43"/>
  <c r="S77" i="43" s="1"/>
  <c r="S79" i="43" s="1"/>
  <c r="S61" i="13"/>
  <c r="S77" i="13" s="1"/>
  <c r="S79" i="13" s="1"/>
  <c r="S62" i="45"/>
  <c r="S78" i="45" s="1"/>
  <c r="S80" i="45" s="1"/>
  <c r="S62" i="23"/>
  <c r="S78" i="23" s="1"/>
  <c r="S80" i="23" s="1"/>
  <c r="S62" i="12"/>
  <c r="S61" i="15"/>
  <c r="T63" i="10"/>
  <c r="T78" i="10" s="1"/>
  <c r="T63" i="11"/>
  <c r="T78" i="11" s="1"/>
  <c r="T64" i="45"/>
  <c r="T79" i="45" s="1"/>
  <c r="T63" i="50"/>
  <c r="T78" i="50" s="1"/>
  <c r="T63" i="38"/>
  <c r="T78" i="38" s="1"/>
  <c r="T63" i="43"/>
  <c r="T78" i="43" s="1"/>
  <c r="T64" i="47"/>
  <c r="T79" i="47" s="1"/>
  <c r="T63" i="15"/>
  <c r="T78" i="15" s="1"/>
  <c r="T64" i="12"/>
  <c r="T63" i="13"/>
  <c r="T78" i="13" s="1"/>
  <c r="T64" i="23"/>
  <c r="T79" i="23" s="1"/>
  <c r="R75" i="43"/>
  <c r="R83" i="43" s="1"/>
  <c r="S75" i="45"/>
  <c r="S74" i="11"/>
  <c r="S73" i="15"/>
  <c r="S73" i="50"/>
  <c r="S73" i="43"/>
  <c r="S74" i="47"/>
  <c r="S74" i="23"/>
  <c r="S73" i="11"/>
  <c r="S73" i="38"/>
  <c r="S73" i="13"/>
  <c r="S74" i="45"/>
  <c r="T60" i="11"/>
  <c r="T61" i="45"/>
  <c r="T60" i="50"/>
  <c r="T61" i="47"/>
  <c r="T60" i="38"/>
  <c r="T61" i="12"/>
  <c r="T78" i="12" s="1"/>
  <c r="T60" i="13"/>
  <c r="T61" i="23"/>
  <c r="T60" i="15"/>
  <c r="T60" i="43"/>
  <c r="S74" i="12"/>
  <c r="R75" i="10"/>
  <c r="T62" i="10"/>
  <c r="U19" i="17"/>
  <c r="T60" i="10"/>
  <c r="T18" i="17"/>
  <c r="U20" i="17"/>
  <c r="U63" i="61" l="1"/>
  <c r="U78" i="61" s="1"/>
  <c r="U37" i="17"/>
  <c r="U63" i="58"/>
  <c r="U79" i="58" s="1"/>
  <c r="U80" i="58" s="1"/>
  <c r="U62" i="61"/>
  <c r="U74" i="61" s="1"/>
  <c r="U75" i="61" s="1"/>
  <c r="U33" i="17"/>
  <c r="U34" i="17" s="1"/>
  <c r="T75" i="58"/>
  <c r="T76" i="58" s="1"/>
  <c r="T84" i="58" s="1"/>
  <c r="T61" i="61"/>
  <c r="T77" i="61" s="1"/>
  <c r="T79" i="61" s="1"/>
  <c r="T83" i="61" s="1"/>
  <c r="T36" i="17"/>
  <c r="T38" i="17" s="1"/>
  <c r="T44" i="17" s="1"/>
  <c r="R83" i="15"/>
  <c r="R83" i="11"/>
  <c r="U75" i="58"/>
  <c r="U76" i="58" s="1"/>
  <c r="R83" i="50"/>
  <c r="R83" i="38"/>
  <c r="R84" i="12"/>
  <c r="T80" i="12"/>
  <c r="R83" i="10"/>
  <c r="S77" i="50"/>
  <c r="S79" i="50" s="1"/>
  <c r="S77" i="38"/>
  <c r="S79" i="38" s="1"/>
  <c r="S77" i="15"/>
  <c r="S79" i="15" s="1"/>
  <c r="U64" i="58"/>
  <c r="T62" i="58"/>
  <c r="S71" i="11"/>
  <c r="S71" i="10"/>
  <c r="S75" i="50"/>
  <c r="S75" i="15"/>
  <c r="S75" i="43"/>
  <c r="S83" i="43" s="1"/>
  <c r="S75" i="38"/>
  <c r="S76" i="23"/>
  <c r="S84" i="23" s="1"/>
  <c r="S76" i="47"/>
  <c r="S84" i="47" s="1"/>
  <c r="S75" i="11"/>
  <c r="S75" i="10"/>
  <c r="S76" i="45"/>
  <c r="S84" i="45" s="1"/>
  <c r="S67" i="10"/>
  <c r="T74" i="10"/>
  <c r="T73" i="10"/>
  <c r="U62" i="11"/>
  <c r="U62" i="50"/>
  <c r="U63" i="47"/>
  <c r="U62" i="38"/>
  <c r="U62" i="43"/>
  <c r="U63" i="45"/>
  <c r="U62" i="13"/>
  <c r="U63" i="12"/>
  <c r="U79" i="12" s="1"/>
  <c r="U62" i="15"/>
  <c r="U63" i="23"/>
  <c r="S75" i="13"/>
  <c r="S83" i="13" s="1"/>
  <c r="T74" i="11"/>
  <c r="T61" i="10"/>
  <c r="T77" i="10" s="1"/>
  <c r="T79" i="10" s="1"/>
  <c r="T61" i="11"/>
  <c r="T77" i="11" s="1"/>
  <c r="T79" i="11" s="1"/>
  <c r="T61" i="50"/>
  <c r="T62" i="47"/>
  <c r="T78" i="47" s="1"/>
  <c r="T80" i="47" s="1"/>
  <c r="T61" i="38"/>
  <c r="T61" i="43"/>
  <c r="T77" i="43" s="1"/>
  <c r="T79" i="43" s="1"/>
  <c r="T62" i="45"/>
  <c r="T78" i="45" s="1"/>
  <c r="T80" i="45" s="1"/>
  <c r="T61" i="13"/>
  <c r="T77" i="13" s="1"/>
  <c r="T79" i="13" s="1"/>
  <c r="T62" i="23"/>
  <c r="T78" i="23" s="1"/>
  <c r="T80" i="23" s="1"/>
  <c r="T61" i="15"/>
  <c r="T62" i="12"/>
  <c r="S68" i="12"/>
  <c r="T74" i="15"/>
  <c r="T75" i="45"/>
  <c r="S76" i="12"/>
  <c r="T75" i="12"/>
  <c r="T74" i="38"/>
  <c r="T75" i="23"/>
  <c r="T75" i="47"/>
  <c r="T74" i="43"/>
  <c r="U63" i="10"/>
  <c r="U78" i="10" s="1"/>
  <c r="U63" i="11"/>
  <c r="U78" i="11" s="1"/>
  <c r="U63" i="50"/>
  <c r="U78" i="50" s="1"/>
  <c r="U64" i="47"/>
  <c r="U79" i="47" s="1"/>
  <c r="U63" i="43"/>
  <c r="U78" i="43" s="1"/>
  <c r="U63" i="38"/>
  <c r="U78" i="38" s="1"/>
  <c r="U64" i="45"/>
  <c r="U79" i="45" s="1"/>
  <c r="U63" i="15"/>
  <c r="U78" i="15" s="1"/>
  <c r="U63" i="13"/>
  <c r="U78" i="13" s="1"/>
  <c r="U64" i="12"/>
  <c r="U64" i="23"/>
  <c r="U79" i="23" s="1"/>
  <c r="S67" i="11"/>
  <c r="T74" i="13"/>
  <c r="T74" i="50"/>
  <c r="T73" i="13"/>
  <c r="T74" i="47"/>
  <c r="T73" i="11"/>
  <c r="U60" i="11"/>
  <c r="U60" i="50"/>
  <c r="U61" i="47"/>
  <c r="U60" i="38"/>
  <c r="U60" i="43"/>
  <c r="U61" i="23"/>
  <c r="U60" i="15"/>
  <c r="U60" i="13"/>
  <c r="U61" i="45"/>
  <c r="U61" i="12"/>
  <c r="U78" i="12" s="1"/>
  <c r="T73" i="43"/>
  <c r="T74" i="12"/>
  <c r="T73" i="50"/>
  <c r="T74" i="23"/>
  <c r="T74" i="45"/>
  <c r="T73" i="15"/>
  <c r="T73" i="38"/>
  <c r="U60" i="10"/>
  <c r="U62" i="10"/>
  <c r="V19" i="17"/>
  <c r="U18" i="17"/>
  <c r="V20" i="17"/>
  <c r="V63" i="58" l="1"/>
  <c r="V79" i="58" s="1"/>
  <c r="V80" i="58" s="1"/>
  <c r="V62" i="61"/>
  <c r="V74" i="61" s="1"/>
  <c r="V75" i="61" s="1"/>
  <c r="V33" i="17"/>
  <c r="V34" i="17" s="1"/>
  <c r="V63" i="61"/>
  <c r="V78" i="61" s="1"/>
  <c r="V37" i="17"/>
  <c r="U61" i="61"/>
  <c r="U77" i="61" s="1"/>
  <c r="U79" i="61" s="1"/>
  <c r="U83" i="61" s="1"/>
  <c r="U36" i="17"/>
  <c r="U38" i="17" s="1"/>
  <c r="U44" i="17" s="1"/>
  <c r="U80" i="12"/>
  <c r="U84" i="58"/>
  <c r="V75" i="58"/>
  <c r="V76" i="58" s="1"/>
  <c r="S83" i="38"/>
  <c r="S83" i="50"/>
  <c r="S83" i="15"/>
  <c r="S84" i="12"/>
  <c r="S83" i="11"/>
  <c r="S83" i="10"/>
  <c r="T77" i="50"/>
  <c r="T79" i="50" s="1"/>
  <c r="T77" i="38"/>
  <c r="T79" i="38" s="1"/>
  <c r="T77" i="15"/>
  <c r="T79" i="15" s="1"/>
  <c r="V64" i="58"/>
  <c r="U62" i="58"/>
  <c r="T71" i="11"/>
  <c r="T71" i="10"/>
  <c r="T76" i="23"/>
  <c r="T84" i="23" s="1"/>
  <c r="T76" i="45"/>
  <c r="T84" i="45" s="1"/>
  <c r="T75" i="43"/>
  <c r="T83" i="43" s="1"/>
  <c r="T76" i="12"/>
  <c r="T75" i="10"/>
  <c r="T75" i="38"/>
  <c r="T75" i="13"/>
  <c r="T83" i="13" s="1"/>
  <c r="T68" i="12"/>
  <c r="T75" i="11"/>
  <c r="U74" i="10"/>
  <c r="U73" i="10"/>
  <c r="T75" i="50"/>
  <c r="U75" i="23"/>
  <c r="U74" i="43"/>
  <c r="T67" i="11"/>
  <c r="U74" i="15"/>
  <c r="U74" i="38"/>
  <c r="V63" i="10"/>
  <c r="V78" i="10" s="1"/>
  <c r="V63" i="11"/>
  <c r="V78" i="11" s="1"/>
  <c r="V63" i="50"/>
  <c r="V78" i="50" s="1"/>
  <c r="V64" i="47"/>
  <c r="V79" i="47" s="1"/>
  <c r="V63" i="38"/>
  <c r="V78" i="38" s="1"/>
  <c r="V64" i="45"/>
  <c r="V79" i="45" s="1"/>
  <c r="V63" i="13"/>
  <c r="V78" i="13" s="1"/>
  <c r="V63" i="15"/>
  <c r="V78" i="15" s="1"/>
  <c r="V64" i="12"/>
  <c r="V63" i="43"/>
  <c r="V78" i="43" s="1"/>
  <c r="V64" i="23"/>
  <c r="V79" i="23" s="1"/>
  <c r="U61" i="10"/>
  <c r="U77" i="10" s="1"/>
  <c r="U79" i="10" s="1"/>
  <c r="U61" i="11"/>
  <c r="U77" i="11" s="1"/>
  <c r="U79" i="11" s="1"/>
  <c r="U62" i="47"/>
  <c r="U78" i="47" s="1"/>
  <c r="U80" i="47" s="1"/>
  <c r="U61" i="38"/>
  <c r="U61" i="43"/>
  <c r="U77" i="43" s="1"/>
  <c r="U79" i="43" s="1"/>
  <c r="U62" i="45"/>
  <c r="U78" i="45" s="1"/>
  <c r="U80" i="45" s="1"/>
  <c r="U61" i="13"/>
  <c r="U77" i="13" s="1"/>
  <c r="U79" i="13" s="1"/>
  <c r="U62" i="23"/>
  <c r="U78" i="23" s="1"/>
  <c r="U80" i="23" s="1"/>
  <c r="U61" i="15"/>
  <c r="U61" i="50"/>
  <c r="U62" i="12"/>
  <c r="U75" i="12"/>
  <c r="U74" i="13"/>
  <c r="U74" i="50"/>
  <c r="V62" i="11"/>
  <c r="V62" i="50"/>
  <c r="V63" i="47"/>
  <c r="V62" i="38"/>
  <c r="V62" i="43"/>
  <c r="V63" i="45"/>
  <c r="V62" i="13"/>
  <c r="V63" i="23"/>
  <c r="V62" i="15"/>
  <c r="V63" i="12"/>
  <c r="V79" i="12" s="1"/>
  <c r="U75" i="47"/>
  <c r="U75" i="45"/>
  <c r="T76" i="47"/>
  <c r="T84" i="47" s="1"/>
  <c r="T75" i="15"/>
  <c r="U74" i="11"/>
  <c r="U74" i="23"/>
  <c r="V60" i="11"/>
  <c r="V61" i="47"/>
  <c r="V60" i="38"/>
  <c r="V60" i="43"/>
  <c r="V61" i="45"/>
  <c r="V61" i="23"/>
  <c r="V60" i="15"/>
  <c r="V60" i="50"/>
  <c r="V60" i="13"/>
  <c r="V61" i="12"/>
  <c r="V78" i="12" s="1"/>
  <c r="U74" i="12"/>
  <c r="U73" i="15"/>
  <c r="U73" i="38"/>
  <c r="U73" i="11"/>
  <c r="U74" i="45"/>
  <c r="U73" i="13"/>
  <c r="U74" i="47"/>
  <c r="U73" i="43"/>
  <c r="U73" i="50"/>
  <c r="T67" i="10"/>
  <c r="V62" i="10"/>
  <c r="W19" i="17"/>
  <c r="V60" i="10"/>
  <c r="W20" i="17"/>
  <c r="V18" i="17"/>
  <c r="W63" i="61" l="1"/>
  <c r="W78" i="61" s="1"/>
  <c r="W37" i="17"/>
  <c r="W63" i="58"/>
  <c r="W79" i="58" s="1"/>
  <c r="W80" i="58" s="1"/>
  <c r="W62" i="61"/>
  <c r="W74" i="61" s="1"/>
  <c r="W75" i="61" s="1"/>
  <c r="W33" i="17"/>
  <c r="W34" i="17" s="1"/>
  <c r="V61" i="61"/>
  <c r="V77" i="61" s="1"/>
  <c r="V79" i="61" s="1"/>
  <c r="V83" i="61" s="1"/>
  <c r="V36" i="17"/>
  <c r="V38" i="17" s="1"/>
  <c r="V44" i="17" s="1"/>
  <c r="V80" i="12"/>
  <c r="V84" i="58"/>
  <c r="T83" i="10"/>
  <c r="W75" i="58"/>
  <c r="W76" i="58" s="1"/>
  <c r="T83" i="38"/>
  <c r="T83" i="50"/>
  <c r="T83" i="15"/>
  <c r="T84" i="12"/>
  <c r="T83" i="11"/>
  <c r="U77" i="50"/>
  <c r="U79" i="50" s="1"/>
  <c r="U77" i="38"/>
  <c r="U79" i="38" s="1"/>
  <c r="U77" i="15"/>
  <c r="U79" i="15" s="1"/>
  <c r="W64" i="58"/>
  <c r="V62" i="58"/>
  <c r="U71" i="11"/>
  <c r="U71" i="10"/>
  <c r="U75" i="38"/>
  <c r="U76" i="23"/>
  <c r="U84" i="23" s="1"/>
  <c r="U75" i="13"/>
  <c r="U83" i="13" s="1"/>
  <c r="U67" i="11"/>
  <c r="U76" i="47"/>
  <c r="U84" i="47" s="1"/>
  <c r="U75" i="43"/>
  <c r="U83" i="43" s="1"/>
  <c r="U75" i="15"/>
  <c r="V74" i="10"/>
  <c r="U76" i="12"/>
  <c r="V73" i="10"/>
  <c r="V74" i="43"/>
  <c r="U75" i="50"/>
  <c r="U68" i="12"/>
  <c r="U75" i="11"/>
  <c r="V61" i="10"/>
  <c r="V77" i="10" s="1"/>
  <c r="V79" i="10" s="1"/>
  <c r="V61" i="11"/>
  <c r="V61" i="38"/>
  <c r="V61" i="43"/>
  <c r="V77" i="43" s="1"/>
  <c r="V79" i="43" s="1"/>
  <c r="V62" i="45"/>
  <c r="V78" i="45" s="1"/>
  <c r="V80" i="45" s="1"/>
  <c r="V61" i="50"/>
  <c r="V62" i="23"/>
  <c r="V78" i="23" s="1"/>
  <c r="V80" i="23" s="1"/>
  <c r="V61" i="15"/>
  <c r="V62" i="47"/>
  <c r="V78" i="47" s="1"/>
  <c r="V80" i="47" s="1"/>
  <c r="V61" i="13"/>
  <c r="V77" i="13" s="1"/>
  <c r="V79" i="13" s="1"/>
  <c r="V62" i="12"/>
  <c r="V74" i="13"/>
  <c r="V75" i="45"/>
  <c r="U76" i="45"/>
  <c r="U84" i="45" s="1"/>
  <c r="V75" i="12"/>
  <c r="V74" i="38"/>
  <c r="V74" i="15"/>
  <c r="V75" i="47"/>
  <c r="V74" i="11"/>
  <c r="W63" i="10"/>
  <c r="W78" i="10" s="1"/>
  <c r="W63" i="11"/>
  <c r="W78" i="11" s="1"/>
  <c r="W63" i="50"/>
  <c r="W78" i="50" s="1"/>
  <c r="W64" i="47"/>
  <c r="W79" i="47" s="1"/>
  <c r="W63" i="38"/>
  <c r="W78" i="38" s="1"/>
  <c r="W63" i="43"/>
  <c r="W78" i="43" s="1"/>
  <c r="W63" i="13"/>
  <c r="W78" i="13" s="1"/>
  <c r="W64" i="45"/>
  <c r="W79" i="45" s="1"/>
  <c r="W64" i="12"/>
  <c r="W64" i="23"/>
  <c r="W79" i="23" s="1"/>
  <c r="W63" i="15"/>
  <c r="W78" i="15" s="1"/>
  <c r="W62" i="11"/>
  <c r="W63" i="47"/>
  <c r="W62" i="38"/>
  <c r="W62" i="43"/>
  <c r="W63" i="45"/>
  <c r="W62" i="13"/>
  <c r="W63" i="23"/>
  <c r="W62" i="15"/>
  <c r="W62" i="50"/>
  <c r="W63" i="12"/>
  <c r="W79" i="12" s="1"/>
  <c r="V75" i="23"/>
  <c r="V74" i="50"/>
  <c r="V74" i="12"/>
  <c r="V74" i="23"/>
  <c r="V73" i="43"/>
  <c r="V73" i="13"/>
  <c r="V73" i="38"/>
  <c r="V73" i="50"/>
  <c r="V74" i="45"/>
  <c r="W60" i="11"/>
  <c r="W60" i="43"/>
  <c r="W61" i="45"/>
  <c r="W60" i="50"/>
  <c r="W60" i="13"/>
  <c r="W60" i="38"/>
  <c r="W61" i="12"/>
  <c r="W78" i="12" s="1"/>
  <c r="W61" i="23"/>
  <c r="W60" i="15"/>
  <c r="W61" i="47"/>
  <c r="V73" i="15"/>
  <c r="V74" i="47"/>
  <c r="V73" i="11"/>
  <c r="U67" i="10"/>
  <c r="U75" i="10"/>
  <c r="W62" i="10"/>
  <c r="X19" i="17"/>
  <c r="W60" i="10"/>
  <c r="X20" i="17"/>
  <c r="W18" i="17"/>
  <c r="X63" i="58" l="1"/>
  <c r="X62" i="61"/>
  <c r="X74" i="61" s="1"/>
  <c r="X75" i="61" s="1"/>
  <c r="X33" i="17"/>
  <c r="X34" i="17" s="1"/>
  <c r="X63" i="61"/>
  <c r="X78" i="61" s="1"/>
  <c r="X37" i="17"/>
  <c r="W61" i="61"/>
  <c r="W77" i="61" s="1"/>
  <c r="W79" i="61" s="1"/>
  <c r="W83" i="61" s="1"/>
  <c r="W36" i="17"/>
  <c r="W38" i="17" s="1"/>
  <c r="W44" i="17" s="1"/>
  <c r="W80" i="12"/>
  <c r="B49" i="15"/>
  <c r="AQ65" i="18"/>
  <c r="W84" i="58"/>
  <c r="U83" i="15"/>
  <c r="U83" i="38"/>
  <c r="X79" i="58"/>
  <c r="X80" i="58" s="1"/>
  <c r="X75" i="58"/>
  <c r="X76" i="58" s="1"/>
  <c r="U83" i="50"/>
  <c r="U84" i="12"/>
  <c r="U83" i="11"/>
  <c r="U83" i="10"/>
  <c r="V77" i="50"/>
  <c r="V79" i="50" s="1"/>
  <c r="V77" i="38"/>
  <c r="V79" i="38" s="1"/>
  <c r="V77" i="15"/>
  <c r="V79" i="15" s="1"/>
  <c r="V77" i="11"/>
  <c r="V79" i="11" s="1"/>
  <c r="X64" i="58"/>
  <c r="W62" i="58"/>
  <c r="V71" i="10"/>
  <c r="V76" i="45"/>
  <c r="V84" i="45" s="1"/>
  <c r="V76" i="23"/>
  <c r="V84" i="23" s="1"/>
  <c r="V75" i="10"/>
  <c r="V67" i="10"/>
  <c r="V75" i="11"/>
  <c r="V67" i="11"/>
  <c r="V76" i="47"/>
  <c r="V84" i="47" s="1"/>
  <c r="V75" i="43"/>
  <c r="V83" i="43" s="1"/>
  <c r="V75" i="13"/>
  <c r="V83" i="13" s="1"/>
  <c r="V75" i="50"/>
  <c r="V75" i="15"/>
  <c r="V68" i="12"/>
  <c r="W74" i="10"/>
  <c r="W73" i="10"/>
  <c r="V76" i="12"/>
  <c r="W75" i="12"/>
  <c r="W74" i="43"/>
  <c r="X63" i="10"/>
  <c r="X78" i="10" s="1"/>
  <c r="X63" i="11"/>
  <c r="X78" i="11" s="1"/>
  <c r="X63" i="50"/>
  <c r="X78" i="50" s="1"/>
  <c r="X64" i="47"/>
  <c r="X79" i="47" s="1"/>
  <c r="X63" i="38"/>
  <c r="X78" i="38" s="1"/>
  <c r="X63" i="43"/>
  <c r="X78" i="43" s="1"/>
  <c r="X64" i="45"/>
  <c r="X79" i="45" s="1"/>
  <c r="X63" i="13"/>
  <c r="X78" i="13" s="1"/>
  <c r="X64" i="23"/>
  <c r="X79" i="23" s="1"/>
  <c r="X63" i="15"/>
  <c r="X78" i="15" s="1"/>
  <c r="X64" i="12"/>
  <c r="W74" i="38"/>
  <c r="W74" i="50"/>
  <c r="V75" i="38"/>
  <c r="W74" i="15"/>
  <c r="W75" i="47"/>
  <c r="W61" i="10"/>
  <c r="W77" i="10" s="1"/>
  <c r="W79" i="10" s="1"/>
  <c r="W61" i="11"/>
  <c r="W61" i="43"/>
  <c r="W77" i="43" s="1"/>
  <c r="W79" i="43" s="1"/>
  <c r="W62" i="45"/>
  <c r="W78" i="45" s="1"/>
  <c r="W80" i="45" s="1"/>
  <c r="W62" i="47"/>
  <c r="W78" i="47" s="1"/>
  <c r="W80" i="47" s="1"/>
  <c r="W62" i="23"/>
  <c r="W78" i="23" s="1"/>
  <c r="W80" i="23" s="1"/>
  <c r="W61" i="15"/>
  <c r="W61" i="38"/>
  <c r="W61" i="50"/>
  <c r="W61" i="13"/>
  <c r="W77" i="13" s="1"/>
  <c r="W79" i="13" s="1"/>
  <c r="W62" i="12"/>
  <c r="W75" i="23"/>
  <c r="X62" i="11"/>
  <c r="X62" i="38"/>
  <c r="X62" i="43"/>
  <c r="X63" i="45"/>
  <c r="X62" i="50"/>
  <c r="X63" i="23"/>
  <c r="X62" i="15"/>
  <c r="X63" i="47"/>
  <c r="X62" i="13"/>
  <c r="X63" i="12"/>
  <c r="X79" i="12" s="1"/>
  <c r="W74" i="13"/>
  <c r="W75" i="45"/>
  <c r="W74" i="11"/>
  <c r="W74" i="23"/>
  <c r="W73" i="50"/>
  <c r="W73" i="43"/>
  <c r="W73" i="15"/>
  <c r="W73" i="13"/>
  <c r="X60" i="11"/>
  <c r="X61" i="45"/>
  <c r="X60" i="50"/>
  <c r="X61" i="47"/>
  <c r="X60" i="38"/>
  <c r="X61" i="12"/>
  <c r="X78" i="12" s="1"/>
  <c r="X60" i="13"/>
  <c r="X60" i="43"/>
  <c r="X61" i="23"/>
  <c r="X60" i="15"/>
  <c r="W74" i="12"/>
  <c r="W73" i="11"/>
  <c r="W74" i="47"/>
  <c r="W73" i="38"/>
  <c r="W74" i="45"/>
  <c r="X62" i="10"/>
  <c r="Y19" i="17"/>
  <c r="X60" i="10"/>
  <c r="X18" i="17"/>
  <c r="Y20" i="17"/>
  <c r="Y63" i="61" l="1"/>
  <c r="Y78" i="61" s="1"/>
  <c r="Y37" i="17"/>
  <c r="Y63" i="58"/>
  <c r="Y62" i="61"/>
  <c r="Y74" i="61" s="1"/>
  <c r="Y75" i="61" s="1"/>
  <c r="Y33" i="17"/>
  <c r="Y34" i="17" s="1"/>
  <c r="X61" i="61"/>
  <c r="X77" i="61" s="1"/>
  <c r="X79" i="61" s="1"/>
  <c r="X83" i="61" s="1"/>
  <c r="X36" i="17"/>
  <c r="X38" i="17" s="1"/>
  <c r="X44" i="17" s="1"/>
  <c r="G12" i="60"/>
  <c r="G28" i="18"/>
  <c r="AP65" i="18" s="1"/>
  <c r="X84" i="58"/>
  <c r="V84" i="12"/>
  <c r="X80" i="12"/>
  <c r="V83" i="38"/>
  <c r="Y79" i="58"/>
  <c r="Y80" i="58" s="1"/>
  <c r="Y75" i="58"/>
  <c r="Y76" i="58" s="1"/>
  <c r="V83" i="50"/>
  <c r="V83" i="15"/>
  <c r="V83" i="10"/>
  <c r="W77" i="50"/>
  <c r="W79" i="50" s="1"/>
  <c r="W77" i="38"/>
  <c r="W79" i="38" s="1"/>
  <c r="W77" i="15"/>
  <c r="W79" i="15" s="1"/>
  <c r="W77" i="11"/>
  <c r="W79" i="11" s="1"/>
  <c r="Y64" i="58"/>
  <c r="X62" i="58"/>
  <c r="W71" i="10"/>
  <c r="W75" i="50"/>
  <c r="W75" i="15"/>
  <c r="W76" i="45"/>
  <c r="W84" i="45" s="1"/>
  <c r="W75" i="43"/>
  <c r="W83" i="43" s="1"/>
  <c r="W75" i="38"/>
  <c r="W75" i="11"/>
  <c r="W75" i="13"/>
  <c r="W83" i="13" s="1"/>
  <c r="W76" i="12"/>
  <c r="X74" i="10"/>
  <c r="W76" i="23"/>
  <c r="W84" i="23" s="1"/>
  <c r="X73" i="10"/>
  <c r="W68" i="12"/>
  <c r="W67" i="11"/>
  <c r="X74" i="11"/>
  <c r="X75" i="12"/>
  <c r="X75" i="45"/>
  <c r="X74" i="13"/>
  <c r="X74" i="43"/>
  <c r="X61" i="10"/>
  <c r="X77" i="10" s="1"/>
  <c r="X79" i="10" s="1"/>
  <c r="X61" i="11"/>
  <c r="X62" i="45"/>
  <c r="X78" i="45" s="1"/>
  <c r="X80" i="45" s="1"/>
  <c r="X61" i="50"/>
  <c r="X61" i="38"/>
  <c r="X62" i="47"/>
  <c r="X78" i="47" s="1"/>
  <c r="X80" i="47" s="1"/>
  <c r="X61" i="43"/>
  <c r="X77" i="43" s="1"/>
  <c r="X79" i="43" s="1"/>
  <c r="X61" i="13"/>
  <c r="X77" i="13" s="1"/>
  <c r="X79" i="13" s="1"/>
  <c r="X62" i="12"/>
  <c r="X61" i="15"/>
  <c r="X62" i="23"/>
  <c r="X78" i="23" s="1"/>
  <c r="X80" i="23" s="1"/>
  <c r="Y63" i="10"/>
  <c r="Y78" i="10" s="1"/>
  <c r="Y63" i="11"/>
  <c r="Y78" i="11" s="1"/>
  <c r="Y64" i="47"/>
  <c r="Y79" i="47" s="1"/>
  <c r="Y63" i="38"/>
  <c r="Y78" i="38" s="1"/>
  <c r="Y63" i="43"/>
  <c r="Y78" i="43" s="1"/>
  <c r="Y64" i="45"/>
  <c r="Y79" i="45" s="1"/>
  <c r="Y63" i="13"/>
  <c r="Y78" i="13" s="1"/>
  <c r="Y64" i="23"/>
  <c r="Y79" i="23" s="1"/>
  <c r="Y63" i="15"/>
  <c r="Y78" i="15" s="1"/>
  <c r="Y63" i="50"/>
  <c r="Y78" i="50" s="1"/>
  <c r="Y64" i="12"/>
  <c r="W76" i="47"/>
  <c r="W84" i="47" s="1"/>
  <c r="X74" i="38"/>
  <c r="X74" i="50"/>
  <c r="Y62" i="11"/>
  <c r="Y62" i="43"/>
  <c r="Y63" i="45"/>
  <c r="Y63" i="47"/>
  <c r="Y63" i="23"/>
  <c r="Y62" i="15"/>
  <c r="Y62" i="38"/>
  <c r="Y62" i="50"/>
  <c r="Y62" i="13"/>
  <c r="Y63" i="12"/>
  <c r="Y79" i="12" s="1"/>
  <c r="X75" i="47"/>
  <c r="X74" i="15"/>
  <c r="W67" i="10"/>
  <c r="X75" i="23"/>
  <c r="X74" i="23"/>
  <c r="X73" i="50"/>
  <c r="Y60" i="11"/>
  <c r="Y60" i="50"/>
  <c r="Y61" i="47"/>
  <c r="Y60" i="38"/>
  <c r="Y60" i="43"/>
  <c r="Y61" i="12"/>
  <c r="Y78" i="12" s="1"/>
  <c r="Y61" i="23"/>
  <c r="Y60" i="15"/>
  <c r="Y61" i="45"/>
  <c r="Y60" i="13"/>
  <c r="X73" i="43"/>
  <c r="X73" i="38"/>
  <c r="X73" i="13"/>
  <c r="X74" i="45"/>
  <c r="X74" i="12"/>
  <c r="X73" i="15"/>
  <c r="X74" i="47"/>
  <c r="X73" i="11"/>
  <c r="W75" i="10"/>
  <c r="Y60" i="10"/>
  <c r="Y62" i="10"/>
  <c r="Z19" i="17"/>
  <c r="Z20" i="17"/>
  <c r="Y18" i="17"/>
  <c r="Z63" i="58" l="1"/>
  <c r="Z79" i="58" s="1"/>
  <c r="Z80" i="58" s="1"/>
  <c r="Z62" i="61"/>
  <c r="Z74" i="61" s="1"/>
  <c r="Z75" i="61" s="1"/>
  <c r="Z33" i="17"/>
  <c r="Z34" i="17" s="1"/>
  <c r="Z63" i="61"/>
  <c r="Z78" i="61" s="1"/>
  <c r="Z37" i="17"/>
  <c r="Y61" i="61"/>
  <c r="Y77" i="61" s="1"/>
  <c r="Y79" i="61" s="1"/>
  <c r="Y83" i="61" s="1"/>
  <c r="Y36" i="17"/>
  <c r="Y38" i="17" s="1"/>
  <c r="Y44" i="17" s="1"/>
  <c r="Y84" i="58"/>
  <c r="Z75" i="58"/>
  <c r="Z76" i="58" s="1"/>
  <c r="W83" i="50"/>
  <c r="W83" i="38"/>
  <c r="W83" i="15"/>
  <c r="Y80" i="12"/>
  <c r="W84" i="12"/>
  <c r="W83" i="10"/>
  <c r="X77" i="50"/>
  <c r="X79" i="50" s="1"/>
  <c r="X77" i="38"/>
  <c r="X79" i="38" s="1"/>
  <c r="X77" i="15"/>
  <c r="X79" i="15" s="1"/>
  <c r="X77" i="11"/>
  <c r="X79" i="11" s="1"/>
  <c r="Z64" i="58"/>
  <c r="Y62" i="58"/>
  <c r="X71" i="10"/>
  <c r="X75" i="15"/>
  <c r="X68" i="12"/>
  <c r="X76" i="12"/>
  <c r="X76" i="45"/>
  <c r="X84" i="45" s="1"/>
  <c r="X75" i="50"/>
  <c r="X76" i="23"/>
  <c r="X84" i="23" s="1"/>
  <c r="X67" i="11"/>
  <c r="X75" i="11"/>
  <c r="X75" i="38"/>
  <c r="X67" i="10"/>
  <c r="Y74" i="10"/>
  <c r="Y73" i="10"/>
  <c r="X76" i="47"/>
  <c r="X84" i="47" s="1"/>
  <c r="Y74" i="38"/>
  <c r="X75" i="43"/>
  <c r="X83" i="43" s="1"/>
  <c r="Y74" i="15"/>
  <c r="Z63" i="10"/>
  <c r="Z78" i="10" s="1"/>
  <c r="Z63" i="11"/>
  <c r="Z78" i="11" s="1"/>
  <c r="Z63" i="38"/>
  <c r="Z78" i="38" s="1"/>
  <c r="Z63" i="43"/>
  <c r="Z78" i="43" s="1"/>
  <c r="Z64" i="45"/>
  <c r="Z79" i="45" s="1"/>
  <c r="Z63" i="50"/>
  <c r="Z78" i="50" s="1"/>
  <c r="Z64" i="47"/>
  <c r="Z79" i="47" s="1"/>
  <c r="Z64" i="23"/>
  <c r="Z79" i="23" s="1"/>
  <c r="Z63" i="15"/>
  <c r="Z78" i="15" s="1"/>
  <c r="Z63" i="13"/>
  <c r="Z78" i="13" s="1"/>
  <c r="Z64" i="12"/>
  <c r="Z62" i="11"/>
  <c r="Z63" i="45"/>
  <c r="Z62" i="50"/>
  <c r="Z62" i="38"/>
  <c r="Z63" i="47"/>
  <c r="Z62" i="43"/>
  <c r="Z62" i="13"/>
  <c r="Z62" i="15"/>
  <c r="Z63" i="12"/>
  <c r="Z79" i="12" s="1"/>
  <c r="Z63" i="23"/>
  <c r="Y75" i="23"/>
  <c r="Y75" i="12"/>
  <c r="Y75" i="47"/>
  <c r="Y75" i="45"/>
  <c r="Y74" i="11"/>
  <c r="Y61" i="10"/>
  <c r="Y77" i="10" s="1"/>
  <c r="Y79" i="10" s="1"/>
  <c r="Y61" i="11"/>
  <c r="Y77" i="11" s="1"/>
  <c r="Y79" i="11" s="1"/>
  <c r="Y61" i="50"/>
  <c r="Y62" i="47"/>
  <c r="Y78" i="47" s="1"/>
  <c r="Y80" i="47" s="1"/>
  <c r="Y61" i="43"/>
  <c r="Y77" i="43" s="1"/>
  <c r="Y79" i="43" s="1"/>
  <c r="Y62" i="45"/>
  <c r="Y78" i="45" s="1"/>
  <c r="Y80" i="45" s="1"/>
  <c r="Y61" i="38"/>
  <c r="Y61" i="15"/>
  <c r="Y62" i="12"/>
  <c r="Y62" i="23"/>
  <c r="Y78" i="23" s="1"/>
  <c r="Y80" i="23" s="1"/>
  <c r="Y61" i="13"/>
  <c r="Y77" i="13" s="1"/>
  <c r="Y79" i="13" s="1"/>
  <c r="X75" i="13"/>
  <c r="X83" i="13" s="1"/>
  <c r="Y74" i="13"/>
  <c r="Y74" i="43"/>
  <c r="Y74" i="50"/>
  <c r="Y74" i="23"/>
  <c r="Y73" i="38"/>
  <c r="Y73" i="11"/>
  <c r="Y73" i="13"/>
  <c r="Y74" i="12"/>
  <c r="Z60" i="11"/>
  <c r="Z61" i="47"/>
  <c r="Z60" i="38"/>
  <c r="Z60" i="43"/>
  <c r="Z61" i="45"/>
  <c r="Z60" i="50"/>
  <c r="Z61" i="23"/>
  <c r="Z60" i="15"/>
  <c r="Z60" i="13"/>
  <c r="Z61" i="12"/>
  <c r="Z78" i="12" s="1"/>
  <c r="Y74" i="45"/>
  <c r="Y74" i="47"/>
  <c r="Y73" i="15"/>
  <c r="Y73" i="43"/>
  <c r="Y73" i="50"/>
  <c r="X75" i="10"/>
  <c r="Z60" i="10"/>
  <c r="Z62" i="10"/>
  <c r="AA19" i="17"/>
  <c r="AA20" i="17"/>
  <c r="Z18" i="17"/>
  <c r="AA63" i="58" l="1"/>
  <c r="AA62" i="61"/>
  <c r="AA74" i="61" s="1"/>
  <c r="AA75" i="61" s="1"/>
  <c r="AA33" i="17"/>
  <c r="AA34" i="17" s="1"/>
  <c r="AA63" i="61"/>
  <c r="AA78" i="61" s="1"/>
  <c r="AA37" i="17"/>
  <c r="Z61" i="61"/>
  <c r="Z77" i="61" s="1"/>
  <c r="Z79" i="61" s="1"/>
  <c r="Z83" i="61" s="1"/>
  <c r="Z36" i="17"/>
  <c r="Z38" i="17" s="1"/>
  <c r="Z44" i="17" s="1"/>
  <c r="X83" i="15"/>
  <c r="Z84" i="58"/>
  <c r="X83" i="38"/>
  <c r="X83" i="50"/>
  <c r="AA79" i="58"/>
  <c r="AA80" i="58" s="1"/>
  <c r="AA75" i="58"/>
  <c r="AA76" i="58" s="1"/>
  <c r="Z80" i="12"/>
  <c r="X84" i="12"/>
  <c r="X83" i="10"/>
  <c r="Y77" i="50"/>
  <c r="Y79" i="50" s="1"/>
  <c r="Y77" i="38"/>
  <c r="Y79" i="38" s="1"/>
  <c r="Y77" i="15"/>
  <c r="Y79" i="15" s="1"/>
  <c r="AA64" i="58"/>
  <c r="Z62" i="58"/>
  <c r="Y71" i="11"/>
  <c r="Y71" i="10"/>
  <c r="Y75" i="11"/>
  <c r="Y75" i="38"/>
  <c r="Y76" i="45"/>
  <c r="Y84" i="45" s="1"/>
  <c r="Y75" i="50"/>
  <c r="Y76" i="47"/>
  <c r="Y84" i="47" s="1"/>
  <c r="Y75" i="13"/>
  <c r="Y83" i="13" s="1"/>
  <c r="Y75" i="10"/>
  <c r="Y76" i="23"/>
  <c r="Y84" i="23" s="1"/>
  <c r="Y68" i="12"/>
  <c r="Y76" i="12"/>
  <c r="Y67" i="11"/>
  <c r="Z74" i="10"/>
  <c r="Y75" i="15"/>
  <c r="Z73" i="10"/>
  <c r="Y75" i="43"/>
  <c r="Y83" i="43" s="1"/>
  <c r="Z74" i="13"/>
  <c r="AA62" i="11"/>
  <c r="AA62" i="50"/>
  <c r="AA63" i="47"/>
  <c r="AA62" i="43"/>
  <c r="AA63" i="45"/>
  <c r="AA62" i="38"/>
  <c r="AA62" i="15"/>
  <c r="AA63" i="12"/>
  <c r="AA79" i="12" s="1"/>
  <c r="AA62" i="13"/>
  <c r="AA63" i="23"/>
  <c r="Z74" i="43"/>
  <c r="Z74" i="11"/>
  <c r="Z75" i="23"/>
  <c r="Z75" i="47"/>
  <c r="Z61" i="10"/>
  <c r="Z77" i="10" s="1"/>
  <c r="Z79" i="10" s="1"/>
  <c r="Z61" i="11"/>
  <c r="Z77" i="11" s="1"/>
  <c r="Z79" i="11" s="1"/>
  <c r="Z61" i="50"/>
  <c r="Z62" i="47"/>
  <c r="Z78" i="47" s="1"/>
  <c r="Z80" i="47" s="1"/>
  <c r="Z61" i="38"/>
  <c r="Z62" i="45"/>
  <c r="Z78" i="45" s="1"/>
  <c r="Z80" i="45" s="1"/>
  <c r="Z61" i="43"/>
  <c r="Z77" i="43" s="1"/>
  <c r="Z79" i="43" s="1"/>
  <c r="Z61" i="13"/>
  <c r="Z77" i="13" s="1"/>
  <c r="Z79" i="13" s="1"/>
  <c r="Z61" i="15"/>
  <c r="Z62" i="12"/>
  <c r="Z62" i="23"/>
  <c r="Z78" i="23" s="1"/>
  <c r="Z80" i="23" s="1"/>
  <c r="Z75" i="12"/>
  <c r="Z74" i="38"/>
  <c r="Z75" i="45"/>
  <c r="AA63" i="10"/>
  <c r="AA78" i="10" s="1"/>
  <c r="AA63" i="11"/>
  <c r="AA78" i="11" s="1"/>
  <c r="AA63" i="43"/>
  <c r="AA78" i="43" s="1"/>
  <c r="AA64" i="45"/>
  <c r="AA79" i="45" s="1"/>
  <c r="AA64" i="47"/>
  <c r="AA79" i="47" s="1"/>
  <c r="AA63" i="38"/>
  <c r="AA78" i="38" s="1"/>
  <c r="AA64" i="23"/>
  <c r="AA79" i="23" s="1"/>
  <c r="AA63" i="15"/>
  <c r="AA78" i="15" s="1"/>
  <c r="AA63" i="50"/>
  <c r="AA78" i="50" s="1"/>
  <c r="AA63" i="13"/>
  <c r="AA78" i="13" s="1"/>
  <c r="AA64" i="12"/>
  <c r="Z74" i="15"/>
  <c r="Z74" i="50"/>
  <c r="Z73" i="15"/>
  <c r="Z74" i="45"/>
  <c r="Z74" i="23"/>
  <c r="Z74" i="47"/>
  <c r="Z73" i="11"/>
  <c r="Z73" i="13"/>
  <c r="Z73" i="38"/>
  <c r="AA60" i="11"/>
  <c r="AA60" i="43"/>
  <c r="AA61" i="45"/>
  <c r="AA60" i="50"/>
  <c r="AA60" i="38"/>
  <c r="AA60" i="13"/>
  <c r="AA61" i="47"/>
  <c r="AA61" i="12"/>
  <c r="AA78" i="12" s="1"/>
  <c r="AA61" i="23"/>
  <c r="AA60" i="15"/>
  <c r="Z74" i="12"/>
  <c r="Z73" i="50"/>
  <c r="Z73" i="43"/>
  <c r="Y67" i="10"/>
  <c r="AA60" i="10"/>
  <c r="AA62" i="10"/>
  <c r="AB19" i="17"/>
  <c r="AA18" i="17"/>
  <c r="AB20" i="17"/>
  <c r="AB63" i="61" l="1"/>
  <c r="AB78" i="61" s="1"/>
  <c r="AB37" i="17"/>
  <c r="AB63" i="58"/>
  <c r="AB79" i="58" s="1"/>
  <c r="AB80" i="58" s="1"/>
  <c r="AB62" i="61"/>
  <c r="AB74" i="61" s="1"/>
  <c r="AB75" i="61" s="1"/>
  <c r="AB33" i="17"/>
  <c r="AB34" i="17" s="1"/>
  <c r="AA61" i="61"/>
  <c r="AA77" i="61" s="1"/>
  <c r="AA79" i="61" s="1"/>
  <c r="AA83" i="61" s="1"/>
  <c r="AA36" i="17"/>
  <c r="AA38" i="17" s="1"/>
  <c r="AA44" i="17" s="1"/>
  <c r="F12" i="60"/>
  <c r="AQ52" i="18"/>
  <c r="Y83" i="15"/>
  <c r="AA84" i="58"/>
  <c r="Y83" i="38"/>
  <c r="Y83" i="10"/>
  <c r="Y84" i="12"/>
  <c r="AB75" i="58"/>
  <c r="AB76" i="58" s="1"/>
  <c r="Y83" i="11"/>
  <c r="Y83" i="50"/>
  <c r="AA80" i="12"/>
  <c r="Z77" i="50"/>
  <c r="Z79" i="50" s="1"/>
  <c r="Z77" i="38"/>
  <c r="Z79" i="38" s="1"/>
  <c r="Z77" i="15"/>
  <c r="Z79" i="15" s="1"/>
  <c r="AB64" i="58"/>
  <c r="AA62" i="58"/>
  <c r="Z71" i="11"/>
  <c r="Z71" i="10"/>
  <c r="Z75" i="38"/>
  <c r="Z76" i="47"/>
  <c r="Z84" i="47" s="1"/>
  <c r="Z75" i="50"/>
  <c r="Z76" i="45"/>
  <c r="Z84" i="45" s="1"/>
  <c r="Z75" i="43"/>
  <c r="Z83" i="43" s="1"/>
  <c r="Z75" i="13"/>
  <c r="Z83" i="13" s="1"/>
  <c r="Z67" i="11"/>
  <c r="Z75" i="15"/>
  <c r="Z68" i="12"/>
  <c r="Z76" i="12"/>
  <c r="AA74" i="10"/>
  <c r="AA73" i="10"/>
  <c r="Z76" i="23"/>
  <c r="Z84" i="23" s="1"/>
  <c r="AB63" i="10"/>
  <c r="AB78" i="10" s="1"/>
  <c r="AB63" i="11"/>
  <c r="AB78" i="11" s="1"/>
  <c r="AB64" i="45"/>
  <c r="AB79" i="45" s="1"/>
  <c r="AB63" i="50"/>
  <c r="AB78" i="50" s="1"/>
  <c r="AB63" i="38"/>
  <c r="AB78" i="38" s="1"/>
  <c r="AB64" i="47"/>
  <c r="AB79" i="47" s="1"/>
  <c r="AB64" i="12"/>
  <c r="AB64" i="23"/>
  <c r="AB79" i="23" s="1"/>
  <c r="AB63" i="43"/>
  <c r="AB78" i="43" s="1"/>
  <c r="AB63" i="15"/>
  <c r="AB78" i="15" s="1"/>
  <c r="AB63" i="13"/>
  <c r="AB78" i="13" s="1"/>
  <c r="AA75" i="12"/>
  <c r="AA74" i="50"/>
  <c r="AA74" i="15"/>
  <c r="AB62" i="11"/>
  <c r="AB62" i="50"/>
  <c r="AB63" i="47"/>
  <c r="AB62" i="38"/>
  <c r="AB63" i="45"/>
  <c r="AB62" i="43"/>
  <c r="AB62" i="13"/>
  <c r="AB63" i="12"/>
  <c r="AB79" i="12" s="1"/>
  <c r="AB63" i="23"/>
  <c r="AB62" i="15"/>
  <c r="Z67" i="10"/>
  <c r="AA74" i="38"/>
  <c r="Z75" i="11"/>
  <c r="AA75" i="45"/>
  <c r="AA74" i="11"/>
  <c r="AA75" i="47"/>
  <c r="AA75" i="23"/>
  <c r="AA61" i="10"/>
  <c r="AA77" i="10" s="1"/>
  <c r="AA79" i="10" s="1"/>
  <c r="AA61" i="11"/>
  <c r="AA77" i="11" s="1"/>
  <c r="AA79" i="11" s="1"/>
  <c r="AA61" i="50"/>
  <c r="AA62" i="47"/>
  <c r="AA78" i="47" s="1"/>
  <c r="AA80" i="47" s="1"/>
  <c r="AA61" i="38"/>
  <c r="AA61" i="43"/>
  <c r="AA77" i="43" s="1"/>
  <c r="AA79" i="43" s="1"/>
  <c r="AA62" i="45"/>
  <c r="AA78" i="45" s="1"/>
  <c r="AA80" i="45" s="1"/>
  <c r="AA61" i="13"/>
  <c r="AA77" i="13" s="1"/>
  <c r="AA79" i="13" s="1"/>
  <c r="AA62" i="12"/>
  <c r="AA62" i="23"/>
  <c r="AA78" i="23" s="1"/>
  <c r="AA80" i="23" s="1"/>
  <c r="AA61" i="15"/>
  <c r="AA74" i="13"/>
  <c r="AA74" i="43"/>
  <c r="AB60" i="11"/>
  <c r="AB61" i="45"/>
  <c r="AB60" i="50"/>
  <c r="AB61" i="47"/>
  <c r="AB60" i="38"/>
  <c r="AB61" i="12"/>
  <c r="AB78" i="12" s="1"/>
  <c r="AB60" i="43"/>
  <c r="AB61" i="23"/>
  <c r="AB60" i="15"/>
  <c r="AB60" i="13"/>
  <c r="AA73" i="38"/>
  <c r="AA74" i="12"/>
  <c r="AA73" i="50"/>
  <c r="AA73" i="43"/>
  <c r="AA73" i="15"/>
  <c r="AA74" i="47"/>
  <c r="AA73" i="11"/>
  <c r="AA74" i="23"/>
  <c r="AA73" i="13"/>
  <c r="AA74" i="45"/>
  <c r="Z75" i="10"/>
  <c r="AB60" i="10"/>
  <c r="AB62" i="10"/>
  <c r="AC19" i="17"/>
  <c r="AC20" i="17"/>
  <c r="AB18" i="17"/>
  <c r="AC63" i="58" l="1"/>
  <c r="AC62" i="61"/>
  <c r="AC74" i="61" s="1"/>
  <c r="AC75" i="61" s="1"/>
  <c r="AC33" i="17"/>
  <c r="AC34" i="17" s="1"/>
  <c r="AC63" i="61"/>
  <c r="AC78" i="61" s="1"/>
  <c r="AC37" i="17"/>
  <c r="AB61" i="61"/>
  <c r="AB77" i="61" s="1"/>
  <c r="AB79" i="61" s="1"/>
  <c r="AB83" i="61" s="1"/>
  <c r="AB36" i="17"/>
  <c r="AB38" i="17" s="1"/>
  <c r="AB44" i="17" s="1"/>
  <c r="F28" i="18"/>
  <c r="AP52" i="18" s="1"/>
  <c r="B49" i="10"/>
  <c r="AQ10" i="18"/>
  <c r="Y53" i="18" s="1"/>
  <c r="B49" i="43"/>
  <c r="AQ130" i="18"/>
  <c r="AA53" i="18" s="1"/>
  <c r="Z83" i="10"/>
  <c r="Z83" i="50"/>
  <c r="Z83" i="11"/>
  <c r="AB80" i="12"/>
  <c r="AB62" i="58"/>
  <c r="AC79" i="58"/>
  <c r="AC80" i="58" s="1"/>
  <c r="AC75" i="58"/>
  <c r="AC76" i="58" s="1"/>
  <c r="AB84" i="58"/>
  <c r="Z83" i="38"/>
  <c r="Z83" i="15"/>
  <c r="Z84" i="12"/>
  <c r="AA77" i="50"/>
  <c r="AA79" i="50" s="1"/>
  <c r="AA77" i="38"/>
  <c r="AA79" i="38" s="1"/>
  <c r="AA77" i="15"/>
  <c r="AA79" i="15" s="1"/>
  <c r="AC64" i="58"/>
  <c r="AA71" i="11"/>
  <c r="AA71" i="10"/>
  <c r="AA76" i="45"/>
  <c r="AA84" i="45" s="1"/>
  <c r="AA76" i="47"/>
  <c r="AA84" i="47" s="1"/>
  <c r="AA75" i="38"/>
  <c r="AA75" i="11"/>
  <c r="AA75" i="10"/>
  <c r="AA75" i="50"/>
  <c r="AA76" i="23"/>
  <c r="AA84" i="23" s="1"/>
  <c r="AA75" i="43"/>
  <c r="AA83" i="43" s="1"/>
  <c r="AA68" i="12"/>
  <c r="AA76" i="12"/>
  <c r="AA67" i="11"/>
  <c r="AB74" i="10"/>
  <c r="AB73" i="10"/>
  <c r="AB74" i="15"/>
  <c r="AB75" i="45"/>
  <c r="AB75" i="23"/>
  <c r="AB74" i="38"/>
  <c r="AC63" i="10"/>
  <c r="AC78" i="10" s="1"/>
  <c r="AC63" i="11"/>
  <c r="AC78" i="11" s="1"/>
  <c r="AC63" i="50"/>
  <c r="AC78" i="50" s="1"/>
  <c r="AC64" i="47"/>
  <c r="AC79" i="47" s="1"/>
  <c r="AC63" i="43"/>
  <c r="AC78" i="43" s="1"/>
  <c r="AC63" i="38"/>
  <c r="AC78" i="38" s="1"/>
  <c r="AC64" i="23"/>
  <c r="AC79" i="23" s="1"/>
  <c r="AC64" i="12"/>
  <c r="AC63" i="13"/>
  <c r="AC78" i="13" s="1"/>
  <c r="AC64" i="45"/>
  <c r="AC79" i="45" s="1"/>
  <c r="AC63" i="15"/>
  <c r="AC78" i="15" s="1"/>
  <c r="AA75" i="15"/>
  <c r="AB75" i="12"/>
  <c r="AB75" i="47"/>
  <c r="AB74" i="13"/>
  <c r="AB74" i="50"/>
  <c r="AA75" i="13"/>
  <c r="AA83" i="13" s="1"/>
  <c r="AB74" i="11"/>
  <c r="AB61" i="10"/>
  <c r="AB77" i="10" s="1"/>
  <c r="AB79" i="10" s="1"/>
  <c r="AB61" i="11"/>
  <c r="AB77" i="11" s="1"/>
  <c r="AB79" i="11" s="1"/>
  <c r="AB61" i="50"/>
  <c r="AB62" i="47"/>
  <c r="AB78" i="47" s="1"/>
  <c r="AB80" i="47" s="1"/>
  <c r="AB61" i="38"/>
  <c r="AB61" i="43"/>
  <c r="AB77" i="43" s="1"/>
  <c r="AB79" i="43" s="1"/>
  <c r="AB62" i="45"/>
  <c r="AB78" i="45" s="1"/>
  <c r="AB80" i="45" s="1"/>
  <c r="AB61" i="13"/>
  <c r="AB77" i="13" s="1"/>
  <c r="AB79" i="13" s="1"/>
  <c r="AB62" i="23"/>
  <c r="AB78" i="23" s="1"/>
  <c r="AB80" i="23" s="1"/>
  <c r="AB61" i="15"/>
  <c r="AB62" i="12"/>
  <c r="AC62" i="11"/>
  <c r="AC62" i="50"/>
  <c r="AC63" i="47"/>
  <c r="AC62" i="38"/>
  <c r="AC62" i="43"/>
  <c r="AC62" i="13"/>
  <c r="AC63" i="12"/>
  <c r="AC79" i="12" s="1"/>
  <c r="AC63" i="23"/>
  <c r="AC62" i="15"/>
  <c r="AC63" i="45"/>
  <c r="AB74" i="43"/>
  <c r="AB74" i="23"/>
  <c r="AB73" i="38"/>
  <c r="AC60" i="11"/>
  <c r="AC60" i="50"/>
  <c r="AC61" i="47"/>
  <c r="AC60" i="38"/>
  <c r="AC60" i="43"/>
  <c r="AC61" i="45"/>
  <c r="AC61" i="23"/>
  <c r="AC60" i="15"/>
  <c r="AC61" i="12"/>
  <c r="AC78" i="12" s="1"/>
  <c r="AC60" i="13"/>
  <c r="AB73" i="43"/>
  <c r="AB74" i="45"/>
  <c r="AB73" i="13"/>
  <c r="AB74" i="12"/>
  <c r="AB74" i="47"/>
  <c r="AB73" i="11"/>
  <c r="AB73" i="15"/>
  <c r="AB73" i="50"/>
  <c r="AA67" i="10"/>
  <c r="AC60" i="10"/>
  <c r="AC62" i="10"/>
  <c r="AD19" i="17"/>
  <c r="AC18" i="17"/>
  <c r="AD20" i="17"/>
  <c r="AD62" i="61" l="1"/>
  <c r="AD74" i="61" s="1"/>
  <c r="AD33" i="17"/>
  <c r="AD34" i="17" s="1"/>
  <c r="AD63" i="61"/>
  <c r="AD78" i="61" s="1"/>
  <c r="C78" i="61" s="1"/>
  <c r="AD37" i="17"/>
  <c r="AC61" i="61"/>
  <c r="AC77" i="61" s="1"/>
  <c r="AC79" i="61" s="1"/>
  <c r="AC83" i="61" s="1"/>
  <c r="AC36" i="17"/>
  <c r="AC38" i="17" s="1"/>
  <c r="AC44" i="17" s="1"/>
  <c r="S53" i="18"/>
  <c r="C72" i="18"/>
  <c r="K12" i="60"/>
  <c r="K28" i="18"/>
  <c r="AP130" i="18" s="1"/>
  <c r="C12" i="60"/>
  <c r="C28" i="18"/>
  <c r="AP10" i="18" s="1"/>
  <c r="AA83" i="15"/>
  <c r="AA83" i="38"/>
  <c r="AA83" i="11"/>
  <c r="AA83" i="50"/>
  <c r="AD63" i="58"/>
  <c r="AA84" i="12"/>
  <c r="AA83" i="10"/>
  <c r="AC84" i="58"/>
  <c r="AC80" i="12"/>
  <c r="AB77" i="50"/>
  <c r="AB79" i="50" s="1"/>
  <c r="AB77" i="38"/>
  <c r="AB79" i="38" s="1"/>
  <c r="AB77" i="15"/>
  <c r="AB79" i="15" s="1"/>
  <c r="AD64" i="58"/>
  <c r="AC62" i="58"/>
  <c r="AB71" i="11"/>
  <c r="AB71" i="10"/>
  <c r="AB76" i="45"/>
  <c r="AB84" i="45" s="1"/>
  <c r="AB75" i="10"/>
  <c r="AB75" i="50"/>
  <c r="AB75" i="11"/>
  <c r="AB76" i="23"/>
  <c r="AB84" i="23" s="1"/>
  <c r="AB76" i="47"/>
  <c r="AB84" i="47" s="1"/>
  <c r="AB67" i="11"/>
  <c r="AB75" i="43"/>
  <c r="AB83" i="43" s="1"/>
  <c r="AB75" i="13"/>
  <c r="AB83" i="13" s="1"/>
  <c r="AB75" i="15"/>
  <c r="AB76" i="12"/>
  <c r="AC74" i="10"/>
  <c r="AC73" i="10"/>
  <c r="AD62" i="11"/>
  <c r="AD62" i="50"/>
  <c r="AD63" i="47"/>
  <c r="AD62" i="38"/>
  <c r="AD62" i="43"/>
  <c r="AD63" i="45"/>
  <c r="AD62" i="13"/>
  <c r="AD63" i="23"/>
  <c r="AD62" i="15"/>
  <c r="AD63" i="12"/>
  <c r="AD79" i="12" s="1"/>
  <c r="C79" i="12" s="1"/>
  <c r="AB68" i="12"/>
  <c r="AC74" i="11"/>
  <c r="AB75" i="38"/>
  <c r="AC75" i="45"/>
  <c r="AC74" i="43"/>
  <c r="AC74" i="15"/>
  <c r="AC74" i="38"/>
  <c r="AC61" i="10"/>
  <c r="AC77" i="10" s="1"/>
  <c r="AC79" i="10" s="1"/>
  <c r="AC61" i="11"/>
  <c r="AC77" i="11" s="1"/>
  <c r="AC79" i="11" s="1"/>
  <c r="AC62" i="47"/>
  <c r="AC78" i="47" s="1"/>
  <c r="AC80" i="47" s="1"/>
  <c r="AC61" i="38"/>
  <c r="AC61" i="43"/>
  <c r="AC77" i="43" s="1"/>
  <c r="AC79" i="43" s="1"/>
  <c r="AC62" i="45"/>
  <c r="AC78" i="45" s="1"/>
  <c r="AC80" i="45" s="1"/>
  <c r="AC61" i="13"/>
  <c r="AC77" i="13" s="1"/>
  <c r="AC79" i="13" s="1"/>
  <c r="AC62" i="23"/>
  <c r="AC78" i="23" s="1"/>
  <c r="AC80" i="23" s="1"/>
  <c r="AC61" i="15"/>
  <c r="AC61" i="50"/>
  <c r="AC62" i="12"/>
  <c r="AC75" i="23"/>
  <c r="AC75" i="47"/>
  <c r="AC75" i="12"/>
  <c r="AC74" i="50"/>
  <c r="AD63" i="10"/>
  <c r="AD78" i="10" s="1"/>
  <c r="AD63" i="11"/>
  <c r="AD78" i="11" s="1"/>
  <c r="AD63" i="50"/>
  <c r="AD78" i="50" s="1"/>
  <c r="AD64" i="47"/>
  <c r="AD63" i="38"/>
  <c r="AD78" i="38" s="1"/>
  <c r="AD64" i="45"/>
  <c r="AD63" i="13"/>
  <c r="AD64" i="23"/>
  <c r="AD64" i="12"/>
  <c r="C71" i="12" s="1"/>
  <c r="AD63" i="15"/>
  <c r="AD78" i="15" s="1"/>
  <c r="AD63" i="43"/>
  <c r="AD78" i="43" s="1"/>
  <c r="AC74" i="13"/>
  <c r="AC73" i="15"/>
  <c r="AC73" i="50"/>
  <c r="AC73" i="13"/>
  <c r="AC74" i="23"/>
  <c r="AC73" i="38"/>
  <c r="AC73" i="11"/>
  <c r="AC74" i="45"/>
  <c r="AC73" i="43"/>
  <c r="AD60" i="11"/>
  <c r="AD61" i="47"/>
  <c r="AD60" i="38"/>
  <c r="AD60" i="43"/>
  <c r="AD61" i="45"/>
  <c r="AD61" i="23"/>
  <c r="AD60" i="15"/>
  <c r="AD60" i="13"/>
  <c r="AD61" i="12"/>
  <c r="AD78" i="12" s="1"/>
  <c r="AD60" i="50"/>
  <c r="AC74" i="12"/>
  <c r="AC74" i="47"/>
  <c r="AB67" i="10"/>
  <c r="AD60" i="10"/>
  <c r="C25" i="17"/>
  <c r="C51" i="17" s="1"/>
  <c r="AD62" i="10"/>
  <c r="C29" i="17"/>
  <c r="C55" i="17" s="1"/>
  <c r="AD18" i="17"/>
  <c r="AD75" i="61" l="1"/>
  <c r="C75" i="61" s="1"/>
  <c r="J27" i="59" s="1"/>
  <c r="C74" i="61"/>
  <c r="AD61" i="61"/>
  <c r="AD77" i="61" s="1"/>
  <c r="AD36" i="17"/>
  <c r="AD80" i="12"/>
  <c r="AB83" i="15"/>
  <c r="AB84" i="12"/>
  <c r="AB83" i="38"/>
  <c r="AD79" i="58"/>
  <c r="AD75" i="58"/>
  <c r="AB83" i="50"/>
  <c r="AB83" i="11"/>
  <c r="AB83" i="10"/>
  <c r="AC77" i="50"/>
  <c r="AC79" i="50" s="1"/>
  <c r="AC77" i="38"/>
  <c r="AC79" i="38" s="1"/>
  <c r="AC77" i="15"/>
  <c r="AC79" i="15" s="1"/>
  <c r="AD62" i="58"/>
  <c r="AL62" i="59"/>
  <c r="C71" i="23"/>
  <c r="AD79" i="23"/>
  <c r="C79" i="23" s="1"/>
  <c r="AC71" i="10"/>
  <c r="C70" i="13"/>
  <c r="AD78" i="13"/>
  <c r="C78" i="13" s="1"/>
  <c r="C70" i="43"/>
  <c r="C78" i="43"/>
  <c r="C71" i="45"/>
  <c r="AD79" i="45"/>
  <c r="C79" i="45" s="1"/>
  <c r="C70" i="10"/>
  <c r="C70" i="50"/>
  <c r="C78" i="50"/>
  <c r="C70" i="15"/>
  <c r="C78" i="15"/>
  <c r="C70" i="38"/>
  <c r="C78" i="38"/>
  <c r="C78" i="11"/>
  <c r="C80" i="12"/>
  <c r="C71" i="47"/>
  <c r="AD79" i="47"/>
  <c r="C79" i="47" s="1"/>
  <c r="AC71" i="11"/>
  <c r="AC75" i="43"/>
  <c r="AC83" i="43" s="1"/>
  <c r="AC76" i="12"/>
  <c r="C37" i="17"/>
  <c r="C63" i="17" s="1"/>
  <c r="AC76" i="47"/>
  <c r="AC84" i="47" s="1"/>
  <c r="AC75" i="11"/>
  <c r="AC75" i="10"/>
  <c r="AC75" i="50"/>
  <c r="AC76" i="45"/>
  <c r="AC84" i="45" s="1"/>
  <c r="AC75" i="15"/>
  <c r="AC75" i="13"/>
  <c r="AC83" i="13" s="1"/>
  <c r="AC67" i="11"/>
  <c r="C78" i="12"/>
  <c r="AC68" i="12"/>
  <c r="AD74" i="10"/>
  <c r="C74" i="10" s="1"/>
  <c r="C78" i="10"/>
  <c r="AD73" i="10"/>
  <c r="C73" i="10" s="1"/>
  <c r="AD61" i="10"/>
  <c r="AD61" i="11"/>
  <c r="AD77" i="11" s="1"/>
  <c r="AD79" i="11" s="1"/>
  <c r="AD61" i="38"/>
  <c r="AD61" i="43"/>
  <c r="AD77" i="43" s="1"/>
  <c r="AD62" i="45"/>
  <c r="AD78" i="45" s="1"/>
  <c r="AD61" i="50"/>
  <c r="AD62" i="23"/>
  <c r="AD78" i="23" s="1"/>
  <c r="AD61" i="15"/>
  <c r="AD77" i="15" s="1"/>
  <c r="AD79" i="15" s="1"/>
  <c r="C79" i="15" s="1"/>
  <c r="G28" i="59" s="1"/>
  <c r="AL38" i="59" s="1"/>
  <c r="AD62" i="47"/>
  <c r="AD78" i="47" s="1"/>
  <c r="AD61" i="13"/>
  <c r="AD77" i="13" s="1"/>
  <c r="AD62" i="12"/>
  <c r="AC75" i="38"/>
  <c r="AD74" i="15"/>
  <c r="C74" i="15" s="1"/>
  <c r="C66" i="15"/>
  <c r="C67" i="47"/>
  <c r="AD75" i="47"/>
  <c r="C75" i="47" s="1"/>
  <c r="AD75" i="23"/>
  <c r="C75" i="23" s="1"/>
  <c r="C67" i="23"/>
  <c r="AD74" i="50"/>
  <c r="C74" i="50" s="1"/>
  <c r="C66" i="50"/>
  <c r="C67" i="12"/>
  <c r="AD75" i="12"/>
  <c r="AC67" i="10"/>
  <c r="AC76" i="23"/>
  <c r="AC84" i="23" s="1"/>
  <c r="AD74" i="13"/>
  <c r="C74" i="13" s="1"/>
  <c r="C66" i="13"/>
  <c r="C66" i="38"/>
  <c r="AD74" i="38"/>
  <c r="C74" i="38" s="1"/>
  <c r="AD75" i="45"/>
  <c r="C75" i="45" s="1"/>
  <c r="AD74" i="43"/>
  <c r="C74" i="43" s="1"/>
  <c r="C66" i="43"/>
  <c r="AD74" i="11"/>
  <c r="C66" i="11"/>
  <c r="AD74" i="45"/>
  <c r="C74" i="45" s="1"/>
  <c r="AD73" i="15"/>
  <c r="C73" i="15" s="1"/>
  <c r="AD73" i="50"/>
  <c r="C73" i="50" s="1"/>
  <c r="AD74" i="23"/>
  <c r="AD73" i="43"/>
  <c r="AD73" i="11"/>
  <c r="AD73" i="13"/>
  <c r="AD74" i="47"/>
  <c r="C74" i="47" s="1"/>
  <c r="AD74" i="12"/>
  <c r="AD73" i="38"/>
  <c r="C66" i="10"/>
  <c r="C26" i="17"/>
  <c r="C52" i="17" s="1"/>
  <c r="AD38" i="17" l="1"/>
  <c r="AD44" i="17" s="1"/>
  <c r="C36" i="17"/>
  <c r="AD79" i="61"/>
  <c r="C77" i="61"/>
  <c r="E28" i="59"/>
  <c r="AL24" i="59" s="1"/>
  <c r="AC83" i="15"/>
  <c r="AC83" i="11"/>
  <c r="AD80" i="45"/>
  <c r="C80" i="45" s="1"/>
  <c r="L28" i="59" s="1"/>
  <c r="AL80" i="59" s="1"/>
  <c r="AD76" i="58"/>
  <c r="C75" i="58"/>
  <c r="AC83" i="10"/>
  <c r="AD80" i="58"/>
  <c r="C80" i="58" s="1"/>
  <c r="O28" i="59" s="1"/>
  <c r="AL101" i="59" s="1"/>
  <c r="C79" i="58"/>
  <c r="AC83" i="38"/>
  <c r="AC84" i="12"/>
  <c r="AC83" i="50"/>
  <c r="C78" i="47"/>
  <c r="AD80" i="47"/>
  <c r="C77" i="43"/>
  <c r="AD79" i="43"/>
  <c r="C78" i="23"/>
  <c r="AD80" i="23"/>
  <c r="C80" i="23" s="1"/>
  <c r="H28" i="59" s="1"/>
  <c r="AL52" i="59" s="1"/>
  <c r="C77" i="13"/>
  <c r="AD79" i="13"/>
  <c r="C79" i="13" s="1"/>
  <c r="AD77" i="50"/>
  <c r="AD77" i="38"/>
  <c r="AD77" i="10"/>
  <c r="C77" i="11"/>
  <c r="C78" i="45"/>
  <c r="C79" i="11"/>
  <c r="C77" i="15"/>
  <c r="C38" i="17"/>
  <c r="C64" i="17" s="1"/>
  <c r="C62" i="17"/>
  <c r="AD71" i="10"/>
  <c r="C71" i="10" s="1"/>
  <c r="AD75" i="10"/>
  <c r="C75" i="10" s="1"/>
  <c r="C27" i="59" s="1"/>
  <c r="AD76" i="12"/>
  <c r="C71" i="13"/>
  <c r="F24" i="59" s="1"/>
  <c r="AL27" i="59" s="1"/>
  <c r="C69" i="13"/>
  <c r="C69" i="43"/>
  <c r="C71" i="38"/>
  <c r="I24" i="59" s="1"/>
  <c r="AL55" i="59" s="1"/>
  <c r="C69" i="38"/>
  <c r="AD76" i="45"/>
  <c r="C76" i="45" s="1"/>
  <c r="L27" i="59" s="1"/>
  <c r="AL79" i="59" s="1"/>
  <c r="C72" i="47"/>
  <c r="M24" i="59" s="1"/>
  <c r="AL83" i="59" s="1"/>
  <c r="C70" i="47"/>
  <c r="AD76" i="47"/>
  <c r="C76" i="47" s="1"/>
  <c r="M27" i="59" s="1"/>
  <c r="AL86" i="59" s="1"/>
  <c r="C71" i="15"/>
  <c r="G24" i="59" s="1"/>
  <c r="AL34" i="59" s="1"/>
  <c r="C69" i="15"/>
  <c r="C72" i="12"/>
  <c r="E24" i="59" s="1"/>
  <c r="AL20" i="59" s="1"/>
  <c r="C70" i="12"/>
  <c r="C72" i="23"/>
  <c r="H24" i="59" s="1"/>
  <c r="AL48" i="59" s="1"/>
  <c r="C70" i="23"/>
  <c r="C71" i="50"/>
  <c r="N24" i="59" s="1"/>
  <c r="AL90" i="59" s="1"/>
  <c r="C69" i="50"/>
  <c r="AD71" i="11"/>
  <c r="C72" i="45"/>
  <c r="L24" i="59" s="1"/>
  <c r="AL76" i="59" s="1"/>
  <c r="C70" i="45"/>
  <c r="AD67" i="10"/>
  <c r="C65" i="10"/>
  <c r="C65" i="13"/>
  <c r="AD75" i="43"/>
  <c r="C75" i="43" s="1"/>
  <c r="K27" i="59" s="1"/>
  <c r="AL72" i="59" s="1"/>
  <c r="C73" i="43"/>
  <c r="C65" i="38"/>
  <c r="AD75" i="13"/>
  <c r="C73" i="13"/>
  <c r="C66" i="23"/>
  <c r="AD75" i="50"/>
  <c r="C75" i="50" s="1"/>
  <c r="N27" i="59" s="1"/>
  <c r="AL93" i="59" s="1"/>
  <c r="AD75" i="15"/>
  <c r="AD75" i="38"/>
  <c r="C75" i="38" s="1"/>
  <c r="I27" i="59" s="1"/>
  <c r="AL58" i="59" s="1"/>
  <c r="C73" i="38"/>
  <c r="AD68" i="12"/>
  <c r="C66" i="12"/>
  <c r="C66" i="47"/>
  <c r="AD67" i="11"/>
  <c r="C65" i="11"/>
  <c r="AD76" i="23"/>
  <c r="C74" i="23"/>
  <c r="AD75" i="11"/>
  <c r="C65" i="43"/>
  <c r="C65" i="50"/>
  <c r="C65" i="15"/>
  <c r="C30" i="17"/>
  <c r="C56" i="17" s="1"/>
  <c r="AD83" i="61" l="1"/>
  <c r="C79" i="61"/>
  <c r="J28" i="59" s="1"/>
  <c r="C41" i="59"/>
  <c r="I41" i="59"/>
  <c r="E41" i="59"/>
  <c r="G41" i="59"/>
  <c r="M41" i="59"/>
  <c r="K41" i="59"/>
  <c r="C24" i="59"/>
  <c r="AL6" i="59" s="1"/>
  <c r="F28" i="59"/>
  <c r="AL31" i="59" s="1"/>
  <c r="D28" i="59"/>
  <c r="AL17" i="59" s="1"/>
  <c r="C45" i="59"/>
  <c r="AD84" i="58"/>
  <c r="C76" i="58"/>
  <c r="O27" i="59" s="1"/>
  <c r="AL100" i="59" s="1"/>
  <c r="E45" i="59"/>
  <c r="C77" i="50"/>
  <c r="AD79" i="50"/>
  <c r="AD84" i="47"/>
  <c r="C80" i="47"/>
  <c r="M28" i="59" s="1"/>
  <c r="AL87" i="59" s="1"/>
  <c r="G45" i="59" s="1"/>
  <c r="AD84" i="45"/>
  <c r="AD83" i="43"/>
  <c r="C79" i="43"/>
  <c r="K28" i="59" s="1"/>
  <c r="AL73" i="59" s="1"/>
  <c r="AL66" i="59"/>
  <c r="I45" i="59" s="1"/>
  <c r="C77" i="38"/>
  <c r="AD79" i="38"/>
  <c r="C76" i="23"/>
  <c r="H27" i="59" s="1"/>
  <c r="AL51" i="59" s="1"/>
  <c r="C44" i="59" s="1"/>
  <c r="AD84" i="23"/>
  <c r="C75" i="15"/>
  <c r="G27" i="59" s="1"/>
  <c r="AL37" i="59" s="1"/>
  <c r="AD83" i="15"/>
  <c r="C75" i="13"/>
  <c r="AD83" i="13"/>
  <c r="AD84" i="12"/>
  <c r="AD83" i="11"/>
  <c r="AD79" i="10"/>
  <c r="C79" i="10" s="1"/>
  <c r="C28" i="59" s="1"/>
  <c r="AL9" i="59"/>
  <c r="AA44" i="59" s="1"/>
  <c r="C77" i="10"/>
  <c r="C86" i="11"/>
  <c r="AL65" i="59"/>
  <c r="C71" i="43"/>
  <c r="K24" i="59" s="1"/>
  <c r="AL69" i="59" s="1"/>
  <c r="AA41" i="59" s="1"/>
  <c r="C67" i="50"/>
  <c r="N26" i="59" s="1"/>
  <c r="AL92" i="59" s="1"/>
  <c r="C68" i="12"/>
  <c r="C67" i="38"/>
  <c r="I26" i="59" s="1"/>
  <c r="AL57" i="59" s="1"/>
  <c r="C67" i="11"/>
  <c r="C67" i="15"/>
  <c r="G26" i="59" s="1"/>
  <c r="AL36" i="59" s="1"/>
  <c r="C67" i="43"/>
  <c r="K26" i="59" s="1"/>
  <c r="AL71" i="59" s="1"/>
  <c r="C68" i="47"/>
  <c r="M26" i="59" s="1"/>
  <c r="AL85" i="59" s="1"/>
  <c r="C68" i="23"/>
  <c r="H26" i="59" s="1"/>
  <c r="AL50" i="59" s="1"/>
  <c r="C43" i="59" s="1"/>
  <c r="AL64" i="59"/>
  <c r="C67" i="13"/>
  <c r="C67" i="10"/>
  <c r="C26" i="59" s="1"/>
  <c r="C86" i="10"/>
  <c r="C83" i="61" l="1"/>
  <c r="C88" i="61" s="1"/>
  <c r="Y44" i="59"/>
  <c r="Y41" i="59"/>
  <c r="W44" i="59"/>
  <c r="W41" i="59"/>
  <c r="D26" i="59"/>
  <c r="AL15" i="59" s="1"/>
  <c r="U43" i="59" s="1"/>
  <c r="F26" i="59"/>
  <c r="AL29" i="59" s="1"/>
  <c r="E26" i="59"/>
  <c r="AL22" i="59" s="1"/>
  <c r="F27" i="59"/>
  <c r="AL30" i="59" s="1"/>
  <c r="Q44" i="59" s="1"/>
  <c r="C83" i="13"/>
  <c r="F30" i="59" s="1"/>
  <c r="AL33" i="59" s="1"/>
  <c r="AD83" i="10"/>
  <c r="C84" i="58"/>
  <c r="O30" i="59" s="1"/>
  <c r="AL103" i="59" s="1"/>
  <c r="M44" i="59"/>
  <c r="AD83" i="50"/>
  <c r="C79" i="50"/>
  <c r="N28" i="59" s="1"/>
  <c r="AL94" i="59" s="1"/>
  <c r="U45" i="59" s="1"/>
  <c r="C84" i="47"/>
  <c r="M30" i="59" s="1"/>
  <c r="AL89" i="59" s="1"/>
  <c r="C84" i="45"/>
  <c r="L30" i="59" s="1"/>
  <c r="AL82" i="59" s="1"/>
  <c r="C83" i="43"/>
  <c r="K30" i="59" s="1"/>
  <c r="AL75" i="59" s="1"/>
  <c r="K44" i="59"/>
  <c r="AD83" i="38"/>
  <c r="C79" i="38"/>
  <c r="I28" i="59" s="1"/>
  <c r="AL59" i="59" s="1"/>
  <c r="O45" i="59" s="1"/>
  <c r="C84" i="23"/>
  <c r="H30" i="59" s="1"/>
  <c r="AL54" i="59" s="1"/>
  <c r="C83" i="15"/>
  <c r="G30" i="59" s="1"/>
  <c r="AL40" i="59" s="1"/>
  <c r="AL10" i="59"/>
  <c r="AA45" i="59" s="1"/>
  <c r="AL8" i="59"/>
  <c r="AA43" i="59" s="1"/>
  <c r="C86" i="15"/>
  <c r="C87" i="47"/>
  <c r="Y43" i="59" l="1"/>
  <c r="Y45" i="59"/>
  <c r="J30" i="59"/>
  <c r="AL68" i="59" s="1"/>
  <c r="J7" i="7"/>
  <c r="F14" i="7"/>
  <c r="E14" i="7" s="1"/>
  <c r="Q43" i="59"/>
  <c r="W43" i="59"/>
  <c r="Q45" i="59"/>
  <c r="W45" i="59"/>
  <c r="C47" i="59"/>
  <c r="S43" i="59"/>
  <c r="C83" i="10"/>
  <c r="C30" i="59" s="1"/>
  <c r="AL12" i="59" s="1"/>
  <c r="AA47" i="59" s="1"/>
  <c r="S45" i="59"/>
  <c r="C83" i="50"/>
  <c r="N30" i="59" s="1"/>
  <c r="AL96" i="59" s="1"/>
  <c r="K45" i="59"/>
  <c r="M45" i="59"/>
  <c r="C83" i="38"/>
  <c r="I30" i="59" s="1"/>
  <c r="AL61" i="59" s="1"/>
  <c r="C86" i="43"/>
  <c r="C86" i="38"/>
  <c r="C87" i="45"/>
  <c r="C87" i="23"/>
  <c r="W47" i="59" l="1"/>
  <c r="Y47" i="59"/>
  <c r="K47" i="59"/>
  <c r="M47" i="59"/>
  <c r="C86" i="50" l="1"/>
  <c r="C86" i="13" l="1"/>
  <c r="C58" i="17" l="1"/>
  <c r="C33" i="17"/>
  <c r="C59" i="17" s="1"/>
  <c r="C34" i="17" l="1"/>
  <c r="C60" i="17" s="1"/>
  <c r="C44" i="17" l="1"/>
  <c r="C66" i="17" s="1"/>
  <c r="Z57" i="23" l="1"/>
  <c r="AQ98" i="18" l="1"/>
  <c r="I60" i="18" l="1"/>
  <c r="K60" i="18"/>
  <c r="M60" i="18"/>
  <c r="O60" i="18"/>
  <c r="E60" i="18"/>
  <c r="G60" i="18"/>
  <c r="C24" i="17" l="1"/>
  <c r="C50" i="17" s="1"/>
  <c r="AQ26" i="18" l="1"/>
  <c r="W71" i="11"/>
  <c r="W83" i="11" s="1"/>
  <c r="Q56" i="18" l="1"/>
  <c r="U56" i="18"/>
  <c r="V71" i="11"/>
  <c r="V83" i="11" s="1"/>
  <c r="C70" i="11"/>
  <c r="Q41" i="59" l="1"/>
  <c r="X71" i="11"/>
  <c r="X83" i="11" s="1"/>
  <c r="C69" i="11"/>
  <c r="O41" i="59" l="1"/>
  <c r="S41" i="59"/>
  <c r="C71" i="11"/>
  <c r="D24" i="59" s="1"/>
  <c r="AL13" i="59" s="1"/>
  <c r="U41" i="59" s="1"/>
  <c r="Q47" i="59" l="1"/>
  <c r="O49" i="45"/>
  <c r="O46" i="45"/>
  <c r="U46" i="45"/>
  <c r="U47" i="45" l="1"/>
  <c r="U48" i="45"/>
  <c r="O47" i="45"/>
  <c r="O48" i="45"/>
  <c r="AQ139" i="18"/>
  <c r="U49" i="45"/>
  <c r="AQ140" i="18" l="1"/>
  <c r="AQ141" i="18"/>
  <c r="AQ142" i="18"/>
  <c r="U45" i="45" l="1"/>
  <c r="AQ138" i="18" l="1"/>
  <c r="O45" i="45"/>
  <c r="C66" i="45" l="1"/>
  <c r="C67" i="45"/>
  <c r="C68" i="45" l="1"/>
  <c r="L26" i="59" s="1"/>
  <c r="AL78" i="59" s="1"/>
  <c r="E43" i="59" l="1"/>
  <c r="K43" i="59"/>
  <c r="I43" i="59"/>
  <c r="G43" i="59"/>
  <c r="O43" i="59"/>
  <c r="M43" i="59"/>
  <c r="O45" i="23" l="1"/>
  <c r="N45" i="23"/>
  <c r="K45" i="23" l="1"/>
  <c r="L45" i="23" l="1"/>
  <c r="M45" i="23" l="1"/>
  <c r="AQ86" i="18" l="1"/>
  <c r="I48" i="18" l="1"/>
  <c r="K48" i="18"/>
  <c r="M48" i="18"/>
  <c r="O48" i="18"/>
  <c r="E48" i="18"/>
  <c r="G48" i="18"/>
  <c r="K48" i="23" l="1"/>
  <c r="K47" i="23"/>
  <c r="K49" i="23"/>
  <c r="K46" i="23"/>
  <c r="N49" i="23"/>
  <c r="N48" i="23"/>
  <c r="N47" i="23"/>
  <c r="L49" i="23"/>
  <c r="M49" i="23"/>
  <c r="M47" i="23"/>
  <c r="M48" i="23"/>
  <c r="L47" i="23"/>
  <c r="L48" i="23"/>
  <c r="AQ89" i="18" l="1"/>
  <c r="I51" i="18" l="1"/>
  <c r="K51" i="18"/>
  <c r="M51" i="18"/>
  <c r="O51" i="18"/>
  <c r="E51" i="18"/>
  <c r="G51" i="18"/>
  <c r="AQ90" i="18"/>
  <c r="AQ88" i="18"/>
  <c r="I50" i="18" l="1"/>
  <c r="K50" i="18"/>
  <c r="M50" i="18"/>
  <c r="O50" i="18"/>
  <c r="I52" i="18"/>
  <c r="K52" i="18"/>
  <c r="M52" i="18"/>
  <c r="O52" i="18"/>
  <c r="E50" i="18"/>
  <c r="G50" i="18"/>
  <c r="E52" i="18"/>
  <c r="G52" i="18"/>
  <c r="N46" i="23" l="1"/>
  <c r="L46" i="23"/>
  <c r="M46" i="23" l="1"/>
  <c r="AQ87" i="18" l="1"/>
  <c r="I49" i="18" l="1"/>
  <c r="K49" i="18"/>
  <c r="M49" i="18"/>
  <c r="O49" i="18"/>
  <c r="E49" i="18"/>
  <c r="G49" i="18"/>
  <c r="M49" i="11" l="1"/>
  <c r="N49" i="11"/>
  <c r="N73" i="11" s="1"/>
  <c r="M73" i="11" l="1"/>
  <c r="M74" i="11"/>
  <c r="N74" i="11"/>
  <c r="N75" i="11" s="1"/>
  <c r="N83" i="11" s="1"/>
  <c r="N84" i="11" s="1"/>
  <c r="L49" i="11" l="1"/>
  <c r="K49" i="11"/>
  <c r="AQ23" i="18"/>
  <c r="M75" i="11"/>
  <c r="M83" i="11" s="1"/>
  <c r="M84" i="11" s="1"/>
  <c r="Q53" i="18" l="1"/>
  <c r="U53" i="18"/>
  <c r="B49" i="11"/>
  <c r="K74" i="11"/>
  <c r="K73" i="11"/>
  <c r="L74" i="11"/>
  <c r="L73" i="11"/>
  <c r="L75" i="11" s="1"/>
  <c r="L83" i="11" s="1"/>
  <c r="L84" i="11" s="1"/>
  <c r="C74" i="11" l="1"/>
  <c r="C73" i="11"/>
  <c r="K75" i="11"/>
  <c r="D28" i="18"/>
  <c r="AP23" i="18" s="1"/>
  <c r="D12" i="60"/>
  <c r="C75" i="11" l="1"/>
  <c r="D27" i="59" s="1"/>
  <c r="AL16" i="59" s="1"/>
  <c r="U44" i="59" s="1"/>
  <c r="K83" i="11"/>
  <c r="K84" i="11" s="1"/>
  <c r="O44" i="59" l="1"/>
  <c r="S44" i="59"/>
  <c r="C83" i="11"/>
  <c r="D30" i="59" s="1"/>
  <c r="AL19" i="59" s="1"/>
  <c r="U47" i="59" s="1"/>
  <c r="O47" i="59" l="1"/>
  <c r="S47" i="59"/>
  <c r="N50" i="12"/>
  <c r="N74" i="12" s="1"/>
  <c r="M50" i="12"/>
  <c r="M74" i="12" s="1"/>
  <c r="K50" i="12"/>
  <c r="N75" i="12" l="1"/>
  <c r="N76" i="12" s="1"/>
  <c r="N84" i="12" s="1"/>
  <c r="N85" i="12" s="1"/>
  <c r="M75" i="12"/>
  <c r="M76" i="12" s="1"/>
  <c r="M84" i="12" s="1"/>
  <c r="M85" i="12" s="1"/>
  <c r="K75" i="12"/>
  <c r="K74" i="12"/>
  <c r="K76" i="12" l="1"/>
  <c r="AQ39" i="18"/>
  <c r="K53" i="18" s="1"/>
  <c r="L50" i="12"/>
  <c r="L75" i="12" l="1"/>
  <c r="C75" i="12" s="1"/>
  <c r="L74" i="12"/>
  <c r="B50" i="12"/>
  <c r="G53" i="18"/>
  <c r="I53" i="18"/>
  <c r="K84" i="12"/>
  <c r="K85" i="12" s="1"/>
  <c r="E12" i="60" l="1"/>
  <c r="E28" i="18"/>
  <c r="AP39" i="18" s="1"/>
  <c r="L76" i="12"/>
  <c r="C74" i="12"/>
  <c r="L84" i="12" l="1"/>
  <c r="L85" i="12" s="1"/>
  <c r="C76" i="12"/>
  <c r="E27" i="59" s="1"/>
  <c r="AL23" i="59" s="1"/>
  <c r="I44" i="59" s="1"/>
  <c r="R12" i="60"/>
  <c r="Q12" i="60"/>
  <c r="P12" i="60"/>
  <c r="G44" i="59" l="1"/>
  <c r="E44" i="59"/>
  <c r="C84" i="12"/>
  <c r="E30" i="59" s="1"/>
  <c r="AL26" i="59" s="1"/>
  <c r="I47" i="59" s="1"/>
  <c r="G47" i="59" l="1"/>
  <c r="E47" i="59"/>
  <c r="AC12" i="58" l="1"/>
  <c r="AC57" i="58" s="1"/>
  <c r="AC12" i="13"/>
  <c r="AC56" i="13" s="1"/>
  <c r="AC12" i="50"/>
  <c r="AC56" i="50" s="1"/>
  <c r="AC12" i="12"/>
  <c r="AC57" i="12"/>
  <c r="AC12" i="47"/>
  <c r="AC57" i="47" s="1"/>
  <c r="AC12" i="15"/>
  <c r="AC56" i="15" s="1"/>
  <c r="AC12" i="45"/>
  <c r="AC57" i="45"/>
  <c r="AC12" i="43"/>
  <c r="AC56" i="43" s="1"/>
  <c r="AC12" i="11"/>
  <c r="AC56" i="11" s="1"/>
  <c r="AC12" i="38"/>
  <c r="AC56" i="38" s="1"/>
  <c r="AC12" i="10"/>
  <c r="AC56" i="10" s="1"/>
  <c r="S12" i="58"/>
  <c r="S57" i="58" s="1"/>
  <c r="S12" i="47"/>
  <c r="S57" i="47" s="1"/>
  <c r="S12" i="13"/>
  <c r="S56" i="13" s="1"/>
  <c r="S12" i="50"/>
  <c r="S56" i="50" s="1"/>
  <c r="S12" i="45"/>
  <c r="S57" i="45"/>
  <c r="S12" i="12"/>
  <c r="S57" i="12" s="1"/>
  <c r="S12" i="11"/>
  <c r="S56" i="11" s="1"/>
  <c r="S12" i="43"/>
  <c r="S56" i="43"/>
  <c r="S12" i="38"/>
  <c r="S56" i="38" s="1"/>
  <c r="S12" i="10"/>
  <c r="S56" i="10" s="1"/>
  <c r="S12" i="23"/>
  <c r="S57" i="23" s="1"/>
  <c r="S12" i="15"/>
  <c r="S56" i="15" s="1"/>
  <c r="AD11" i="58"/>
  <c r="AD56" i="58" s="1"/>
  <c r="AD11" i="23"/>
  <c r="AD56" i="23"/>
  <c r="AD11" i="15"/>
  <c r="AD55" i="15" s="1"/>
  <c r="AD11" i="13"/>
  <c r="AD55" i="13" s="1"/>
  <c r="AD11" i="12"/>
  <c r="AD56" i="12" s="1"/>
  <c r="AD11" i="11"/>
  <c r="AD55" i="11" s="1"/>
  <c r="AD11" i="10"/>
  <c r="AD55" i="10" s="1"/>
  <c r="AD11" i="50"/>
  <c r="AD55" i="50" s="1"/>
  <c r="AD11" i="47"/>
  <c r="AD56" i="47" s="1"/>
  <c r="AD11" i="45"/>
  <c r="AD56" i="45"/>
  <c r="AD11" i="43"/>
  <c r="AD55" i="43" s="1"/>
  <c r="AD11" i="38"/>
  <c r="AD55" i="38" s="1"/>
  <c r="V10" i="58"/>
  <c r="V55" i="58" s="1"/>
  <c r="V10" i="10"/>
  <c r="V54" i="10" s="1"/>
  <c r="V10" i="50"/>
  <c r="V54" i="50" s="1"/>
  <c r="V10" i="43"/>
  <c r="V54" i="43" s="1"/>
  <c r="V10" i="47"/>
  <c r="V55" i="47" s="1"/>
  <c r="V10" i="13"/>
  <c r="V54" i="13" s="1"/>
  <c r="V10" i="15"/>
  <c r="V54" i="15"/>
  <c r="V10" i="38"/>
  <c r="V54" i="38" s="1"/>
  <c r="V10" i="45"/>
  <c r="V55" i="45"/>
  <c r="V10" i="11"/>
  <c r="V54" i="11" s="1"/>
  <c r="V10" i="23"/>
  <c r="V55" i="23"/>
  <c r="V10" i="12"/>
  <c r="V55" i="12" s="1"/>
  <c r="AB9" i="58"/>
  <c r="AB54" i="58"/>
  <c r="AB9" i="47"/>
  <c r="AB54" i="47" s="1"/>
  <c r="AB9" i="23"/>
  <c r="AB54" i="23" s="1"/>
  <c r="AB9" i="12"/>
  <c r="AB54" i="12"/>
  <c r="AB9" i="11"/>
  <c r="AB53" i="11" s="1"/>
  <c r="AB9" i="38"/>
  <c r="AB53" i="38" s="1"/>
  <c r="AB9" i="45"/>
  <c r="AB54" i="45" s="1"/>
  <c r="AB9" i="43"/>
  <c r="AB53" i="43" s="1"/>
  <c r="AB9" i="10"/>
  <c r="AB53" i="10" s="1"/>
  <c r="AB9" i="15"/>
  <c r="AB53" i="15" s="1"/>
  <c r="AB9" i="50"/>
  <c r="AB53" i="50"/>
  <c r="AB9" i="13"/>
  <c r="AB53" i="13" s="1"/>
  <c r="R9" i="58"/>
  <c r="R54" i="58" s="1"/>
  <c r="R9" i="15"/>
  <c r="R53" i="15"/>
  <c r="R9" i="23"/>
  <c r="R54" i="23" s="1"/>
  <c r="R9" i="13"/>
  <c r="R53" i="13" s="1"/>
  <c r="R9" i="11"/>
  <c r="R53" i="11" s="1"/>
  <c r="R9" i="50"/>
  <c r="R53" i="50" s="1"/>
  <c r="R9" i="47"/>
  <c r="R54" i="47"/>
  <c r="R9" i="43"/>
  <c r="R53" i="43" s="1"/>
  <c r="R9" i="12"/>
  <c r="R54" i="12" s="1"/>
  <c r="R9" i="45"/>
  <c r="R54" i="45" s="1"/>
  <c r="R9" i="38"/>
  <c r="R53" i="38" s="1"/>
  <c r="R9" i="10"/>
  <c r="R53" i="10" s="1"/>
  <c r="X8" i="58"/>
  <c r="X53" i="58"/>
  <c r="X8" i="38"/>
  <c r="X52" i="38" s="1"/>
  <c r="X8" i="12"/>
  <c r="X53" i="12" s="1"/>
  <c r="X8" i="15"/>
  <c r="X52" i="15" s="1"/>
  <c r="X8" i="23"/>
  <c r="X53" i="23"/>
  <c r="X8" i="50"/>
  <c r="X52" i="50" s="1"/>
  <c r="X8" i="13"/>
  <c r="X52" i="13"/>
  <c r="X8" i="45"/>
  <c r="X53" i="45" s="1"/>
  <c r="X8" i="43"/>
  <c r="X52" i="43" s="1"/>
  <c r="X8" i="47"/>
  <c r="X53" i="47" s="1"/>
  <c r="T8" i="58"/>
  <c r="T53" i="58" s="1"/>
  <c r="T8" i="23"/>
  <c r="T53" i="23" s="1"/>
  <c r="T8" i="15"/>
  <c r="T52" i="15"/>
  <c r="T8" i="13"/>
  <c r="T52" i="13" s="1"/>
  <c r="T8" i="12"/>
  <c r="T53" i="12"/>
  <c r="T8" i="11"/>
  <c r="T52" i="11" s="1"/>
  <c r="T8" i="50"/>
  <c r="T52" i="50"/>
  <c r="T8" i="47"/>
  <c r="T53" i="47" s="1"/>
  <c r="T8" i="45"/>
  <c r="T53" i="45"/>
  <c r="T8" i="43"/>
  <c r="T52" i="43" s="1"/>
  <c r="T8" i="38"/>
  <c r="T52" i="38"/>
  <c r="Y7" i="58"/>
  <c r="Y49" i="58" s="1"/>
  <c r="Y7" i="43"/>
  <c r="Y48" i="43"/>
  <c r="Y7" i="15"/>
  <c r="Y48" i="15" s="1"/>
  <c r="Y7" i="50"/>
  <c r="Y48" i="50" s="1"/>
  <c r="Y7" i="38"/>
  <c r="Y48" i="38" s="1"/>
  <c r="Y7" i="11"/>
  <c r="Y48" i="11" s="1"/>
  <c r="Y7" i="47"/>
  <c r="Y49" i="47"/>
  <c r="Y7" i="13"/>
  <c r="Y48" i="13"/>
  <c r="Y7" i="10"/>
  <c r="Y48" i="10" s="1"/>
  <c r="Y7" i="12"/>
  <c r="Y49" i="12"/>
  <c r="Y7" i="45"/>
  <c r="Y49" i="45" s="1"/>
  <c r="AA6" i="58"/>
  <c r="AA48" i="58"/>
  <c r="AA6" i="45"/>
  <c r="AA48" i="45" s="1"/>
  <c r="AA6" i="11"/>
  <c r="AA47" i="11"/>
  <c r="AA6" i="43"/>
  <c r="AA47" i="43" s="1"/>
  <c r="AA6" i="10"/>
  <c r="AA47" i="10" s="1"/>
  <c r="AA6" i="38"/>
  <c r="AA47" i="38" s="1"/>
  <c r="AA6" i="15"/>
  <c r="AA47" i="15" s="1"/>
  <c r="AA6" i="50"/>
  <c r="AA47" i="50" s="1"/>
  <c r="AA6" i="13"/>
  <c r="AA47" i="13" s="1"/>
  <c r="AA6" i="47"/>
  <c r="AA48" i="47" s="1"/>
  <c r="AA6" i="12"/>
  <c r="AA48" i="12" s="1"/>
  <c r="Q6" i="58"/>
  <c r="Q48" i="58" s="1"/>
  <c r="Q6" i="50"/>
  <c r="Q47" i="50"/>
  <c r="Q6" i="15"/>
  <c r="Q47" i="15" s="1"/>
  <c r="Q6" i="47"/>
  <c r="Q48" i="47"/>
  <c r="Q6" i="13"/>
  <c r="Q47" i="13" s="1"/>
  <c r="Q6" i="43"/>
  <c r="Q47" i="43"/>
  <c r="Q6" i="12"/>
  <c r="Q48" i="12" s="1"/>
  <c r="Q6" i="11"/>
  <c r="Q47" i="11" s="1"/>
  <c r="Q6" i="38"/>
  <c r="Q47" i="38" s="1"/>
  <c r="Q6" i="10"/>
  <c r="Q47" i="10" s="1"/>
  <c r="W5" i="58"/>
  <c r="W47" i="58" s="1"/>
  <c r="W5" i="15"/>
  <c r="W46" i="15" s="1"/>
  <c r="W5" i="50"/>
  <c r="W46" i="50" s="1"/>
  <c r="W5" i="10"/>
  <c r="W46" i="10"/>
  <c r="W5" i="38"/>
  <c r="W46" i="38" s="1"/>
  <c r="W5" i="11"/>
  <c r="W46" i="11"/>
  <c r="W5" i="13"/>
  <c r="W46" i="13" s="1"/>
  <c r="W5" i="43"/>
  <c r="W46" i="43"/>
  <c r="W5" i="47"/>
  <c r="W47" i="47" s="1"/>
  <c r="W5" i="12"/>
  <c r="W47" i="12"/>
  <c r="AC4" i="58"/>
  <c r="AC46" i="58" s="1"/>
  <c r="AC4" i="15"/>
  <c r="AC45" i="15" s="1"/>
  <c r="AC4" i="50"/>
  <c r="AC45" i="50" s="1"/>
  <c r="AC4" i="45"/>
  <c r="AC46" i="45" s="1"/>
  <c r="AC4" i="12"/>
  <c r="AC46" i="12" s="1"/>
  <c r="AC4" i="11"/>
  <c r="AC45" i="11" s="1"/>
  <c r="AC4" i="47"/>
  <c r="AC46" i="47"/>
  <c r="AC4" i="43"/>
  <c r="AC45" i="43" s="1"/>
  <c r="AC4" i="13"/>
  <c r="AC45" i="13" s="1"/>
  <c r="AC4" i="10"/>
  <c r="AC45" i="10" s="1"/>
  <c r="AC4" i="38"/>
  <c r="AC45" i="38"/>
  <c r="S4" i="58"/>
  <c r="S46" i="58" s="1"/>
  <c r="S4" i="15"/>
  <c r="S45" i="15"/>
  <c r="S4" i="12"/>
  <c r="S46" i="12"/>
  <c r="S4" i="11"/>
  <c r="S45" i="11" s="1"/>
  <c r="S4" i="38"/>
  <c r="S45" i="38" s="1"/>
  <c r="S4" i="47"/>
  <c r="S46" i="47" s="1"/>
  <c r="S4" i="43"/>
  <c r="S45" i="43" s="1"/>
  <c r="S4" i="13"/>
  <c r="S45" i="13" s="1"/>
  <c r="S4" i="10"/>
  <c r="S45" i="10" s="1"/>
  <c r="S4" i="50"/>
  <c r="S45" i="50" s="1"/>
  <c r="AD3" i="58"/>
  <c r="AD45" i="58" s="1"/>
  <c r="AD3" i="47"/>
  <c r="AD45" i="47" s="1"/>
  <c r="AD3" i="45"/>
  <c r="AD45" i="45" s="1"/>
  <c r="AD3" i="43"/>
  <c r="AD44" i="43" s="1"/>
  <c r="AD3" i="38"/>
  <c r="AD44" i="38"/>
  <c r="AD3" i="15"/>
  <c r="AD44" i="15" s="1"/>
  <c r="AD3" i="13"/>
  <c r="AD44" i="13"/>
  <c r="AD3" i="12"/>
  <c r="AD45" i="12" s="1"/>
  <c r="AD3" i="11"/>
  <c r="AD44" i="11"/>
  <c r="AD3" i="50"/>
  <c r="AD44" i="50" s="1"/>
  <c r="W2" i="58"/>
  <c r="W43" i="58" s="1"/>
  <c r="W44" i="58" s="1"/>
  <c r="W85" i="58" s="1"/>
  <c r="W2" i="10"/>
  <c r="W42" i="10" s="1"/>
  <c r="W43" i="10" s="1"/>
  <c r="W84" i="10" s="1"/>
  <c r="W2" i="13"/>
  <c r="W42" i="13" s="1"/>
  <c r="W43" i="13" s="1"/>
  <c r="W84" i="13" s="1"/>
  <c r="W2" i="38"/>
  <c r="W42" i="38" s="1"/>
  <c r="W43" i="38" s="1"/>
  <c r="W84" i="38" s="1"/>
  <c r="W2" i="43"/>
  <c r="W42" i="43" s="1"/>
  <c r="W43" i="43" s="1"/>
  <c r="W84" i="43" s="1"/>
  <c r="W2" i="47"/>
  <c r="W43" i="47" s="1"/>
  <c r="W44" i="47" s="1"/>
  <c r="W85" i="47" s="1"/>
  <c r="W2" i="23"/>
  <c r="W43" i="23" s="1"/>
  <c r="W44" i="23" s="1"/>
  <c r="W85" i="23" s="1"/>
  <c r="W2" i="15"/>
  <c r="W42" i="15" s="1"/>
  <c r="W43" i="15" s="1"/>
  <c r="W84" i="15" s="1"/>
  <c r="W2" i="12"/>
  <c r="W43" i="12" s="1"/>
  <c r="W44" i="12" s="1"/>
  <c r="W85" i="12" s="1"/>
  <c r="W2" i="45"/>
  <c r="W43" i="45" s="1"/>
  <c r="W44" i="45" s="1"/>
  <c r="W85" i="45" s="1"/>
  <c r="Y6" i="58"/>
  <c r="Y48" i="58" s="1"/>
  <c r="Y6" i="50"/>
  <c r="Y47" i="50" s="1"/>
  <c r="Y6" i="15"/>
  <c r="Y47" i="15" s="1"/>
  <c r="Y6" i="47"/>
  <c r="Y48" i="47"/>
  <c r="Y6" i="13"/>
  <c r="Y47" i="13" s="1"/>
  <c r="Y6" i="43"/>
  <c r="Y47" i="43"/>
  <c r="Y6" i="12"/>
  <c r="Y48" i="12" s="1"/>
  <c r="Y6" i="45"/>
  <c r="Y48" i="45" s="1"/>
  <c r="Y6" i="11"/>
  <c r="Y47" i="11" s="1"/>
  <c r="Y6" i="38"/>
  <c r="Y47" i="38" s="1"/>
  <c r="Y6" i="10"/>
  <c r="Y47" i="10" s="1"/>
  <c r="T10" i="58"/>
  <c r="T55" i="58" s="1"/>
  <c r="T10" i="15"/>
  <c r="T54" i="15" s="1"/>
  <c r="T10" i="13"/>
  <c r="T54" i="13"/>
  <c r="T10" i="12"/>
  <c r="T55" i="12" s="1"/>
  <c r="T10" i="11"/>
  <c r="T54" i="11" s="1"/>
  <c r="T10" i="10"/>
  <c r="T54" i="10"/>
  <c r="T10" i="50"/>
  <c r="T54" i="50" s="1"/>
  <c r="T10" i="47"/>
  <c r="T55" i="47" s="1"/>
  <c r="T10" i="45"/>
  <c r="T55" i="45"/>
  <c r="T10" i="43"/>
  <c r="T54" i="43" s="1"/>
  <c r="T10" i="38"/>
  <c r="T54" i="38" s="1"/>
  <c r="AC6" i="58"/>
  <c r="AC48" i="58" s="1"/>
  <c r="AC6" i="38"/>
  <c r="AC47" i="38"/>
  <c r="AC6" i="10"/>
  <c r="AC47" i="10" s="1"/>
  <c r="AC6" i="45"/>
  <c r="AC48" i="45"/>
  <c r="AC6" i="50"/>
  <c r="AC47" i="50"/>
  <c r="AC6" i="15"/>
  <c r="AC47" i="15" s="1"/>
  <c r="AC6" i="13"/>
  <c r="AC47" i="13" s="1"/>
  <c r="AC6" i="47"/>
  <c r="AC48" i="47" s="1"/>
  <c r="AC6" i="12"/>
  <c r="AC48" i="12" s="1"/>
  <c r="AC6" i="43"/>
  <c r="AC47" i="43" s="1"/>
  <c r="AC6" i="11"/>
  <c r="AC47" i="11" s="1"/>
  <c r="AB3" i="58"/>
  <c r="AB45" i="58" s="1"/>
  <c r="AB3" i="50"/>
  <c r="AB44" i="50"/>
  <c r="AB3" i="15"/>
  <c r="AB44" i="15"/>
  <c r="AB3" i="47"/>
  <c r="AB45" i="47" s="1"/>
  <c r="AB3" i="13"/>
  <c r="AB44" i="13"/>
  <c r="AB3" i="45"/>
  <c r="AB45" i="45" s="1"/>
  <c r="AB3" i="12"/>
  <c r="AB45" i="12" s="1"/>
  <c r="AB3" i="43"/>
  <c r="AB44" i="43" s="1"/>
  <c r="AB3" i="11"/>
  <c r="AB44" i="11" s="1"/>
  <c r="AB3" i="38"/>
  <c r="AB44" i="38" s="1"/>
  <c r="Y12" i="58"/>
  <c r="Y57" i="58"/>
  <c r="Y12" i="50"/>
  <c r="Y56" i="50" s="1"/>
  <c r="Y12" i="15"/>
  <c r="Y56" i="15"/>
  <c r="Y12" i="47"/>
  <c r="Y57" i="47" s="1"/>
  <c r="Y12" i="13"/>
  <c r="Y56" i="13"/>
  <c r="Y12" i="45"/>
  <c r="Y57" i="45" s="1"/>
  <c r="Y12" i="12"/>
  <c r="Y57" i="12" s="1"/>
  <c r="Y12" i="43"/>
  <c r="Y56" i="43" s="1"/>
  <c r="Y12" i="11"/>
  <c r="Y56" i="11" s="1"/>
  <c r="Y12" i="38"/>
  <c r="Y56" i="38"/>
  <c r="Y12" i="10"/>
  <c r="Y56" i="10" s="1"/>
  <c r="AB6" i="58"/>
  <c r="AB48" i="58" s="1"/>
  <c r="AB6" i="50"/>
  <c r="AB47" i="50" s="1"/>
  <c r="AB6" i="47"/>
  <c r="AB48" i="47" s="1"/>
  <c r="AB6" i="45"/>
  <c r="AB48" i="45" s="1"/>
  <c r="AB6" i="15"/>
  <c r="AB47" i="15" s="1"/>
  <c r="AB6" i="13"/>
  <c r="AB47" i="13" s="1"/>
  <c r="AB6" i="10"/>
  <c r="AB47" i="10" s="1"/>
  <c r="AB6" i="43"/>
  <c r="AB47" i="43"/>
  <c r="AB6" i="11"/>
  <c r="AB47" i="11"/>
  <c r="AB6" i="38"/>
  <c r="AB47" i="38" s="1"/>
  <c r="AB6" i="12"/>
  <c r="AB48" i="12"/>
  <c r="Q3" i="58"/>
  <c r="Q45" i="58" s="1"/>
  <c r="Q3" i="13"/>
  <c r="Q44" i="13" s="1"/>
  <c r="Q3" i="47"/>
  <c r="Q45" i="47" s="1"/>
  <c r="Q3" i="11"/>
  <c r="Q44" i="11" s="1"/>
  <c r="Q3" i="43"/>
  <c r="Q44" i="43" s="1"/>
  <c r="Q3" i="38"/>
  <c r="Q44" i="38"/>
  <c r="Q3" i="12"/>
  <c r="Q45" i="12" s="1"/>
  <c r="Q3" i="50"/>
  <c r="Q44" i="50" s="1"/>
  <c r="Q3" i="15"/>
  <c r="Q44" i="15"/>
  <c r="AB12" i="58"/>
  <c r="AB57" i="58" s="1"/>
  <c r="AB12" i="45"/>
  <c r="AB57" i="45" s="1"/>
  <c r="AB12" i="12"/>
  <c r="AB57" i="12"/>
  <c r="AB12" i="43"/>
  <c r="AB56" i="43"/>
  <c r="AB12" i="11"/>
  <c r="AB56" i="11" s="1"/>
  <c r="AB12" i="38"/>
  <c r="AB56" i="38" s="1"/>
  <c r="AB12" i="10"/>
  <c r="AB56" i="10" s="1"/>
  <c r="AB12" i="50"/>
  <c r="AB56" i="50"/>
  <c r="AB12" i="13"/>
  <c r="AB56" i="13"/>
  <c r="AB12" i="47"/>
  <c r="AB57" i="47" s="1"/>
  <c r="AB12" i="15"/>
  <c r="AB56" i="15" s="1"/>
  <c r="R12" i="58"/>
  <c r="R57" i="58" s="1"/>
  <c r="R12" i="23"/>
  <c r="R57" i="23" s="1"/>
  <c r="R12" i="38"/>
  <c r="R56" i="38"/>
  <c r="R12" i="15"/>
  <c r="R56" i="15"/>
  <c r="R12" i="47"/>
  <c r="R57" i="47" s="1"/>
  <c r="R12" i="50"/>
  <c r="R56" i="50" s="1"/>
  <c r="R12" i="13"/>
  <c r="R56" i="13" s="1"/>
  <c r="R12" i="45"/>
  <c r="R57" i="45" s="1"/>
  <c r="R12" i="10"/>
  <c r="R56" i="10"/>
  <c r="R12" i="12"/>
  <c r="R57" i="12" s="1"/>
  <c r="R12" i="43"/>
  <c r="R56" i="43" s="1"/>
  <c r="R12" i="11"/>
  <c r="R56" i="11"/>
  <c r="X11" i="58"/>
  <c r="X56" i="58" s="1"/>
  <c r="X11" i="10"/>
  <c r="X55" i="10" s="1"/>
  <c r="X11" i="13"/>
  <c r="X55" i="13" s="1"/>
  <c r="X11" i="50"/>
  <c r="X55" i="50"/>
  <c r="X11" i="23"/>
  <c r="X56" i="23" s="1"/>
  <c r="X11" i="43"/>
  <c r="X55" i="43"/>
  <c r="X11" i="47"/>
  <c r="X56" i="47"/>
  <c r="X11" i="15"/>
  <c r="X55" i="15"/>
  <c r="X11" i="45"/>
  <c r="X56" i="45" s="1"/>
  <c r="X11" i="12"/>
  <c r="X56" i="12" s="1"/>
  <c r="X11" i="11"/>
  <c r="X55" i="11" s="1"/>
  <c r="X11" i="38"/>
  <c r="X55" i="38" s="1"/>
  <c r="T11" i="58"/>
  <c r="T56" i="58" s="1"/>
  <c r="T11" i="15"/>
  <c r="T55" i="15" s="1"/>
  <c r="T11" i="13"/>
  <c r="T55" i="13"/>
  <c r="T11" i="12"/>
  <c r="T56" i="12" s="1"/>
  <c r="T11" i="11"/>
  <c r="T55" i="11" s="1"/>
  <c r="T11" i="10"/>
  <c r="T55" i="10" s="1"/>
  <c r="T11" i="50"/>
  <c r="T55" i="50" s="1"/>
  <c r="T11" i="47"/>
  <c r="T56" i="47" s="1"/>
  <c r="T11" i="45"/>
  <c r="T56" i="45"/>
  <c r="T11" i="43"/>
  <c r="T55" i="43" s="1"/>
  <c r="T11" i="38"/>
  <c r="T55" i="38" s="1"/>
  <c r="Y10" i="58"/>
  <c r="Y55" i="58" s="1"/>
  <c r="Y10" i="15"/>
  <c r="Y54" i="15" s="1"/>
  <c r="Y10" i="11"/>
  <c r="Y54" i="11" s="1"/>
  <c r="Y10" i="50"/>
  <c r="Y54" i="50" s="1"/>
  <c r="Y10" i="13"/>
  <c r="Y54" i="13"/>
  <c r="Y10" i="47"/>
  <c r="Y55" i="47" s="1"/>
  <c r="Y10" i="23"/>
  <c r="Y55" i="23"/>
  <c r="Y10" i="43"/>
  <c r="Y54" i="43" s="1"/>
  <c r="Y10" i="45"/>
  <c r="Y55" i="45" s="1"/>
  <c r="Y10" i="12"/>
  <c r="Y55" i="12" s="1"/>
  <c r="Y10" i="38"/>
  <c r="Y54" i="38" s="1"/>
  <c r="Y10" i="10"/>
  <c r="Y54" i="10" s="1"/>
  <c r="AA9" i="58"/>
  <c r="AA54" i="58" s="1"/>
  <c r="AA9" i="47"/>
  <c r="AA54" i="47" s="1"/>
  <c r="AA9" i="13"/>
  <c r="AA53" i="13"/>
  <c r="AA9" i="45"/>
  <c r="AA54" i="45" s="1"/>
  <c r="AA9" i="10"/>
  <c r="AA53" i="10"/>
  <c r="AA9" i="43"/>
  <c r="AA53" i="43" s="1"/>
  <c r="AA9" i="12"/>
  <c r="AA54" i="12" s="1"/>
  <c r="AA9" i="38"/>
  <c r="AA53" i="38" s="1"/>
  <c r="AA9" i="11"/>
  <c r="AA53" i="11"/>
  <c r="AA9" i="23"/>
  <c r="AA54" i="23"/>
  <c r="AA9" i="50"/>
  <c r="AA53" i="50" s="1"/>
  <c r="AA9" i="15"/>
  <c r="AA53" i="15" s="1"/>
  <c r="Q9" i="58"/>
  <c r="Q54" i="58" s="1"/>
  <c r="Q9" i="47"/>
  <c r="Q54" i="47" s="1"/>
  <c r="Q9" i="12"/>
  <c r="Q54" i="12" s="1"/>
  <c r="Q9" i="43"/>
  <c r="Q53" i="43" s="1"/>
  <c r="Q9" i="10"/>
  <c r="Q53" i="10" s="1"/>
  <c r="Q9" i="38"/>
  <c r="Q53" i="38" s="1"/>
  <c r="Q9" i="11"/>
  <c r="Q53" i="11"/>
  <c r="Q9" i="23"/>
  <c r="Q54" i="23" s="1"/>
  <c r="Q9" i="50"/>
  <c r="Q53" i="50"/>
  <c r="Q9" i="15"/>
  <c r="Q53" i="15" s="1"/>
  <c r="Q9" i="45"/>
  <c r="Q54" i="45" s="1"/>
  <c r="Q9" i="13"/>
  <c r="Q53" i="13" s="1"/>
  <c r="W8" i="58"/>
  <c r="W53" i="58"/>
  <c r="W8" i="15"/>
  <c r="W52" i="15" s="1"/>
  <c r="W8" i="50"/>
  <c r="W52" i="50" s="1"/>
  <c r="W8" i="23"/>
  <c r="W53" i="23"/>
  <c r="W8" i="43"/>
  <c r="W52" i="43"/>
  <c r="W8" i="47"/>
  <c r="W53" i="47" s="1"/>
  <c r="W8" i="13"/>
  <c r="W52" i="13" s="1"/>
  <c r="W8" i="45"/>
  <c r="W53" i="45"/>
  <c r="W8" i="12"/>
  <c r="W53" i="12" s="1"/>
  <c r="W8" i="38"/>
  <c r="W52" i="38"/>
  <c r="AC7" i="58"/>
  <c r="AC49" i="58" s="1"/>
  <c r="AC7" i="43"/>
  <c r="AC48" i="43"/>
  <c r="AC7" i="10"/>
  <c r="AC48" i="10"/>
  <c r="AC7" i="50"/>
  <c r="AC48" i="50"/>
  <c r="AC7" i="12"/>
  <c r="AC49" i="12" s="1"/>
  <c r="AC7" i="45"/>
  <c r="AC49" i="45" s="1"/>
  <c r="AC7" i="11"/>
  <c r="AC48" i="11"/>
  <c r="AC7" i="15"/>
  <c r="AC48" i="15" s="1"/>
  <c r="AC7" i="47"/>
  <c r="AC49" i="47" s="1"/>
  <c r="AC7" i="13"/>
  <c r="AC48" i="13"/>
  <c r="AC7" i="38"/>
  <c r="AC48" i="38"/>
  <c r="S7" i="58"/>
  <c r="S49" i="58" s="1"/>
  <c r="S7" i="47"/>
  <c r="S49" i="47" s="1"/>
  <c r="S7" i="13"/>
  <c r="S48" i="13"/>
  <c r="S7" i="12"/>
  <c r="S49" i="12" s="1"/>
  <c r="S7" i="43"/>
  <c r="S48" i="43"/>
  <c r="S7" i="11"/>
  <c r="S48" i="11" s="1"/>
  <c r="S7" i="38"/>
  <c r="S48" i="38"/>
  <c r="S7" i="10"/>
  <c r="S48" i="10" s="1"/>
  <c r="S7" i="50"/>
  <c r="S48" i="50"/>
  <c r="S7" i="15"/>
  <c r="S48" i="15" s="1"/>
  <c r="AD6" i="58"/>
  <c r="AD48" i="58"/>
  <c r="AD6" i="15"/>
  <c r="AD47" i="15"/>
  <c r="AD6" i="13"/>
  <c r="AD47" i="13" s="1"/>
  <c r="AD6" i="12"/>
  <c r="AD48" i="12" s="1"/>
  <c r="AD6" i="11"/>
  <c r="AD47" i="11"/>
  <c r="AD6" i="10"/>
  <c r="AD47" i="10" s="1"/>
  <c r="AD6" i="50"/>
  <c r="AD47" i="50"/>
  <c r="AD6" i="47"/>
  <c r="AD48" i="47" s="1"/>
  <c r="AD6" i="45"/>
  <c r="AD48" i="45"/>
  <c r="AD6" i="43"/>
  <c r="AD47" i="43"/>
  <c r="AD6" i="38"/>
  <c r="AD47" i="38"/>
  <c r="V5" i="58"/>
  <c r="V47" i="58" s="1"/>
  <c r="V5" i="43"/>
  <c r="V46" i="43" s="1"/>
  <c r="V5" i="12"/>
  <c r="V47" i="12"/>
  <c r="V5" i="47"/>
  <c r="V47" i="47" s="1"/>
  <c r="V5" i="50"/>
  <c r="V46" i="50" s="1"/>
  <c r="V5" i="10"/>
  <c r="V46" i="10"/>
  <c r="V5" i="38"/>
  <c r="V46" i="38"/>
  <c r="V5" i="11"/>
  <c r="V46" i="11"/>
  <c r="V5" i="13"/>
  <c r="V46" i="13" s="1"/>
  <c r="V5" i="15"/>
  <c r="V46" i="15"/>
  <c r="AB4" i="58"/>
  <c r="AB46" i="58" s="1"/>
  <c r="AB4" i="50"/>
  <c r="AB45" i="50"/>
  <c r="AB4" i="11"/>
  <c r="AB45" i="11" s="1"/>
  <c r="AB4" i="47"/>
  <c r="AB46" i="47"/>
  <c r="AB4" i="15"/>
  <c r="AB45" i="15" s="1"/>
  <c r="AB4" i="45"/>
  <c r="AB46" i="45" s="1"/>
  <c r="AB4" i="13"/>
  <c r="AB45" i="13"/>
  <c r="AB4" i="43"/>
  <c r="AB45" i="43" s="1"/>
  <c r="AB4" i="10"/>
  <c r="AB45" i="10" s="1"/>
  <c r="AB4" i="38"/>
  <c r="AB45" i="38"/>
  <c r="AB4" i="12"/>
  <c r="AB46" i="12"/>
  <c r="R4" i="58"/>
  <c r="R46" i="58" s="1"/>
  <c r="R4" i="15"/>
  <c r="R45" i="15" s="1"/>
  <c r="R4" i="50"/>
  <c r="R45" i="50"/>
  <c r="R4" i="47"/>
  <c r="R46" i="47" s="1"/>
  <c r="R4" i="13"/>
  <c r="R45" i="13"/>
  <c r="R4" i="12"/>
  <c r="R46" i="12"/>
  <c r="R4" i="43"/>
  <c r="R45" i="43"/>
  <c r="R4" i="11"/>
  <c r="R45" i="11"/>
  <c r="R4" i="38"/>
  <c r="R45" i="38" s="1"/>
  <c r="R4" i="10"/>
  <c r="R45" i="10" s="1"/>
  <c r="X3" i="58"/>
  <c r="X45" i="58" s="1"/>
  <c r="X3" i="38"/>
  <c r="X44" i="38" s="1"/>
  <c r="X3" i="12"/>
  <c r="X45" i="12" s="1"/>
  <c r="X3" i="11"/>
  <c r="X44" i="11"/>
  <c r="X3" i="50"/>
  <c r="X44" i="50"/>
  <c r="X3" i="15"/>
  <c r="X44" i="15" s="1"/>
  <c r="X3" i="47"/>
  <c r="X45" i="47"/>
  <c r="X3" i="43"/>
  <c r="X44" i="43" s="1"/>
  <c r="X3" i="13"/>
  <c r="X44" i="13"/>
  <c r="T3" i="58"/>
  <c r="T45" i="58" s="1"/>
  <c r="T3" i="50"/>
  <c r="T44" i="50"/>
  <c r="T3" i="47"/>
  <c r="T45" i="47" s="1"/>
  <c r="T3" i="45"/>
  <c r="T45" i="45"/>
  <c r="T3" i="43"/>
  <c r="T44" i="43" s="1"/>
  <c r="T3" i="38"/>
  <c r="T44" i="38" s="1"/>
  <c r="T3" i="15"/>
  <c r="T44" i="15"/>
  <c r="T3" i="13"/>
  <c r="T44" i="13" s="1"/>
  <c r="T3" i="12"/>
  <c r="T45" i="12" s="1"/>
  <c r="T3" i="11"/>
  <c r="T44" i="11"/>
  <c r="V2" i="50"/>
  <c r="V42" i="50" s="1"/>
  <c r="V43" i="50" s="1"/>
  <c r="V84" i="50" s="1"/>
  <c r="V2" i="45"/>
  <c r="V43" i="45" s="1"/>
  <c r="V44" i="45" s="1"/>
  <c r="V85" i="45" s="1"/>
  <c r="V2" i="58"/>
  <c r="V43" i="58" s="1"/>
  <c r="V44" i="58" s="1"/>
  <c r="V85" i="58" s="1"/>
  <c r="V2" i="10"/>
  <c r="V42" i="10" s="1"/>
  <c r="V43" i="10" s="1"/>
  <c r="V84" i="10" s="1"/>
  <c r="V2" i="47"/>
  <c r="V43" i="47" s="1"/>
  <c r="V44" i="47" s="1"/>
  <c r="V85" i="47" s="1"/>
  <c r="S11" i="58"/>
  <c r="S56" i="58" s="1"/>
  <c r="S11" i="50"/>
  <c r="S55" i="50" s="1"/>
  <c r="S11" i="15"/>
  <c r="S55" i="15" s="1"/>
  <c r="S11" i="47"/>
  <c r="S56" i="47" s="1"/>
  <c r="S11" i="13"/>
  <c r="S55" i="13" s="1"/>
  <c r="S11" i="45"/>
  <c r="S56" i="45" s="1"/>
  <c r="S11" i="12"/>
  <c r="S56" i="12" s="1"/>
  <c r="S11" i="43"/>
  <c r="S55" i="43" s="1"/>
  <c r="S11" i="11"/>
  <c r="S55" i="11" s="1"/>
  <c r="S11" i="38"/>
  <c r="S55" i="38" s="1"/>
  <c r="S11" i="10"/>
  <c r="S55" i="10" s="1"/>
  <c r="S11" i="23"/>
  <c r="S56" i="23" s="1"/>
  <c r="AA5" i="58"/>
  <c r="AA47" i="58" s="1"/>
  <c r="AA5" i="50"/>
  <c r="AA46" i="50" s="1"/>
  <c r="AA5" i="15"/>
  <c r="AA46" i="15" s="1"/>
  <c r="AA5" i="45"/>
  <c r="AA47" i="45" s="1"/>
  <c r="AA5" i="13"/>
  <c r="AA46" i="13" s="1"/>
  <c r="AA5" i="43"/>
  <c r="AA46" i="43" s="1"/>
  <c r="AA5" i="11"/>
  <c r="AA46" i="11" s="1"/>
  <c r="AA5" i="47"/>
  <c r="AA47" i="47" s="1"/>
  <c r="AA5" i="10"/>
  <c r="AA46" i="10" s="1"/>
  <c r="AA5" i="38"/>
  <c r="AA46" i="38" s="1"/>
  <c r="AA5" i="12"/>
  <c r="AA47" i="12" s="1"/>
  <c r="X10" i="58"/>
  <c r="X55" i="58" s="1"/>
  <c r="X10" i="47"/>
  <c r="X55" i="47" s="1"/>
  <c r="X10" i="15"/>
  <c r="X54" i="15" s="1"/>
  <c r="X10" i="50"/>
  <c r="X54" i="50" s="1"/>
  <c r="X10" i="13"/>
  <c r="X54" i="13" s="1"/>
  <c r="X10" i="23"/>
  <c r="X55" i="23" s="1"/>
  <c r="X10" i="45"/>
  <c r="X55" i="45" s="1"/>
  <c r="X10" i="11"/>
  <c r="X54" i="11" s="1"/>
  <c r="X10" i="43"/>
  <c r="X54" i="43" s="1"/>
  <c r="X10" i="10"/>
  <c r="X54" i="10" s="1"/>
  <c r="X10" i="38"/>
  <c r="X54" i="38" s="1"/>
  <c r="X10" i="12"/>
  <c r="X55" i="12" s="1"/>
  <c r="AD5" i="58"/>
  <c r="AD47" i="58" s="1"/>
  <c r="AD5" i="15"/>
  <c r="AD46" i="15" s="1"/>
  <c r="AD5" i="13"/>
  <c r="AD46" i="13" s="1"/>
  <c r="AD5" i="12"/>
  <c r="AD47" i="12" s="1"/>
  <c r="AD5" i="11"/>
  <c r="AD46" i="11" s="1"/>
  <c r="AD5" i="10"/>
  <c r="AD46" i="10" s="1"/>
  <c r="AD5" i="50"/>
  <c r="AD46" i="50" s="1"/>
  <c r="AD5" i="47"/>
  <c r="AD47" i="47" s="1"/>
  <c r="AD5" i="45"/>
  <c r="AD47" i="45" s="1"/>
  <c r="AD5" i="43"/>
  <c r="AD46" i="43" s="1"/>
  <c r="AD5" i="38"/>
  <c r="AD46" i="38" s="1"/>
  <c r="S9" i="58"/>
  <c r="S54" i="58" s="1"/>
  <c r="S9" i="15"/>
  <c r="S53" i="15" s="1"/>
  <c r="S9" i="50"/>
  <c r="S53" i="50" s="1"/>
  <c r="S9" i="13"/>
  <c r="S53" i="13" s="1"/>
  <c r="S9" i="45"/>
  <c r="S54" i="45" s="1"/>
  <c r="S9" i="12"/>
  <c r="S54" i="12" s="1"/>
  <c r="S9" i="47"/>
  <c r="S54" i="47" s="1"/>
  <c r="S9" i="10"/>
  <c r="S53" i="10" s="1"/>
  <c r="S9" i="43"/>
  <c r="S53" i="43" s="1"/>
  <c r="S9" i="11"/>
  <c r="S53" i="11" s="1"/>
  <c r="S9" i="38"/>
  <c r="S53" i="38" s="1"/>
  <c r="S9" i="23"/>
  <c r="S54" i="23" s="1"/>
  <c r="R6" i="58"/>
  <c r="R48" i="58" s="1"/>
  <c r="R6" i="15"/>
  <c r="R47" i="15" s="1"/>
  <c r="R6" i="50"/>
  <c r="R47" i="50" s="1"/>
  <c r="R6" i="10"/>
  <c r="R47" i="10" s="1"/>
  <c r="R6" i="47"/>
  <c r="R48" i="47" s="1"/>
  <c r="R6" i="12"/>
  <c r="R48" i="12" s="1"/>
  <c r="R6" i="13"/>
  <c r="R47" i="13" s="1"/>
  <c r="R6" i="43"/>
  <c r="R47" i="43" s="1"/>
  <c r="R6" i="11"/>
  <c r="R47" i="11" s="1"/>
  <c r="R6" i="38"/>
  <c r="R47" i="38" s="1"/>
  <c r="X2" i="58"/>
  <c r="X43" i="58" s="1"/>
  <c r="X44" i="58" s="1"/>
  <c r="X85" i="58" s="1"/>
  <c r="X2" i="12"/>
  <c r="X43" i="12" s="1"/>
  <c r="X44" i="12" s="1"/>
  <c r="X85" i="12" s="1"/>
  <c r="X2" i="50"/>
  <c r="X42" i="50" s="1"/>
  <c r="X43" i="50" s="1"/>
  <c r="X84" i="50" s="1"/>
  <c r="X2" i="23"/>
  <c r="X43" i="23" s="1"/>
  <c r="X44" i="23" s="1"/>
  <c r="X85" i="23" s="1"/>
  <c r="X2" i="43"/>
  <c r="X42" i="43" s="1"/>
  <c r="X43" i="43" s="1"/>
  <c r="X84" i="43" s="1"/>
  <c r="X2" i="13"/>
  <c r="X42" i="13" s="1"/>
  <c r="X43" i="13" s="1"/>
  <c r="X84" i="13" s="1"/>
  <c r="X2" i="10"/>
  <c r="X42" i="10" s="1"/>
  <c r="X43" i="10" s="1"/>
  <c r="X84" i="10" s="1"/>
  <c r="X2" i="38"/>
  <c r="X42" i="38" s="1"/>
  <c r="X43" i="38" s="1"/>
  <c r="X84" i="38" s="1"/>
  <c r="AA12" i="58"/>
  <c r="AA57" i="58" s="1"/>
  <c r="AA12" i="45"/>
  <c r="AA57" i="45" s="1"/>
  <c r="AA12" i="11"/>
  <c r="AA56" i="11" s="1"/>
  <c r="AA12" i="38"/>
  <c r="AA56" i="38"/>
  <c r="AA12" i="10"/>
  <c r="AA56" i="10"/>
  <c r="AA12" i="15"/>
  <c r="AA56" i="15" s="1"/>
  <c r="AA12" i="50"/>
  <c r="AA56" i="50" s="1"/>
  <c r="AA12" i="13"/>
  <c r="AA56" i="13"/>
  <c r="AA12" i="47"/>
  <c r="AA57" i="47" s="1"/>
  <c r="AA12" i="43"/>
  <c r="AA56" i="43" s="1"/>
  <c r="AA12" i="12"/>
  <c r="AA57" i="12"/>
  <c r="Q12" i="58"/>
  <c r="Q57" i="58" s="1"/>
  <c r="Q12" i="38"/>
  <c r="Q56" i="38" s="1"/>
  <c r="Q12" i="10"/>
  <c r="Q56" i="10"/>
  <c r="Q12" i="47"/>
  <c r="Q57" i="47" s="1"/>
  <c r="Q12" i="15"/>
  <c r="Q56" i="15" s="1"/>
  <c r="Q12" i="12"/>
  <c r="Q57" i="12"/>
  <c r="Q12" i="43"/>
  <c r="Q56" i="43" s="1"/>
  <c r="Q12" i="11"/>
  <c r="Q56" i="11" s="1"/>
  <c r="Q12" i="50"/>
  <c r="Q56" i="50" s="1"/>
  <c r="Q12" i="13"/>
  <c r="Q56" i="13" s="1"/>
  <c r="Q12" i="45"/>
  <c r="Q57" i="45" s="1"/>
  <c r="Q12" i="23"/>
  <c r="Q57" i="23" s="1"/>
  <c r="W11" i="58"/>
  <c r="W56" i="58" s="1"/>
  <c r="W11" i="50"/>
  <c r="W55" i="50" s="1"/>
  <c r="W11" i="23"/>
  <c r="W56" i="23" s="1"/>
  <c r="W11" i="13"/>
  <c r="W55" i="13" s="1"/>
  <c r="W11" i="47"/>
  <c r="W56" i="47"/>
  <c r="W11" i="11"/>
  <c r="W55" i="11" s="1"/>
  <c r="W11" i="45"/>
  <c r="W56" i="45" s="1"/>
  <c r="W11" i="15"/>
  <c r="W55" i="15" s="1"/>
  <c r="W11" i="43"/>
  <c r="W55" i="43" s="1"/>
  <c r="W11" i="10"/>
  <c r="W55" i="10" s="1"/>
  <c r="W11" i="38"/>
  <c r="W55" i="38" s="1"/>
  <c r="W11" i="12"/>
  <c r="W56" i="12" s="1"/>
  <c r="AC10" i="58"/>
  <c r="AC55" i="58"/>
  <c r="AC10" i="43"/>
  <c r="AC54" i="43" s="1"/>
  <c r="AC10" i="11"/>
  <c r="AC54" i="11" s="1"/>
  <c r="AC10" i="10"/>
  <c r="AC54" i="10" s="1"/>
  <c r="AC10" i="45"/>
  <c r="AC55" i="45"/>
  <c r="AC10" i="38"/>
  <c r="AC54" i="38" s="1"/>
  <c r="AC10" i="23"/>
  <c r="AC55" i="23"/>
  <c r="AC10" i="50"/>
  <c r="AC54" i="50" s="1"/>
  <c r="AC10" i="15"/>
  <c r="AC54" i="15" s="1"/>
  <c r="AC10" i="12"/>
  <c r="AC55" i="12" s="1"/>
  <c r="AC10" i="47"/>
  <c r="AC55" i="47" s="1"/>
  <c r="AC10" i="13"/>
  <c r="AC54" i="13" s="1"/>
  <c r="S10" i="58"/>
  <c r="S55" i="58" s="1"/>
  <c r="S10" i="45"/>
  <c r="S55" i="45" s="1"/>
  <c r="S10" i="12"/>
  <c r="S55" i="12"/>
  <c r="S10" i="43"/>
  <c r="S54" i="43" s="1"/>
  <c r="S10" i="11"/>
  <c r="S54" i="11" s="1"/>
  <c r="S10" i="38"/>
  <c r="S54" i="38" s="1"/>
  <c r="S10" i="10"/>
  <c r="S54" i="10" s="1"/>
  <c r="S10" i="23"/>
  <c r="S55" i="23" s="1"/>
  <c r="S10" i="50"/>
  <c r="S54" i="50" s="1"/>
  <c r="S10" i="13"/>
  <c r="S54" i="13" s="1"/>
  <c r="S10" i="47"/>
  <c r="S55" i="47"/>
  <c r="S10" i="15"/>
  <c r="S54" i="15" s="1"/>
  <c r="AD9" i="58"/>
  <c r="AD54" i="58" s="1"/>
  <c r="AD9" i="47"/>
  <c r="AD54" i="47" s="1"/>
  <c r="AD9" i="45"/>
  <c r="AD54" i="45" s="1"/>
  <c r="AD9" i="43"/>
  <c r="AD53" i="43"/>
  <c r="AD9" i="38"/>
  <c r="AD53" i="38" s="1"/>
  <c r="AD9" i="23"/>
  <c r="AD54" i="23" s="1"/>
  <c r="AD9" i="15"/>
  <c r="AD53" i="15" s="1"/>
  <c r="AD9" i="13"/>
  <c r="AD53" i="13" s="1"/>
  <c r="AD9" i="12"/>
  <c r="AD54" i="12" s="1"/>
  <c r="AD9" i="11"/>
  <c r="AD53" i="11"/>
  <c r="AD9" i="10"/>
  <c r="AD53" i="10" s="1"/>
  <c r="AD9" i="50"/>
  <c r="AD53" i="50" s="1"/>
  <c r="V8" i="58"/>
  <c r="V53" i="58" s="1"/>
  <c r="V8" i="50"/>
  <c r="V52" i="50"/>
  <c r="V8" i="23"/>
  <c r="V53" i="23" s="1"/>
  <c r="V8" i="13"/>
  <c r="V52" i="13" s="1"/>
  <c r="V8" i="45"/>
  <c r="V53" i="45" s="1"/>
  <c r="V8" i="12"/>
  <c r="V53" i="12" s="1"/>
  <c r="V8" i="43"/>
  <c r="V52" i="43" s="1"/>
  <c r="V8" i="38"/>
  <c r="V52" i="38" s="1"/>
  <c r="V8" i="15"/>
  <c r="V52" i="15" s="1"/>
  <c r="V8" i="47"/>
  <c r="V53" i="47" s="1"/>
  <c r="AB7" i="58"/>
  <c r="AB49" i="58" s="1"/>
  <c r="AB7" i="15"/>
  <c r="AB48" i="15" s="1"/>
  <c r="AB7" i="10"/>
  <c r="AB48" i="10" s="1"/>
  <c r="AB7" i="43"/>
  <c r="AB48" i="43"/>
  <c r="AB7" i="50"/>
  <c r="AB48" i="50" s="1"/>
  <c r="AB7" i="12"/>
  <c r="AB49" i="12" s="1"/>
  <c r="AB7" i="45"/>
  <c r="AB49" i="45" s="1"/>
  <c r="AB7" i="38"/>
  <c r="AB48" i="38"/>
  <c r="AB7" i="13"/>
  <c r="AB48" i="13" s="1"/>
  <c r="AB7" i="11"/>
  <c r="AB48" i="11" s="1"/>
  <c r="AB7" i="47"/>
  <c r="AB49" i="47" s="1"/>
  <c r="R7" i="58"/>
  <c r="R49" i="58"/>
  <c r="R7" i="43"/>
  <c r="R48" i="43" s="1"/>
  <c r="R7" i="13"/>
  <c r="R48" i="13" s="1"/>
  <c r="R7" i="38"/>
  <c r="R48" i="38" s="1"/>
  <c r="R7" i="10"/>
  <c r="R48" i="10" s="1"/>
  <c r="R7" i="50"/>
  <c r="R48" i="50" s="1"/>
  <c r="R7" i="15"/>
  <c r="R48" i="15" s="1"/>
  <c r="R7" i="12"/>
  <c r="R49" i="12"/>
  <c r="R7" i="47"/>
  <c r="R49" i="47" s="1"/>
  <c r="R7" i="11"/>
  <c r="R48" i="11" s="1"/>
  <c r="X6" i="58"/>
  <c r="X48" i="58"/>
  <c r="X6" i="43"/>
  <c r="X47" i="43" s="1"/>
  <c r="X6" i="11"/>
  <c r="X47" i="11" s="1"/>
  <c r="X6" i="15"/>
  <c r="X47" i="15" s="1"/>
  <c r="X6" i="47"/>
  <c r="X48" i="47" s="1"/>
  <c r="X6" i="10"/>
  <c r="X47" i="10" s="1"/>
  <c r="X6" i="38"/>
  <c r="X47" i="38" s="1"/>
  <c r="X6" i="12"/>
  <c r="X48" i="12" s="1"/>
  <c r="X6" i="50"/>
  <c r="X47" i="50" s="1"/>
  <c r="X6" i="13"/>
  <c r="X47" i="13" s="1"/>
  <c r="T6" i="58"/>
  <c r="T48" i="58"/>
  <c r="T6" i="47"/>
  <c r="T48" i="47" s="1"/>
  <c r="T6" i="45"/>
  <c r="T48" i="45" s="1"/>
  <c r="T6" i="43"/>
  <c r="T47" i="43"/>
  <c r="T6" i="38"/>
  <c r="T47" i="38" s="1"/>
  <c r="T6" i="15"/>
  <c r="T47" i="15" s="1"/>
  <c r="T6" i="13"/>
  <c r="T47" i="13"/>
  <c r="T6" i="12"/>
  <c r="T48" i="12" s="1"/>
  <c r="T6" i="11"/>
  <c r="T47" i="11" s="1"/>
  <c r="T6" i="10"/>
  <c r="T47" i="10" s="1"/>
  <c r="T6" i="50"/>
  <c r="T47" i="50" s="1"/>
  <c r="Y5" i="58"/>
  <c r="Y47" i="58" s="1"/>
  <c r="Y5" i="13"/>
  <c r="Y46" i="13" s="1"/>
  <c r="Y5" i="12"/>
  <c r="Y47" i="12" s="1"/>
  <c r="Y5" i="50"/>
  <c r="Y46" i="50"/>
  <c r="Y5" i="15"/>
  <c r="Y46" i="15" s="1"/>
  <c r="Y5" i="47"/>
  <c r="Y47" i="47" s="1"/>
  <c r="Y5" i="11"/>
  <c r="Y46" i="11" s="1"/>
  <c r="Y5" i="45"/>
  <c r="Y47" i="45" s="1"/>
  <c r="Y5" i="43"/>
  <c r="Y46" i="43" s="1"/>
  <c r="Y5" i="10"/>
  <c r="Y46" i="10" s="1"/>
  <c r="Y5" i="38"/>
  <c r="Y46" i="38" s="1"/>
  <c r="AA4" i="58"/>
  <c r="AA46" i="58" s="1"/>
  <c r="AA4" i="50"/>
  <c r="AA45" i="50" s="1"/>
  <c r="AA4" i="15"/>
  <c r="AA45" i="15" s="1"/>
  <c r="AA4" i="47"/>
  <c r="AA46" i="47" s="1"/>
  <c r="AA4" i="12"/>
  <c r="AA46" i="12" s="1"/>
  <c r="AA4" i="45"/>
  <c r="AA46" i="45" s="1"/>
  <c r="AA4" i="11"/>
  <c r="AA45" i="11"/>
  <c r="AA4" i="38"/>
  <c r="AA45" i="38" s="1"/>
  <c r="AA4" i="13"/>
  <c r="AA45" i="13" s="1"/>
  <c r="AA4" i="43"/>
  <c r="AA45" i="43" s="1"/>
  <c r="AA4" i="10"/>
  <c r="AA45" i="10"/>
  <c r="Q4" i="58"/>
  <c r="Q46" i="58" s="1"/>
  <c r="Q4" i="15"/>
  <c r="Q45" i="15" s="1"/>
  <c r="Q4" i="50"/>
  <c r="Q45" i="50" s="1"/>
  <c r="Q4" i="47"/>
  <c r="Q46" i="47"/>
  <c r="Q4" i="13"/>
  <c r="Q45" i="13" s="1"/>
  <c r="Q4" i="12"/>
  <c r="Q46" i="12" s="1"/>
  <c r="Q4" i="43"/>
  <c r="Q45" i="43" s="1"/>
  <c r="Q4" i="11"/>
  <c r="Q45" i="11" s="1"/>
  <c r="Q4" i="38"/>
  <c r="Q45" i="38" s="1"/>
  <c r="Q4" i="10"/>
  <c r="Q45" i="10" s="1"/>
  <c r="W3" i="58"/>
  <c r="W45" i="58" s="1"/>
  <c r="W3" i="47"/>
  <c r="W45" i="47" s="1"/>
  <c r="W3" i="13"/>
  <c r="W44" i="13" s="1"/>
  <c r="W3" i="11"/>
  <c r="W44" i="11" s="1"/>
  <c r="W3" i="43"/>
  <c r="W44" i="43" s="1"/>
  <c r="W3" i="38"/>
  <c r="W44" i="38" s="1"/>
  <c r="W3" i="50"/>
  <c r="W44" i="50" s="1"/>
  <c r="W3" i="15"/>
  <c r="W44" i="15" s="1"/>
  <c r="W3" i="12"/>
  <c r="W45" i="12" s="1"/>
  <c r="U2" i="10"/>
  <c r="U42" i="10" s="1"/>
  <c r="U43" i="10" s="1"/>
  <c r="U84" i="10" s="1"/>
  <c r="U2" i="11"/>
  <c r="U42" i="11" s="1"/>
  <c r="U43" i="11" s="1"/>
  <c r="U84" i="11" s="1"/>
  <c r="U2" i="12"/>
  <c r="U43" i="12" s="1"/>
  <c r="U44" i="12" s="1"/>
  <c r="U85" i="12" s="1"/>
  <c r="U2" i="45"/>
  <c r="U43" i="45" s="1"/>
  <c r="U44" i="45" s="1"/>
  <c r="U85" i="45" s="1"/>
  <c r="U2" i="13"/>
  <c r="U42" i="13" s="1"/>
  <c r="U43" i="13" s="1"/>
  <c r="U84" i="13" s="1"/>
  <c r="U2" i="47"/>
  <c r="U43" i="47" s="1"/>
  <c r="U44" i="47" s="1"/>
  <c r="U85" i="47" s="1"/>
  <c r="U2" i="23"/>
  <c r="U43" i="23" s="1"/>
  <c r="U44" i="23" s="1"/>
  <c r="U85" i="23" s="1"/>
  <c r="U2" i="38"/>
  <c r="U42" i="38" s="1"/>
  <c r="U43" i="38" s="1"/>
  <c r="U84" i="38" s="1"/>
  <c r="U2" i="43"/>
  <c r="U2" i="15"/>
  <c r="U42" i="15" s="1"/>
  <c r="U43" i="15" s="1"/>
  <c r="U84" i="15" s="1"/>
  <c r="V3" i="58"/>
  <c r="V45" i="58" s="1"/>
  <c r="V3" i="50"/>
  <c r="V44" i="50" s="1"/>
  <c r="V3" i="12"/>
  <c r="V45" i="12" s="1"/>
  <c r="V3" i="13"/>
  <c r="V44" i="13" s="1"/>
  <c r="V3" i="11"/>
  <c r="V44" i="11"/>
  <c r="V3" i="38"/>
  <c r="V44" i="38" s="1"/>
  <c r="V3" i="43"/>
  <c r="V44" i="43" s="1"/>
  <c r="V3" i="15"/>
  <c r="V44" i="15"/>
  <c r="V3" i="47"/>
  <c r="V45" i="47" s="1"/>
  <c r="AC11" i="58"/>
  <c r="AC56" i="58" s="1"/>
  <c r="AC11" i="43"/>
  <c r="AC55" i="43" s="1"/>
  <c r="AC11" i="11"/>
  <c r="AC55" i="11" s="1"/>
  <c r="AC11" i="12"/>
  <c r="AC56" i="12"/>
  <c r="AC11" i="38"/>
  <c r="AC55" i="38" s="1"/>
  <c r="AC11" i="50"/>
  <c r="AC55" i="50" s="1"/>
  <c r="AC11" i="23"/>
  <c r="AC56" i="23" s="1"/>
  <c r="AC11" i="15"/>
  <c r="AC55" i="15" s="1"/>
  <c r="AC11" i="45"/>
  <c r="AC56" i="45"/>
  <c r="AC11" i="13"/>
  <c r="AC55" i="13" s="1"/>
  <c r="AC11" i="47"/>
  <c r="AC56" i="47" s="1"/>
  <c r="AC11" i="10"/>
  <c r="AC55" i="10"/>
  <c r="AB8" i="58"/>
  <c r="AB53" i="58" s="1"/>
  <c r="AB8" i="45"/>
  <c r="AB53" i="45" s="1"/>
  <c r="AB8" i="43"/>
  <c r="AB52" i="43" s="1"/>
  <c r="AB8" i="12"/>
  <c r="AB53" i="12" s="1"/>
  <c r="AB8" i="38"/>
  <c r="AB52" i="38" s="1"/>
  <c r="AB8" i="11"/>
  <c r="AB52" i="11" s="1"/>
  <c r="AB8" i="23"/>
  <c r="AB53" i="23" s="1"/>
  <c r="AB8" i="50"/>
  <c r="AB52" i="50" s="1"/>
  <c r="AB8" i="15"/>
  <c r="AB52" i="15" s="1"/>
  <c r="AB8" i="47"/>
  <c r="AB53" i="47" s="1"/>
  <c r="AB8" i="13"/>
  <c r="AB52" i="13" s="1"/>
  <c r="X7" i="58"/>
  <c r="X49" i="58" s="1"/>
  <c r="X7" i="13"/>
  <c r="X48" i="13" s="1"/>
  <c r="X7" i="50"/>
  <c r="X48" i="50" s="1"/>
  <c r="X7" i="12"/>
  <c r="X49" i="12" s="1"/>
  <c r="X7" i="11"/>
  <c r="X48" i="11" s="1"/>
  <c r="X7" i="15"/>
  <c r="X48" i="15" s="1"/>
  <c r="X7" i="47"/>
  <c r="X49" i="47" s="1"/>
  <c r="X7" i="10"/>
  <c r="X48" i="10" s="1"/>
  <c r="X7" i="43"/>
  <c r="X48" i="43" s="1"/>
  <c r="X7" i="38"/>
  <c r="X48" i="38" s="1"/>
  <c r="W4" i="58"/>
  <c r="W46" i="58" s="1"/>
  <c r="W4" i="12"/>
  <c r="W46" i="12" s="1"/>
  <c r="W4" i="11"/>
  <c r="W45" i="11" s="1"/>
  <c r="W4" i="10"/>
  <c r="W45" i="10" s="1"/>
  <c r="W4" i="38"/>
  <c r="W45" i="38" s="1"/>
  <c r="W4" i="15"/>
  <c r="W45" i="15" s="1"/>
  <c r="W4" i="50"/>
  <c r="W45" i="50" s="1"/>
  <c r="W4" i="47"/>
  <c r="W46" i="47" s="1"/>
  <c r="W4" i="13"/>
  <c r="W45" i="13" s="1"/>
  <c r="W4" i="43"/>
  <c r="W45" i="43" s="1"/>
  <c r="S3" i="58"/>
  <c r="S45" i="58" s="1"/>
  <c r="S3" i="15"/>
  <c r="S44" i="15" s="1"/>
  <c r="S3" i="50"/>
  <c r="S44" i="50" s="1"/>
  <c r="S3" i="13"/>
  <c r="S44" i="13" s="1"/>
  <c r="S3" i="47"/>
  <c r="S45" i="47" s="1"/>
  <c r="S3" i="11"/>
  <c r="S44" i="11" s="1"/>
  <c r="S3" i="43"/>
  <c r="S44" i="43" s="1"/>
  <c r="S3" i="38"/>
  <c r="S44" i="38" s="1"/>
  <c r="S3" i="12"/>
  <c r="S45" i="12" s="1"/>
  <c r="V12" i="58"/>
  <c r="V57" i="58" s="1"/>
  <c r="V12" i="45"/>
  <c r="V57" i="45" s="1"/>
  <c r="V12" i="15"/>
  <c r="V56" i="15" s="1"/>
  <c r="V12" i="38"/>
  <c r="V56" i="38" s="1"/>
  <c r="V12" i="10"/>
  <c r="V56" i="10" s="1"/>
  <c r="V12" i="50"/>
  <c r="V56" i="50" s="1"/>
  <c r="V12" i="12"/>
  <c r="V57" i="12" s="1"/>
  <c r="V12" i="11"/>
  <c r="V56" i="11" s="1"/>
  <c r="V12" i="23"/>
  <c r="V57" i="23" s="1"/>
  <c r="V12" i="13"/>
  <c r="V56" i="13" s="1"/>
  <c r="V12" i="47"/>
  <c r="V57" i="47" s="1"/>
  <c r="V12" i="43"/>
  <c r="V56" i="43" s="1"/>
  <c r="S6" i="58"/>
  <c r="S48" i="58" s="1"/>
  <c r="S6" i="43"/>
  <c r="S47" i="43" s="1"/>
  <c r="S6" i="11"/>
  <c r="S47" i="11" s="1"/>
  <c r="S6" i="38"/>
  <c r="S47" i="38" s="1"/>
  <c r="S6" i="10"/>
  <c r="S47" i="10" s="1"/>
  <c r="S6" i="15"/>
  <c r="S47" i="15" s="1"/>
  <c r="S6" i="50"/>
  <c r="S47" i="50" s="1"/>
  <c r="S6" i="13"/>
  <c r="S47" i="13" s="1"/>
  <c r="S6" i="47"/>
  <c r="S48" i="47" s="1"/>
  <c r="S6" i="12"/>
  <c r="S48" i="12" s="1"/>
  <c r="Q11" i="58"/>
  <c r="Q56" i="58" s="1"/>
  <c r="Q11" i="43"/>
  <c r="Q55" i="43" s="1"/>
  <c r="Q11" i="10"/>
  <c r="Q55" i="10" s="1"/>
  <c r="Q11" i="38"/>
  <c r="Q55" i="38" s="1"/>
  <c r="Q11" i="15"/>
  <c r="Q55" i="15" s="1"/>
  <c r="Q11" i="23"/>
  <c r="Q56" i="23" s="1"/>
  <c r="Q11" i="50"/>
  <c r="Q55" i="50" s="1"/>
  <c r="Q11" i="13"/>
  <c r="Q55" i="13" s="1"/>
  <c r="Q11" i="47"/>
  <c r="Q56" i="47" s="1"/>
  <c r="Q11" i="12"/>
  <c r="Q56" i="12" s="1"/>
  <c r="Q11" i="45"/>
  <c r="Q56" i="45" s="1"/>
  <c r="Q11" i="11"/>
  <c r="Q55" i="11" s="1"/>
  <c r="AD8" i="58"/>
  <c r="AD53" i="58" s="1"/>
  <c r="AD8" i="23"/>
  <c r="AD53" i="23" s="1"/>
  <c r="AD8" i="15"/>
  <c r="AD52" i="15" s="1"/>
  <c r="AD8" i="13"/>
  <c r="AD52" i="13" s="1"/>
  <c r="AD8" i="12"/>
  <c r="AD53" i="12" s="1"/>
  <c r="AD8" i="11"/>
  <c r="AD52" i="11" s="1"/>
  <c r="AD8" i="50"/>
  <c r="AD52" i="50" s="1"/>
  <c r="AD8" i="47"/>
  <c r="AD53" i="47" s="1"/>
  <c r="AD8" i="45"/>
  <c r="AD53" i="45" s="1"/>
  <c r="AD8" i="43"/>
  <c r="AD52" i="43" s="1"/>
  <c r="AD8" i="38"/>
  <c r="AD52" i="38" s="1"/>
  <c r="Y4" i="58"/>
  <c r="Y46" i="58" s="1"/>
  <c r="Y4" i="15"/>
  <c r="Y45" i="15" s="1"/>
  <c r="Y4" i="50"/>
  <c r="Y45" i="50" s="1"/>
  <c r="Y4" i="13"/>
  <c r="Y45" i="13" s="1"/>
  <c r="Y4" i="47"/>
  <c r="Y46" i="47" s="1"/>
  <c r="Y4" i="45"/>
  <c r="Y46" i="45" s="1"/>
  <c r="Y4" i="12"/>
  <c r="Y46" i="12" s="1"/>
  <c r="Y4" i="43"/>
  <c r="Y45" i="43" s="1"/>
  <c r="Y4" i="11"/>
  <c r="Y45" i="11" s="1"/>
  <c r="Y4" i="38"/>
  <c r="Y45" i="38" s="1"/>
  <c r="Y4" i="10"/>
  <c r="Y45" i="10" s="1"/>
  <c r="AD12" i="58"/>
  <c r="AD57" i="58" s="1"/>
  <c r="AD12" i="50"/>
  <c r="AD56" i="50" s="1"/>
  <c r="AD12" i="47"/>
  <c r="AD57" i="47" s="1"/>
  <c r="AD12" i="45"/>
  <c r="AD57" i="45" s="1"/>
  <c r="AD12" i="43"/>
  <c r="AD56" i="43" s="1"/>
  <c r="AD12" i="38"/>
  <c r="AD56" i="38" s="1"/>
  <c r="AD12" i="23"/>
  <c r="AD57" i="23" s="1"/>
  <c r="AD12" i="15"/>
  <c r="AD56" i="15" s="1"/>
  <c r="AD12" i="13"/>
  <c r="AD56" i="13" s="1"/>
  <c r="AD12" i="12"/>
  <c r="AD57" i="12" s="1"/>
  <c r="AD12" i="11"/>
  <c r="AD56" i="11" s="1"/>
  <c r="AD12" i="10"/>
  <c r="AD56" i="10" s="1"/>
  <c r="V11" i="58"/>
  <c r="V56" i="58" s="1"/>
  <c r="V11" i="15"/>
  <c r="V55" i="15" s="1"/>
  <c r="V11" i="47"/>
  <c r="V56" i="47" s="1"/>
  <c r="V11" i="23"/>
  <c r="V56" i="23" s="1"/>
  <c r="V11" i="43"/>
  <c r="V55" i="43" s="1"/>
  <c r="V11" i="11"/>
  <c r="V55" i="11" s="1"/>
  <c r="V11" i="12"/>
  <c r="V56" i="12" s="1"/>
  <c r="V11" i="45"/>
  <c r="V56" i="45" s="1"/>
  <c r="V11" i="38"/>
  <c r="V55" i="38" s="1"/>
  <c r="V11" i="13"/>
  <c r="V55" i="13" s="1"/>
  <c r="V11" i="10"/>
  <c r="V55" i="10" s="1"/>
  <c r="V11" i="50"/>
  <c r="V55" i="50" s="1"/>
  <c r="AB10" i="58"/>
  <c r="AB55" i="58" s="1"/>
  <c r="AB10" i="38"/>
  <c r="AB54" i="38" s="1"/>
  <c r="AB10" i="10"/>
  <c r="AB54" i="10" s="1"/>
  <c r="AB10" i="23"/>
  <c r="AB55" i="23" s="1"/>
  <c r="AB10" i="50"/>
  <c r="AB54" i="50" s="1"/>
  <c r="AB10" i="13"/>
  <c r="AB54" i="13"/>
  <c r="AB10" i="47"/>
  <c r="AB55" i="47" s="1"/>
  <c r="AB10" i="15"/>
  <c r="AB54" i="15" s="1"/>
  <c r="AB10" i="45"/>
  <c r="AB55" i="45" s="1"/>
  <c r="AB10" i="12"/>
  <c r="AB55" i="12" s="1"/>
  <c r="AB10" i="43"/>
  <c r="AB54" i="43" s="1"/>
  <c r="AB10" i="11"/>
  <c r="AB54" i="11" s="1"/>
  <c r="R10" i="58"/>
  <c r="R55" i="58" s="1"/>
  <c r="R10" i="47"/>
  <c r="R55" i="47" s="1"/>
  <c r="R10" i="15"/>
  <c r="R54" i="15" s="1"/>
  <c r="R10" i="10"/>
  <c r="R54" i="10" s="1"/>
  <c r="R10" i="43"/>
  <c r="R54" i="43" s="1"/>
  <c r="R10" i="12"/>
  <c r="R55" i="12" s="1"/>
  <c r="R10" i="45"/>
  <c r="R55" i="45" s="1"/>
  <c r="R10" i="11"/>
  <c r="R54" i="11" s="1"/>
  <c r="R10" i="38"/>
  <c r="R54" i="38" s="1"/>
  <c r="R10" i="23"/>
  <c r="R55" i="23" s="1"/>
  <c r="R10" i="50"/>
  <c r="R54" i="50" s="1"/>
  <c r="R10" i="13"/>
  <c r="R54" i="13" s="1"/>
  <c r="X9" i="58"/>
  <c r="X54" i="58"/>
  <c r="X9" i="10"/>
  <c r="X53" i="10" s="1"/>
  <c r="X9" i="38"/>
  <c r="X53" i="38" s="1"/>
  <c r="X9" i="15"/>
  <c r="X53" i="15" s="1"/>
  <c r="X9" i="23"/>
  <c r="X54" i="23" s="1"/>
  <c r="X9" i="50"/>
  <c r="X53" i="50" s="1"/>
  <c r="X9" i="13"/>
  <c r="X53" i="13" s="1"/>
  <c r="X9" i="47"/>
  <c r="X54" i="47" s="1"/>
  <c r="X9" i="45"/>
  <c r="X54" i="45" s="1"/>
  <c r="X9" i="12"/>
  <c r="X54" i="12" s="1"/>
  <c r="X9" i="43"/>
  <c r="X53" i="43" s="1"/>
  <c r="X9" i="11"/>
  <c r="X53" i="11" s="1"/>
  <c r="T9" i="58"/>
  <c r="T54" i="58" s="1"/>
  <c r="T9" i="50"/>
  <c r="T53" i="50" s="1"/>
  <c r="T9" i="47"/>
  <c r="T54" i="47" s="1"/>
  <c r="T9" i="45"/>
  <c r="T54" i="45"/>
  <c r="T9" i="43"/>
  <c r="T53" i="43" s="1"/>
  <c r="T9" i="38"/>
  <c r="T53" i="38" s="1"/>
  <c r="T9" i="15"/>
  <c r="T53" i="15"/>
  <c r="T9" i="13"/>
  <c r="T53" i="13" s="1"/>
  <c r="T9" i="12"/>
  <c r="T54" i="12" s="1"/>
  <c r="T9" i="11"/>
  <c r="T53" i="11" s="1"/>
  <c r="T9" i="10"/>
  <c r="T53" i="10" s="1"/>
  <c r="Y8" i="58"/>
  <c r="Y53" i="58" s="1"/>
  <c r="Y8" i="13"/>
  <c r="Y52" i="13" s="1"/>
  <c r="Y8" i="50"/>
  <c r="Y52" i="50"/>
  <c r="Y8" i="23"/>
  <c r="Y53" i="23" s="1"/>
  <c r="Y8" i="45"/>
  <c r="Y53" i="45" s="1"/>
  <c r="Y8" i="15"/>
  <c r="Y52" i="15" s="1"/>
  <c r="Y8" i="47"/>
  <c r="Y53" i="47" s="1"/>
  <c r="Y8" i="12"/>
  <c r="Y53" i="12" s="1"/>
  <c r="Y8" i="43"/>
  <c r="Y52" i="43" s="1"/>
  <c r="Y8" i="11"/>
  <c r="Y52" i="11" s="1"/>
  <c r="Y8" i="38"/>
  <c r="Y52" i="38" s="1"/>
  <c r="AA7" i="58"/>
  <c r="AA49" i="58" s="1"/>
  <c r="AA7" i="15"/>
  <c r="AA48" i="15" s="1"/>
  <c r="AA7" i="43"/>
  <c r="AA48" i="43" s="1"/>
  <c r="AA7" i="10"/>
  <c r="AA48" i="10" s="1"/>
  <c r="AA7" i="11"/>
  <c r="AA48" i="11" s="1"/>
  <c r="AA7" i="13"/>
  <c r="AA48" i="13" s="1"/>
  <c r="AA7" i="47"/>
  <c r="AA49" i="47" s="1"/>
  <c r="AA7" i="38"/>
  <c r="AA48" i="38" s="1"/>
  <c r="AA7" i="50"/>
  <c r="AA48" i="50" s="1"/>
  <c r="AA7" i="12"/>
  <c r="AA49" i="12" s="1"/>
  <c r="AA7" i="45"/>
  <c r="AA49" i="45" s="1"/>
  <c r="Q7" i="58"/>
  <c r="Q49" i="58" s="1"/>
  <c r="Q7" i="43"/>
  <c r="Q48" i="43"/>
  <c r="Q7" i="11"/>
  <c r="Q48" i="11" s="1"/>
  <c r="Q7" i="38"/>
  <c r="Q48" i="38" s="1"/>
  <c r="Q7" i="10"/>
  <c r="Q48" i="10" s="1"/>
  <c r="Q7" i="50"/>
  <c r="Q48" i="50" s="1"/>
  <c r="Q7" i="15"/>
  <c r="Q48" i="15" s="1"/>
  <c r="Q7" i="47"/>
  <c r="Q49" i="47" s="1"/>
  <c r="Q7" i="13"/>
  <c r="Q48" i="13" s="1"/>
  <c r="Q7" i="12"/>
  <c r="Q49" i="12" s="1"/>
  <c r="W6" i="58"/>
  <c r="W48" i="58"/>
  <c r="W6" i="43"/>
  <c r="W47" i="43" s="1"/>
  <c r="W6" i="11"/>
  <c r="W47" i="11" s="1"/>
  <c r="W6" i="10"/>
  <c r="W47" i="10" s="1"/>
  <c r="W6" i="38"/>
  <c r="W47" i="38" s="1"/>
  <c r="W6" i="13"/>
  <c r="W47" i="13" s="1"/>
  <c r="W6" i="50"/>
  <c r="W47" i="50" s="1"/>
  <c r="W6" i="47"/>
  <c r="W48" i="47" s="1"/>
  <c r="W6" i="15"/>
  <c r="W47" i="15" s="1"/>
  <c r="W6" i="12"/>
  <c r="W48" i="12" s="1"/>
  <c r="AC5" i="58"/>
  <c r="AC47" i="58" s="1"/>
  <c r="AC5" i="15"/>
  <c r="AC46" i="15" s="1"/>
  <c r="AC5" i="50"/>
  <c r="AC46" i="50" s="1"/>
  <c r="AC5" i="47"/>
  <c r="AC47" i="47" s="1"/>
  <c r="AC5" i="13"/>
  <c r="AC46" i="13" s="1"/>
  <c r="AC5" i="45"/>
  <c r="AC47" i="45" s="1"/>
  <c r="AC5" i="10"/>
  <c r="AC46" i="10" s="1"/>
  <c r="AC5" i="43"/>
  <c r="AC46" i="43" s="1"/>
  <c r="AC5" i="11"/>
  <c r="AC46" i="11" s="1"/>
  <c r="AC5" i="12"/>
  <c r="AC47" i="12"/>
  <c r="AC5" i="38"/>
  <c r="AC46" i="38" s="1"/>
  <c r="S5" i="58"/>
  <c r="S47" i="58" s="1"/>
  <c r="S5" i="43"/>
  <c r="S46" i="43" s="1"/>
  <c r="S5" i="13"/>
  <c r="S46" i="13"/>
  <c r="S5" i="38"/>
  <c r="S46" i="38" s="1"/>
  <c r="S5" i="11"/>
  <c r="S46" i="11" s="1"/>
  <c r="S5" i="50"/>
  <c r="S46" i="50" s="1"/>
  <c r="S5" i="15"/>
  <c r="S46" i="15" s="1"/>
  <c r="S5" i="12"/>
  <c r="S47" i="12"/>
  <c r="S5" i="47"/>
  <c r="S47" i="47" s="1"/>
  <c r="S5" i="10"/>
  <c r="S46" i="10" s="1"/>
  <c r="AD4" i="58"/>
  <c r="AD46" i="58" s="1"/>
  <c r="AD4" i="15"/>
  <c r="AD45" i="15" s="1"/>
  <c r="AD4" i="13"/>
  <c r="AD45" i="13" s="1"/>
  <c r="AD4" i="12"/>
  <c r="AD46" i="12" s="1"/>
  <c r="AD4" i="11"/>
  <c r="AD45" i="11" s="1"/>
  <c r="AD4" i="10"/>
  <c r="AD45" i="10" s="1"/>
  <c r="AD4" i="50"/>
  <c r="AD45" i="50" s="1"/>
  <c r="AD4" i="47"/>
  <c r="AD46" i="47" s="1"/>
  <c r="AD4" i="45"/>
  <c r="AD46" i="45" s="1"/>
  <c r="AD4" i="43"/>
  <c r="AD45" i="43" s="1"/>
  <c r="AD4" i="38"/>
  <c r="AD45" i="38" s="1"/>
  <c r="AB2" i="58"/>
  <c r="AB43" i="58" s="1"/>
  <c r="AB44" i="58" s="1"/>
  <c r="AB85" i="58" s="1"/>
  <c r="AB2" i="23"/>
  <c r="AB43" i="23" s="1"/>
  <c r="AB44" i="23" s="1"/>
  <c r="AB85" i="23" s="1"/>
  <c r="AB2" i="13"/>
  <c r="AB42" i="13" s="1"/>
  <c r="AB43" i="13" s="1"/>
  <c r="AB84" i="13" s="1"/>
  <c r="AB2" i="50"/>
  <c r="AB42" i="50" s="1"/>
  <c r="AB43" i="50" s="1"/>
  <c r="AB84" i="50" s="1"/>
  <c r="AB2" i="45"/>
  <c r="AB43" i="45" s="1"/>
  <c r="AB44" i="45" s="1"/>
  <c r="AB85" i="45" s="1"/>
  <c r="AB2" i="12"/>
  <c r="AB43" i="12" s="1"/>
  <c r="AB44" i="12" s="1"/>
  <c r="AB85" i="12" s="1"/>
  <c r="AB2" i="47"/>
  <c r="AB43" i="47" s="1"/>
  <c r="AB44" i="47" s="1"/>
  <c r="AB85" i="47" s="1"/>
  <c r="AB2" i="10"/>
  <c r="AB42" i="10" s="1"/>
  <c r="AB43" i="10" s="1"/>
  <c r="AB84" i="10" s="1"/>
  <c r="V9" i="58"/>
  <c r="V54" i="58" s="1"/>
  <c r="V9" i="38"/>
  <c r="V53" i="38" s="1"/>
  <c r="V9" i="50"/>
  <c r="V53" i="50" s="1"/>
  <c r="V9" i="23"/>
  <c r="V54" i="23" s="1"/>
  <c r="V9" i="12"/>
  <c r="V54" i="12" s="1"/>
  <c r="V9" i="47"/>
  <c r="V54" i="47" s="1"/>
  <c r="V9" i="15"/>
  <c r="V53" i="15" s="1"/>
  <c r="V9" i="45"/>
  <c r="V54" i="45" s="1"/>
  <c r="V9" i="10"/>
  <c r="V53" i="10" s="1"/>
  <c r="V9" i="43"/>
  <c r="V53" i="43" s="1"/>
  <c r="V9" i="11"/>
  <c r="V53" i="11"/>
  <c r="V9" i="13"/>
  <c r="V53" i="13" s="1"/>
  <c r="T7" i="58"/>
  <c r="T49" i="58" s="1"/>
  <c r="T7" i="15"/>
  <c r="T48" i="15" s="1"/>
  <c r="T7" i="13"/>
  <c r="T48" i="13" s="1"/>
  <c r="T7" i="12"/>
  <c r="T49" i="12" s="1"/>
  <c r="T7" i="11"/>
  <c r="T48" i="11" s="1"/>
  <c r="T7" i="10"/>
  <c r="T48" i="10"/>
  <c r="T7" i="50"/>
  <c r="T48" i="50" s="1"/>
  <c r="T7" i="47"/>
  <c r="T49" i="47" s="1"/>
  <c r="T7" i="45"/>
  <c r="T49" i="45" s="1"/>
  <c r="T7" i="43"/>
  <c r="T48" i="43"/>
  <c r="T7" i="38"/>
  <c r="T48" i="38" s="1"/>
  <c r="Z2" i="58"/>
  <c r="Z43" i="58" s="1"/>
  <c r="Z44" i="58" s="1"/>
  <c r="Z85" i="58" s="1"/>
  <c r="Z2" i="11"/>
  <c r="Z42" i="11" s="1"/>
  <c r="Z43" i="11" s="1"/>
  <c r="Z84" i="11" s="1"/>
  <c r="Z2" i="38"/>
  <c r="Z42" i="38" s="1"/>
  <c r="Z43" i="38" s="1"/>
  <c r="Z84" i="38" s="1"/>
  <c r="Z2" i="23"/>
  <c r="Z43" i="23" s="1"/>
  <c r="Z44" i="23" s="1"/>
  <c r="Z85" i="23" s="1"/>
  <c r="Z2" i="12"/>
  <c r="Z43" i="12" s="1"/>
  <c r="Z44" i="12" s="1"/>
  <c r="Z85" i="12" s="1"/>
  <c r="Z2" i="10"/>
  <c r="Z42" i="10" s="1"/>
  <c r="Z43" i="10" s="1"/>
  <c r="Z84" i="10" s="1"/>
  <c r="Z2" i="50"/>
  <c r="Z42" i="50" s="1"/>
  <c r="Z43" i="50" s="1"/>
  <c r="Z84" i="50" s="1"/>
  <c r="Z2" i="13"/>
  <c r="Z42" i="13" s="1"/>
  <c r="Z43" i="13" s="1"/>
  <c r="Z84" i="13" s="1"/>
  <c r="R11" i="58"/>
  <c r="R56" i="58" s="1"/>
  <c r="R11" i="23"/>
  <c r="R56" i="23" s="1"/>
  <c r="R11" i="50"/>
  <c r="R55" i="50" s="1"/>
  <c r="R11" i="13"/>
  <c r="R55" i="13" s="1"/>
  <c r="R11" i="47"/>
  <c r="R56" i="47" s="1"/>
  <c r="R11" i="15"/>
  <c r="R55" i="15" s="1"/>
  <c r="R11" i="45"/>
  <c r="R56" i="45" s="1"/>
  <c r="R11" i="12"/>
  <c r="R56" i="12" s="1"/>
  <c r="R11" i="43"/>
  <c r="R55" i="43" s="1"/>
  <c r="R11" i="11"/>
  <c r="R55" i="11" s="1"/>
  <c r="R11" i="10"/>
  <c r="R55" i="10" s="1"/>
  <c r="R11" i="38"/>
  <c r="R55" i="38" s="1"/>
  <c r="AA8" i="58"/>
  <c r="AA53" i="58" s="1"/>
  <c r="AA8" i="38"/>
  <c r="AA52" i="38" s="1"/>
  <c r="AA8" i="23"/>
  <c r="AA53" i="23" s="1"/>
  <c r="AA8" i="47"/>
  <c r="AA53" i="47" s="1"/>
  <c r="AA8" i="13"/>
  <c r="AA52" i="13" s="1"/>
  <c r="AA8" i="50"/>
  <c r="AA52" i="50" s="1"/>
  <c r="AA8" i="15"/>
  <c r="AA52" i="15" s="1"/>
  <c r="AA8" i="45"/>
  <c r="AA53" i="45" s="1"/>
  <c r="AA8" i="12"/>
  <c r="AA53" i="12" s="1"/>
  <c r="AA8" i="43"/>
  <c r="AA52" i="43" s="1"/>
  <c r="AA8" i="11"/>
  <c r="AA52" i="11" s="1"/>
  <c r="Y2" i="58"/>
  <c r="Y43" i="58" s="1"/>
  <c r="Y44" i="58" s="1"/>
  <c r="Y85" i="58" s="1"/>
  <c r="Y2" i="11"/>
  <c r="Y42" i="11" s="1"/>
  <c r="Y43" i="11" s="1"/>
  <c r="Y84" i="11" s="1"/>
  <c r="Y2" i="43"/>
  <c r="Y42" i="43" s="1"/>
  <c r="Y43" i="43" s="1"/>
  <c r="Y84" i="43" s="1"/>
  <c r="Y2" i="45"/>
  <c r="Y43" i="45" s="1"/>
  <c r="Y44" i="45" s="1"/>
  <c r="Y85" i="45" s="1"/>
  <c r="Y2" i="23"/>
  <c r="Y43" i="23" s="1"/>
  <c r="Y44" i="23" s="1"/>
  <c r="Y85" i="23" s="1"/>
  <c r="Y2" i="47"/>
  <c r="Y43" i="47" s="1"/>
  <c r="Y44" i="47" s="1"/>
  <c r="Y85" i="47" s="1"/>
  <c r="Y2" i="15"/>
  <c r="Y42" i="15" s="1"/>
  <c r="Y43" i="15" s="1"/>
  <c r="Y84" i="15" s="1"/>
  <c r="Y2" i="10"/>
  <c r="Y42" i="10" s="1"/>
  <c r="Y43" i="10" s="1"/>
  <c r="Y84" i="10" s="1"/>
  <c r="W10" i="58"/>
  <c r="W55" i="58"/>
  <c r="W10" i="45"/>
  <c r="W55" i="45" s="1"/>
  <c r="W10" i="11"/>
  <c r="W54" i="11" s="1"/>
  <c r="W10" i="38"/>
  <c r="W54" i="38" s="1"/>
  <c r="W10" i="13"/>
  <c r="W54" i="13" s="1"/>
  <c r="W10" i="23"/>
  <c r="W55" i="23" s="1"/>
  <c r="W10" i="47"/>
  <c r="W55" i="47" s="1"/>
  <c r="W10" i="10"/>
  <c r="W54" i="10" s="1"/>
  <c r="W10" i="50"/>
  <c r="W54" i="50" s="1"/>
  <c r="W10" i="15"/>
  <c r="W54" i="15" s="1"/>
  <c r="W10" i="43"/>
  <c r="W54" i="43" s="1"/>
  <c r="W10" i="12"/>
  <c r="W55" i="12" s="1"/>
  <c r="X5" i="58"/>
  <c r="X47" i="58" s="1"/>
  <c r="X5" i="50"/>
  <c r="X46" i="50" s="1"/>
  <c r="X5" i="15"/>
  <c r="X46" i="15" s="1"/>
  <c r="X5" i="13"/>
  <c r="X46" i="13"/>
  <c r="X5" i="47"/>
  <c r="X47" i="47" s="1"/>
  <c r="X5" i="12"/>
  <c r="X47" i="12" s="1"/>
  <c r="X5" i="43"/>
  <c r="X46" i="43"/>
  <c r="X5" i="11"/>
  <c r="X46" i="11" s="1"/>
  <c r="X5" i="38"/>
  <c r="X46" i="38" s="1"/>
  <c r="X5" i="10"/>
  <c r="X46" i="10" s="1"/>
  <c r="X12" i="58"/>
  <c r="X57" i="58" s="1"/>
  <c r="X12" i="15"/>
  <c r="X56" i="15" s="1"/>
  <c r="X12" i="11"/>
  <c r="X56" i="11"/>
  <c r="X12" i="38"/>
  <c r="X56" i="38" s="1"/>
  <c r="X12" i="50"/>
  <c r="X56" i="50" s="1"/>
  <c r="X12" i="47"/>
  <c r="X57" i="47" s="1"/>
  <c r="X12" i="45"/>
  <c r="X57" i="45" s="1"/>
  <c r="X12" i="12"/>
  <c r="X57" i="12" s="1"/>
  <c r="X12" i="43"/>
  <c r="X56" i="43" s="1"/>
  <c r="X12" i="10"/>
  <c r="X56" i="10" s="1"/>
  <c r="X12" i="23"/>
  <c r="X57" i="23" s="1"/>
  <c r="X12" i="13"/>
  <c r="X56" i="13" s="1"/>
  <c r="T12" i="58"/>
  <c r="T57" i="58" s="1"/>
  <c r="T12" i="50"/>
  <c r="T56" i="50" s="1"/>
  <c r="T12" i="47"/>
  <c r="T57" i="47" s="1"/>
  <c r="T12" i="45"/>
  <c r="T57" i="45" s="1"/>
  <c r="T12" i="43"/>
  <c r="T56" i="43" s="1"/>
  <c r="T12" i="38"/>
  <c r="T56" i="38" s="1"/>
  <c r="T12" i="15"/>
  <c r="T56" i="15" s="1"/>
  <c r="T12" i="13"/>
  <c r="T56" i="13" s="1"/>
  <c r="T12" i="12"/>
  <c r="T57" i="12" s="1"/>
  <c r="T12" i="11"/>
  <c r="T56" i="11" s="1"/>
  <c r="T12" i="10"/>
  <c r="T56" i="10" s="1"/>
  <c r="Y11" i="58"/>
  <c r="Y56" i="58" s="1"/>
  <c r="Y11" i="38"/>
  <c r="Y55" i="38" s="1"/>
  <c r="Y11" i="10"/>
  <c r="Y55" i="10" s="1"/>
  <c r="Y11" i="23"/>
  <c r="Y56" i="23" s="1"/>
  <c r="Y11" i="50"/>
  <c r="Y55" i="50" s="1"/>
  <c r="Y11" i="12"/>
  <c r="Y56" i="12" s="1"/>
  <c r="Y11" i="47"/>
  <c r="Y56" i="47" s="1"/>
  <c r="Y11" i="15"/>
  <c r="Y55" i="15" s="1"/>
  <c r="Y11" i="45"/>
  <c r="Y56" i="45" s="1"/>
  <c r="Y11" i="13"/>
  <c r="Y55" i="13" s="1"/>
  <c r="Y11" i="43"/>
  <c r="Y55" i="43" s="1"/>
  <c r="Y11" i="11"/>
  <c r="Y55" i="11" s="1"/>
  <c r="AA10" i="58"/>
  <c r="AA55" i="58" s="1"/>
  <c r="AA10" i="13"/>
  <c r="AA54" i="13" s="1"/>
  <c r="AA10" i="50"/>
  <c r="AA54" i="50" s="1"/>
  <c r="AA10" i="15"/>
  <c r="AA54" i="15" s="1"/>
  <c r="AA10" i="47"/>
  <c r="AA55" i="47" s="1"/>
  <c r="AA10" i="23"/>
  <c r="AA55" i="23" s="1"/>
  <c r="AA10" i="45"/>
  <c r="AA55" i="45" s="1"/>
  <c r="AA10" i="12"/>
  <c r="AA55" i="12" s="1"/>
  <c r="AA10" i="43"/>
  <c r="AA54" i="43" s="1"/>
  <c r="AA10" i="11"/>
  <c r="AA54" i="11" s="1"/>
  <c r="AA10" i="38"/>
  <c r="AA54" i="38" s="1"/>
  <c r="AA10" i="10"/>
  <c r="AA54" i="10"/>
  <c r="Q10" i="58"/>
  <c r="Q55" i="58" s="1"/>
  <c r="Q10" i="47"/>
  <c r="Q55" i="47" s="1"/>
  <c r="Q10" i="13"/>
  <c r="Q54" i="13" s="1"/>
  <c r="Q10" i="43"/>
  <c r="Q54" i="43" s="1"/>
  <c r="Q10" i="12"/>
  <c r="Q55" i="12" s="1"/>
  <c r="Q10" i="45"/>
  <c r="Q55" i="45" s="1"/>
  <c r="Q10" i="11"/>
  <c r="Q54" i="11" s="1"/>
  <c r="Q10" i="38"/>
  <c r="Q54" i="38" s="1"/>
  <c r="Q10" i="10"/>
  <c r="Q54" i="10" s="1"/>
  <c r="Q10" i="15"/>
  <c r="Q54" i="15"/>
  <c r="Q10" i="50"/>
  <c r="Q54" i="50"/>
  <c r="Q10" i="23"/>
  <c r="Q55" i="23" s="1"/>
  <c r="W9" i="58"/>
  <c r="W54" i="58"/>
  <c r="W9" i="38"/>
  <c r="W53" i="38" s="1"/>
  <c r="W9" i="10"/>
  <c r="W53" i="10" s="1"/>
  <c r="W9" i="23"/>
  <c r="W54" i="23" s="1"/>
  <c r="W9" i="50"/>
  <c r="W53" i="50" s="1"/>
  <c r="W9" i="13"/>
  <c r="W53" i="13" s="1"/>
  <c r="W9" i="47"/>
  <c r="W54" i="47" s="1"/>
  <c r="W9" i="15"/>
  <c r="W53" i="15"/>
  <c r="W9" i="45"/>
  <c r="W54" i="45" s="1"/>
  <c r="W9" i="11"/>
  <c r="W53" i="11"/>
  <c r="W9" i="43"/>
  <c r="W53" i="43" s="1"/>
  <c r="W9" i="12"/>
  <c r="W54" i="12"/>
  <c r="AC8" i="58"/>
  <c r="AC53" i="58" s="1"/>
  <c r="AC8" i="43"/>
  <c r="AC52" i="43" s="1"/>
  <c r="AC8" i="12"/>
  <c r="AC53" i="12" s="1"/>
  <c r="AC8" i="11"/>
  <c r="AC52" i="11" s="1"/>
  <c r="AC8" i="38"/>
  <c r="AC52" i="38" s="1"/>
  <c r="AC8" i="23"/>
  <c r="AC53" i="23" s="1"/>
  <c r="AC8" i="50"/>
  <c r="AC52" i="50" s="1"/>
  <c r="AC8" i="15"/>
  <c r="AC52" i="15" s="1"/>
  <c r="AC8" i="45"/>
  <c r="AC53" i="45" s="1"/>
  <c r="AC8" i="47"/>
  <c r="AC53" i="47"/>
  <c r="AC8" i="13"/>
  <c r="AC52" i="13" s="1"/>
  <c r="S8" i="58"/>
  <c r="S53" i="58" s="1"/>
  <c r="S8" i="50"/>
  <c r="S52" i="50" s="1"/>
  <c r="S8" i="13"/>
  <c r="S52" i="13" s="1"/>
  <c r="S8" i="47"/>
  <c r="S53" i="47" s="1"/>
  <c r="S8" i="15"/>
  <c r="S52" i="15" s="1"/>
  <c r="S8" i="11"/>
  <c r="S52" i="11" s="1"/>
  <c r="S8" i="45"/>
  <c r="S53" i="45" s="1"/>
  <c r="S8" i="12"/>
  <c r="S53" i="12" s="1"/>
  <c r="S8" i="38"/>
  <c r="S52" i="38" s="1"/>
  <c r="S8" i="23"/>
  <c r="S53" i="23" s="1"/>
  <c r="S8" i="43"/>
  <c r="S52" i="43" s="1"/>
  <c r="AD7" i="58"/>
  <c r="AD49" i="58" s="1"/>
  <c r="AD7" i="50"/>
  <c r="AD48" i="50" s="1"/>
  <c r="AD7" i="47"/>
  <c r="AD49" i="47" s="1"/>
  <c r="AD7" i="45"/>
  <c r="AD49" i="45"/>
  <c r="AD7" i="43"/>
  <c r="AD48" i="43" s="1"/>
  <c r="AD7" i="38"/>
  <c r="AD48" i="38"/>
  <c r="AD7" i="15"/>
  <c r="AD48" i="15" s="1"/>
  <c r="AD7" i="13"/>
  <c r="AD48" i="13"/>
  <c r="AD7" i="12"/>
  <c r="AD49" i="12" s="1"/>
  <c r="AD7" i="11"/>
  <c r="AD48" i="11"/>
  <c r="AD7" i="10"/>
  <c r="AD48" i="10" s="1"/>
  <c r="V6" i="58"/>
  <c r="V48" i="58" s="1"/>
  <c r="V6" i="50"/>
  <c r="V47" i="50" s="1"/>
  <c r="V6" i="15"/>
  <c r="V47" i="15" s="1"/>
  <c r="V6" i="47"/>
  <c r="V48" i="47" s="1"/>
  <c r="V6" i="13"/>
  <c r="V47" i="13" s="1"/>
  <c r="V6" i="43"/>
  <c r="V47" i="43" s="1"/>
  <c r="V6" i="12"/>
  <c r="V48" i="12" s="1"/>
  <c r="V6" i="11"/>
  <c r="V47" i="11"/>
  <c r="V6" i="38"/>
  <c r="V47" i="38" s="1"/>
  <c r="V6" i="10"/>
  <c r="V47" i="10" s="1"/>
  <c r="AB5" i="58"/>
  <c r="AB47" i="58" s="1"/>
  <c r="AB5" i="15"/>
  <c r="AB46" i="15" s="1"/>
  <c r="AB5" i="50"/>
  <c r="AB46" i="50" s="1"/>
  <c r="AB5" i="47"/>
  <c r="AB47" i="47" s="1"/>
  <c r="AB5" i="12"/>
  <c r="AB47" i="12" s="1"/>
  <c r="AB5" i="43"/>
  <c r="AB46" i="43" s="1"/>
  <c r="AB5" i="11"/>
  <c r="AB46" i="11" s="1"/>
  <c r="AB5" i="45"/>
  <c r="AB47" i="45" s="1"/>
  <c r="AB5" i="13"/>
  <c r="AB46" i="13" s="1"/>
  <c r="AB5" i="38"/>
  <c r="AB46" i="38" s="1"/>
  <c r="AB5" i="10"/>
  <c r="AB46" i="10" s="1"/>
  <c r="R5" i="58"/>
  <c r="R47" i="58" s="1"/>
  <c r="R5" i="50"/>
  <c r="R46" i="50" s="1"/>
  <c r="R5" i="15"/>
  <c r="R46" i="15"/>
  <c r="R5" i="12"/>
  <c r="R47" i="12" s="1"/>
  <c r="R5" i="47"/>
  <c r="R47" i="47"/>
  <c r="R5" i="11"/>
  <c r="R46" i="11" s="1"/>
  <c r="R5" i="43"/>
  <c r="R46" i="43"/>
  <c r="R5" i="13"/>
  <c r="R46" i="13" s="1"/>
  <c r="R5" i="38"/>
  <c r="R46" i="38" s="1"/>
  <c r="R5" i="10"/>
  <c r="R46" i="10" s="1"/>
  <c r="X4" i="58"/>
  <c r="X46" i="58" s="1"/>
  <c r="X4" i="47"/>
  <c r="X46" i="47" s="1"/>
  <c r="X4" i="13"/>
  <c r="X45" i="13" s="1"/>
  <c r="X4" i="12"/>
  <c r="X46" i="12" s="1"/>
  <c r="X4" i="43"/>
  <c r="X45" i="43"/>
  <c r="X4" i="10"/>
  <c r="X45" i="10" s="1"/>
  <c r="X4" i="38"/>
  <c r="X45" i="38" s="1"/>
  <c r="X4" i="11"/>
  <c r="X45" i="11" s="1"/>
  <c r="X4" i="15"/>
  <c r="X45" i="15" s="1"/>
  <c r="X4" i="50"/>
  <c r="X45" i="50" s="1"/>
  <c r="T4" i="58"/>
  <c r="T46" i="58" s="1"/>
  <c r="T4" i="15"/>
  <c r="T45" i="15" s="1"/>
  <c r="T4" i="13"/>
  <c r="T45" i="13" s="1"/>
  <c r="T4" i="12"/>
  <c r="T46" i="12" s="1"/>
  <c r="T4" i="11"/>
  <c r="T45" i="11" s="1"/>
  <c r="T4" i="10"/>
  <c r="T45" i="10" s="1"/>
  <c r="T4" i="50"/>
  <c r="T45" i="50" s="1"/>
  <c r="T4" i="47"/>
  <c r="T46" i="47"/>
  <c r="T4" i="45"/>
  <c r="T46" i="45" s="1"/>
  <c r="T4" i="43"/>
  <c r="T45" i="43"/>
  <c r="T4" i="38"/>
  <c r="T45" i="38" s="1"/>
  <c r="AA2" i="58"/>
  <c r="AA43" i="58" s="1"/>
  <c r="AA44" i="58" s="1"/>
  <c r="AA85" i="58" s="1"/>
  <c r="AA2" i="47"/>
  <c r="AA43" i="47" s="1"/>
  <c r="AA44" i="47" s="1"/>
  <c r="AA85" i="47" s="1"/>
  <c r="AA2" i="10"/>
  <c r="AA42" i="10" s="1"/>
  <c r="AA43" i="10" s="1"/>
  <c r="AA84" i="10" s="1"/>
  <c r="AA2" i="50"/>
  <c r="AA42" i="50" s="1"/>
  <c r="AA43" i="50" s="1"/>
  <c r="AA84" i="50" s="1"/>
  <c r="AA2" i="15"/>
  <c r="AA42" i="15" s="1"/>
  <c r="AA43" i="15" s="1"/>
  <c r="AA84" i="15" s="1"/>
  <c r="AA2" i="38"/>
  <c r="AA42" i="38" s="1"/>
  <c r="AA43" i="38" s="1"/>
  <c r="AA84" i="38" s="1"/>
  <c r="AA2" i="43"/>
  <c r="AA42" i="43" s="1"/>
  <c r="AA43" i="43" s="1"/>
  <c r="AA84" i="43" s="1"/>
  <c r="AA2" i="11"/>
  <c r="AA42" i="11" s="1"/>
  <c r="AA43" i="11" s="1"/>
  <c r="AA84" i="11" s="1"/>
  <c r="AA2" i="45"/>
  <c r="AA43" i="45" s="1"/>
  <c r="AA44" i="45" s="1"/>
  <c r="AA85" i="45" s="1"/>
  <c r="W12" i="58"/>
  <c r="W57" i="58" s="1"/>
  <c r="W12" i="38"/>
  <c r="W56" i="38" s="1"/>
  <c r="W12" i="15"/>
  <c r="W56" i="15" s="1"/>
  <c r="W12" i="13"/>
  <c r="W56" i="13" s="1"/>
  <c r="W12" i="47"/>
  <c r="W57" i="47" s="1"/>
  <c r="W12" i="50"/>
  <c r="W56" i="50" s="1"/>
  <c r="W12" i="45"/>
  <c r="W57" i="45" s="1"/>
  <c r="W12" i="12"/>
  <c r="W57" i="12" s="1"/>
  <c r="W12" i="43"/>
  <c r="W56" i="43" s="1"/>
  <c r="W12" i="11"/>
  <c r="W56" i="11" s="1"/>
  <c r="W12" i="10"/>
  <c r="W56" i="10"/>
  <c r="R8" i="58"/>
  <c r="R53" i="58"/>
  <c r="R8" i="45"/>
  <c r="R53" i="45" s="1"/>
  <c r="R8" i="12"/>
  <c r="R53" i="12" s="1"/>
  <c r="R8" i="43"/>
  <c r="R52" i="43" s="1"/>
  <c r="R8" i="11"/>
  <c r="R52" i="11" s="1"/>
  <c r="R8" i="38"/>
  <c r="R52" i="38" s="1"/>
  <c r="R8" i="23"/>
  <c r="R53" i="23" s="1"/>
  <c r="R8" i="47"/>
  <c r="R53" i="47" s="1"/>
  <c r="R8" i="13"/>
  <c r="R52" i="13" s="1"/>
  <c r="R8" i="50"/>
  <c r="R52" i="50" s="1"/>
  <c r="R8" i="15"/>
  <c r="R52" i="15"/>
  <c r="Q5" i="58"/>
  <c r="Q47" i="58" s="1"/>
  <c r="Q5" i="50"/>
  <c r="Q46" i="50" s="1"/>
  <c r="Q5" i="15"/>
  <c r="Q46" i="15"/>
  <c r="Q5" i="47"/>
  <c r="Q47" i="47" s="1"/>
  <c r="Q5" i="12"/>
  <c r="Q47" i="12" s="1"/>
  <c r="Q5" i="13"/>
  <c r="Q46" i="13" s="1"/>
  <c r="Q5" i="43"/>
  <c r="Q46" i="43" s="1"/>
  <c r="Q5" i="11"/>
  <c r="Q46" i="11" s="1"/>
  <c r="Q5" i="38"/>
  <c r="Q46" i="38" s="1"/>
  <c r="Q5" i="10"/>
  <c r="Q46" i="10" s="1"/>
  <c r="AC3" i="58"/>
  <c r="AC45" i="58" s="1"/>
  <c r="AC3" i="50"/>
  <c r="AC44" i="50" s="1"/>
  <c r="AC3" i="15"/>
  <c r="AC44" i="15" s="1"/>
  <c r="AC3" i="11"/>
  <c r="AC44" i="11" s="1"/>
  <c r="AC3" i="45"/>
  <c r="AC45" i="45" s="1"/>
  <c r="AC3" i="13"/>
  <c r="AC44" i="13" s="1"/>
  <c r="AC3" i="12"/>
  <c r="AC45" i="12" s="1"/>
  <c r="AC3" i="43"/>
  <c r="AC44" i="43"/>
  <c r="AC3" i="38"/>
  <c r="AC44" i="38" s="1"/>
  <c r="AC3" i="47"/>
  <c r="AC45" i="47"/>
  <c r="AB11" i="58"/>
  <c r="AB56" i="58" s="1"/>
  <c r="AB11" i="45"/>
  <c r="AB56" i="45" s="1"/>
  <c r="AB11" i="11"/>
  <c r="AB55" i="11" s="1"/>
  <c r="AB11" i="38"/>
  <c r="AB55" i="38" s="1"/>
  <c r="AB11" i="10"/>
  <c r="AB55" i="10" s="1"/>
  <c r="AB11" i="23"/>
  <c r="AB56" i="23" s="1"/>
  <c r="AB11" i="50"/>
  <c r="AB55" i="50"/>
  <c r="AB11" i="15"/>
  <c r="AB55" i="15"/>
  <c r="AB11" i="47"/>
  <c r="AB56" i="47" s="1"/>
  <c r="AB11" i="13"/>
  <c r="AB55" i="13"/>
  <c r="AB11" i="43"/>
  <c r="AB55" i="43" s="1"/>
  <c r="AB11" i="12"/>
  <c r="AB56" i="12"/>
  <c r="W7" i="58"/>
  <c r="W49" i="58" s="1"/>
  <c r="W7" i="47"/>
  <c r="W49" i="47" s="1"/>
  <c r="W7" i="10"/>
  <c r="W48" i="10" s="1"/>
  <c r="W7" i="13"/>
  <c r="W48" i="13"/>
  <c r="W7" i="38"/>
  <c r="W48" i="38" s="1"/>
  <c r="W7" i="15"/>
  <c r="W48" i="15" s="1"/>
  <c r="W7" i="12"/>
  <c r="W49" i="12"/>
  <c r="W7" i="50"/>
  <c r="W48" i="50" s="1"/>
  <c r="W7" i="43"/>
  <c r="W48" i="43" s="1"/>
  <c r="W7" i="11"/>
  <c r="W48" i="11" s="1"/>
  <c r="R3" i="58"/>
  <c r="R45" i="58" s="1"/>
  <c r="R3" i="11"/>
  <c r="R44" i="11" s="1"/>
  <c r="R3" i="38"/>
  <c r="R44" i="38" s="1"/>
  <c r="R3" i="50"/>
  <c r="R44" i="50" s="1"/>
  <c r="R3" i="15"/>
  <c r="R44" i="15" s="1"/>
  <c r="R3" i="47"/>
  <c r="R45" i="47" s="1"/>
  <c r="R3" i="13"/>
  <c r="R44" i="13"/>
  <c r="R3" i="43"/>
  <c r="R44" i="43"/>
  <c r="R3" i="12"/>
  <c r="R45" i="12" s="1"/>
  <c r="AA11" i="58"/>
  <c r="AA56" i="58" s="1"/>
  <c r="AA11" i="38"/>
  <c r="AA55" i="38"/>
  <c r="AA11" i="23"/>
  <c r="AA56" i="23" s="1"/>
  <c r="AA11" i="13"/>
  <c r="AA55" i="13" s="1"/>
  <c r="AA11" i="12"/>
  <c r="AA56" i="12" s="1"/>
  <c r="AA11" i="50"/>
  <c r="AA55" i="50"/>
  <c r="AA11" i="15"/>
  <c r="AA55" i="15"/>
  <c r="AA11" i="45"/>
  <c r="AA56" i="45" s="1"/>
  <c r="AA11" i="47"/>
  <c r="AA56" i="47" s="1"/>
  <c r="AA11" i="10"/>
  <c r="AA55" i="10"/>
  <c r="AA11" i="43"/>
  <c r="AA55" i="43" s="1"/>
  <c r="AA11" i="11"/>
  <c r="AA55" i="11" s="1"/>
  <c r="V7" i="58"/>
  <c r="V49" i="58" s="1"/>
  <c r="V7" i="47"/>
  <c r="V49" i="47"/>
  <c r="V7" i="10"/>
  <c r="V48" i="10" s="1"/>
  <c r="V7" i="15"/>
  <c r="V48" i="15" s="1"/>
  <c r="V7" i="13"/>
  <c r="V48" i="13"/>
  <c r="V7" i="50"/>
  <c r="V48" i="50" s="1"/>
  <c r="V7" i="43"/>
  <c r="V48" i="43" s="1"/>
  <c r="V7" i="38"/>
  <c r="V48" i="38" s="1"/>
  <c r="V7" i="12"/>
  <c r="V49" i="12"/>
  <c r="V7" i="11"/>
  <c r="V48" i="11" s="1"/>
  <c r="AA3" i="58"/>
  <c r="AA45" i="58" s="1"/>
  <c r="AA3" i="45"/>
  <c r="AA45" i="45" s="1"/>
  <c r="AA3" i="43"/>
  <c r="AA44" i="43" s="1"/>
  <c r="AA3" i="11"/>
  <c r="AA44" i="11" s="1"/>
  <c r="AA3" i="12"/>
  <c r="AA45" i="12" s="1"/>
  <c r="AA3" i="38"/>
  <c r="AA44" i="38"/>
  <c r="AA3" i="50"/>
  <c r="AA44" i="50" s="1"/>
  <c r="AA3" i="15"/>
  <c r="AA44" i="15" s="1"/>
  <c r="AA3" i="47"/>
  <c r="AA45" i="47" s="1"/>
  <c r="AA3" i="13"/>
  <c r="AA44" i="13"/>
  <c r="AD10" i="58"/>
  <c r="AD55" i="58"/>
  <c r="AD10" i="23"/>
  <c r="AD55" i="23"/>
  <c r="AD10" i="15"/>
  <c r="AD54" i="15" s="1"/>
  <c r="AD10" i="13"/>
  <c r="AD54" i="13" s="1"/>
  <c r="AD10" i="12"/>
  <c r="AD55" i="12" s="1"/>
  <c r="AD10" i="11"/>
  <c r="AD54" i="11" s="1"/>
  <c r="AD10" i="10"/>
  <c r="AD54" i="10" s="1"/>
  <c r="AD10" i="50"/>
  <c r="AD54" i="50" s="1"/>
  <c r="AD10" i="47"/>
  <c r="AD55" i="47"/>
  <c r="AD10" i="45"/>
  <c r="AD55" i="45" s="1"/>
  <c r="AD10" i="43"/>
  <c r="AD54" i="43" s="1"/>
  <c r="AD10" i="38"/>
  <c r="AD54" i="38" s="1"/>
  <c r="Y9" i="58"/>
  <c r="Y54" i="58" s="1"/>
  <c r="Y9" i="45"/>
  <c r="Y54" i="45" s="1"/>
  <c r="Y9" i="10"/>
  <c r="Y53" i="10" s="1"/>
  <c r="Y9" i="43"/>
  <c r="Y53" i="43"/>
  <c r="Y9" i="11"/>
  <c r="Y53" i="11" s="1"/>
  <c r="Y9" i="38"/>
  <c r="Y53" i="38" s="1"/>
  <c r="Y9" i="12"/>
  <c r="Y54" i="12" s="1"/>
  <c r="Y9" i="23"/>
  <c r="Y54" i="23"/>
  <c r="Y9" i="50"/>
  <c r="Y53" i="50" s="1"/>
  <c r="Y9" i="15"/>
  <c r="Y53" i="15"/>
  <c r="Y9" i="47"/>
  <c r="Y54" i="47"/>
  <c r="Y9" i="13"/>
  <c r="Y53" i="13" s="1"/>
  <c r="Q8" i="58"/>
  <c r="Q53" i="58" s="1"/>
  <c r="Q8" i="50"/>
  <c r="Q52" i="50" s="1"/>
  <c r="Q8" i="13"/>
  <c r="Q52" i="13"/>
  <c r="Q8" i="47"/>
  <c r="Q53" i="47" s="1"/>
  <c r="Q8" i="15"/>
  <c r="Q52" i="15" s="1"/>
  <c r="Q8" i="45"/>
  <c r="Q53" i="45" s="1"/>
  <c r="Q8" i="12"/>
  <c r="Q53" i="12" s="1"/>
  <c r="Q8" i="38"/>
  <c r="Q52" i="38" s="1"/>
  <c r="Q8" i="11"/>
  <c r="Q52" i="11" s="1"/>
  <c r="Q8" i="43"/>
  <c r="Q52" i="43" s="1"/>
  <c r="Q8" i="23"/>
  <c r="Q53" i="23"/>
  <c r="V4" i="58"/>
  <c r="V46" i="58" s="1"/>
  <c r="V4" i="50"/>
  <c r="V45" i="50" s="1"/>
  <c r="V4" i="15"/>
  <c r="V45" i="15"/>
  <c r="V4" i="43"/>
  <c r="V45" i="43" s="1"/>
  <c r="V4" i="11"/>
  <c r="V45" i="11" s="1"/>
  <c r="V4" i="13"/>
  <c r="V45" i="13"/>
  <c r="V4" i="12"/>
  <c r="V46" i="12" s="1"/>
  <c r="V4" i="47"/>
  <c r="V46" i="47" s="1"/>
  <c r="V4" i="38"/>
  <c r="V45" i="38" s="1"/>
  <c r="V4" i="10"/>
  <c r="V45" i="10"/>
  <c r="AC9" i="58"/>
  <c r="AC54" i="58" s="1"/>
  <c r="AC9" i="47"/>
  <c r="AC54" i="47" s="1"/>
  <c r="AC9" i="15"/>
  <c r="AC53" i="15" s="1"/>
  <c r="AC9" i="12"/>
  <c r="AC54" i="12" s="1"/>
  <c r="AC9" i="43"/>
  <c r="AC53" i="43" s="1"/>
  <c r="AC9" i="10"/>
  <c r="AC53" i="10" s="1"/>
  <c r="AC9" i="38"/>
  <c r="AC53" i="38" s="1"/>
  <c r="AC9" i="11"/>
  <c r="AC53" i="11" s="1"/>
  <c r="AC9" i="23"/>
  <c r="AC54" i="23" s="1"/>
  <c r="AC9" i="50"/>
  <c r="AC53" i="50" s="1"/>
  <c r="AC9" i="45"/>
  <c r="AC54" i="45" s="1"/>
  <c r="AC9" i="13"/>
  <c r="AC53" i="13"/>
  <c r="T5" i="58"/>
  <c r="T47" i="58" s="1"/>
  <c r="T5" i="15"/>
  <c r="T46" i="15" s="1"/>
  <c r="T5" i="13"/>
  <c r="T46" i="13" s="1"/>
  <c r="T5" i="12"/>
  <c r="T47" i="12" s="1"/>
  <c r="T5" i="11"/>
  <c r="T46" i="11"/>
  <c r="T5" i="10"/>
  <c r="T46" i="10"/>
  <c r="T5" i="50"/>
  <c r="T46" i="50" s="1"/>
  <c r="T5" i="47"/>
  <c r="T47" i="47" s="1"/>
  <c r="T5" i="45"/>
  <c r="T47" i="45"/>
  <c r="T5" i="43"/>
  <c r="T46" i="43"/>
  <c r="T5" i="38"/>
  <c r="T46" i="38" s="1"/>
  <c r="Y3" i="58"/>
  <c r="Y45" i="58" s="1"/>
  <c r="Y3" i="45"/>
  <c r="Y45" i="45" s="1"/>
  <c r="Y3" i="43"/>
  <c r="Y44" i="43"/>
  <c r="Y3" i="11"/>
  <c r="Y44" i="11" s="1"/>
  <c r="Y3" i="38"/>
  <c r="Y44" i="38" s="1"/>
  <c r="Y3" i="12"/>
  <c r="Y45" i="12"/>
  <c r="Y3" i="50"/>
  <c r="Y44" i="50" s="1"/>
  <c r="Y3" i="15"/>
  <c r="Y44" i="15" s="1"/>
  <c r="Y3" i="47"/>
  <c r="Y45" i="47" s="1"/>
  <c r="Y3" i="13"/>
  <c r="Y44" i="13"/>
  <c r="S2" i="61"/>
  <c r="S42" i="61" s="1"/>
  <c r="S43" i="61" s="1"/>
  <c r="S84" i="61" s="1"/>
  <c r="W2" i="61"/>
  <c r="W42" i="61" s="1"/>
  <c r="W43" i="61" s="1"/>
  <c r="W84" i="61" s="1"/>
  <c r="AB2" i="61"/>
  <c r="AB42" i="61" s="1"/>
  <c r="AB43" i="61" s="1"/>
  <c r="AB84" i="61" s="1"/>
  <c r="AC2" i="61"/>
  <c r="AC42" i="61" s="1"/>
  <c r="AC43" i="61" s="1"/>
  <c r="AC84" i="61" s="1"/>
  <c r="AD6" i="61"/>
  <c r="Y6" i="61"/>
  <c r="V2" i="61"/>
  <c r="V42" i="61" s="1"/>
  <c r="V43" i="61" s="1"/>
  <c r="V84" i="61" s="1"/>
  <c r="Z2" i="61"/>
  <c r="Z42" i="61" s="1"/>
  <c r="Z43" i="61" s="1"/>
  <c r="Z84" i="61" s="1"/>
  <c r="T12" i="61"/>
  <c r="AD9" i="61"/>
  <c r="Y8" i="61"/>
  <c r="X2" i="61"/>
  <c r="X42" i="61" s="1"/>
  <c r="X43" i="61" s="1"/>
  <c r="X84" i="61" s="1"/>
  <c r="T2" i="61"/>
  <c r="T42" i="61" s="1"/>
  <c r="T43" i="61" s="1"/>
  <c r="T84" i="61" s="1"/>
  <c r="AD10" i="61"/>
  <c r="Y9" i="61"/>
  <c r="T8" i="61"/>
  <c r="T6" i="61"/>
  <c r="V3" i="61"/>
  <c r="Q9" i="61"/>
  <c r="Y7" i="61"/>
  <c r="Y12" i="61"/>
  <c r="AD8" i="61"/>
  <c r="AD4" i="61"/>
  <c r="R2" i="61"/>
  <c r="R42" i="61" s="1"/>
  <c r="R43" i="61" s="1"/>
  <c r="R84" i="61" s="1"/>
  <c r="Y10" i="61"/>
  <c r="T9" i="61"/>
  <c r="AD7" i="61"/>
  <c r="Y4" i="61"/>
  <c r="T3" i="61"/>
  <c r="T4" i="61"/>
  <c r="AA2" i="61"/>
  <c r="AA42" i="61" s="1"/>
  <c r="AA43" i="61" s="1"/>
  <c r="AA84" i="61" s="1"/>
  <c r="Y5" i="61"/>
  <c r="T7" i="61"/>
  <c r="T5" i="61"/>
  <c r="Q2" i="61"/>
  <c r="Q42" i="61" s="1"/>
  <c r="Q43" i="61" s="1"/>
  <c r="Q84" i="61" s="1"/>
  <c r="AD2" i="61"/>
  <c r="AD42" i="61" s="1"/>
  <c r="AD43" i="61" s="1"/>
  <c r="AD84" i="61" s="1"/>
  <c r="AD11" i="61"/>
  <c r="T11" i="61"/>
  <c r="Y3" i="61"/>
  <c r="Y2" i="61"/>
  <c r="Y42" i="61" s="1"/>
  <c r="Y43" i="61" s="1"/>
  <c r="Y84" i="61" s="1"/>
  <c r="Y11" i="61"/>
  <c r="T10" i="61"/>
  <c r="W7" i="61"/>
  <c r="AD5" i="61"/>
  <c r="S4" i="61"/>
  <c r="AD12" i="61"/>
  <c r="AD3" i="61"/>
  <c r="U2" i="61"/>
  <c r="U42" i="61" s="1"/>
  <c r="U43" i="61" s="1"/>
  <c r="U84" i="61" s="1"/>
  <c r="AC10" i="61"/>
  <c r="AC6" i="61"/>
  <c r="AA5" i="61"/>
  <c r="W8" i="61"/>
  <c r="R3" i="61"/>
  <c r="Q12" i="61"/>
  <c r="R12" i="61"/>
  <c r="AA12" i="61"/>
  <c r="AB6" i="61"/>
  <c r="S10" i="61"/>
  <c r="X9" i="61"/>
  <c r="AC7" i="61"/>
  <c r="X11" i="61"/>
  <c r="S9" i="61"/>
  <c r="V7" i="61"/>
  <c r="AA9" i="61"/>
  <c r="R4" i="61"/>
  <c r="AB12" i="61"/>
  <c r="Q8" i="61"/>
  <c r="AA4" i="61"/>
  <c r="W5" i="61"/>
  <c r="AA10" i="61"/>
  <c r="AA8" i="61"/>
  <c r="V4" i="61"/>
  <c r="B45" i="61"/>
  <c r="J8" i="60" s="1"/>
  <c r="W4" i="61"/>
  <c r="V8" i="61"/>
  <c r="R11" i="61"/>
  <c r="X8" i="61"/>
  <c r="AA6" i="61"/>
  <c r="X3" i="61"/>
  <c r="AB9" i="61"/>
  <c r="X5" i="61"/>
  <c r="AB7" i="61"/>
  <c r="V9" i="61"/>
  <c r="AB4" i="61"/>
  <c r="W3" i="61"/>
  <c r="AA7" i="61"/>
  <c r="AC4" i="61"/>
  <c r="S5" i="61"/>
  <c r="AB8" i="61"/>
  <c r="AB5" i="61"/>
  <c r="V5" i="61"/>
  <c r="X7" i="61"/>
  <c r="AC3" i="61"/>
  <c r="AC12" i="61"/>
  <c r="X6" i="61"/>
  <c r="V10" i="61"/>
  <c r="AB3" i="61"/>
  <c r="R10" i="61"/>
  <c r="S3" i="61"/>
  <c r="W11" i="61"/>
  <c r="Q3" i="61"/>
  <c r="Q11" i="61"/>
  <c r="W6" i="61"/>
  <c r="Q10" i="61"/>
  <c r="AB10" i="61"/>
  <c r="S11" i="61"/>
  <c r="R9" i="61"/>
  <c r="X4" i="61"/>
  <c r="X10" i="61"/>
  <c r="Q4" i="61"/>
  <c r="AC9" i="61"/>
  <c r="R5" i="61"/>
  <c r="W12" i="61"/>
  <c r="W10" i="61"/>
  <c r="V11" i="61"/>
  <c r="R8" i="61"/>
  <c r="V12" i="61"/>
  <c r="B56" i="61"/>
  <c r="Q5" i="61"/>
  <c r="S7" i="61"/>
  <c r="AA11" i="61"/>
  <c r="S8" i="61"/>
  <c r="W9" i="61"/>
  <c r="S6" i="61"/>
  <c r="V6" i="61"/>
  <c r="AC8" i="61"/>
  <c r="AA3" i="61"/>
  <c r="X12" i="61"/>
  <c r="AB11" i="61"/>
  <c r="AC5" i="61"/>
  <c r="AC11" i="61"/>
  <c r="S12" i="61"/>
  <c r="R6" i="61"/>
  <c r="Q7" i="61"/>
  <c r="B48" i="61"/>
  <c r="J11" i="60" s="1"/>
  <c r="Q6" i="61"/>
  <c r="R7" i="61"/>
  <c r="T8" i="10"/>
  <c r="T52" i="10" s="1"/>
  <c r="T11" i="23"/>
  <c r="T56" i="23" s="1"/>
  <c r="AD7" i="23"/>
  <c r="AD49" i="23" s="1"/>
  <c r="AD6" i="23"/>
  <c r="AD48" i="23" s="1"/>
  <c r="T12" i="23"/>
  <c r="T57" i="23" s="1"/>
  <c r="T3" i="10"/>
  <c r="T44" i="10" s="1"/>
  <c r="AD4" i="23"/>
  <c r="AD46" i="23" s="1"/>
  <c r="AD5" i="23"/>
  <c r="AD47" i="23" s="1"/>
  <c r="AD8" i="10"/>
  <c r="AD52" i="10" s="1"/>
  <c r="T10" i="23"/>
  <c r="T55" i="23" s="1"/>
  <c r="AD3" i="10"/>
  <c r="AD44" i="10"/>
  <c r="AD3" i="23"/>
  <c r="AD45" i="23" s="1"/>
  <c r="T9" i="23"/>
  <c r="T54" i="23" s="1"/>
  <c r="AQ77" i="18"/>
  <c r="C52" i="18" s="1"/>
  <c r="V8" i="10"/>
  <c r="V52" i="10" s="1"/>
  <c r="V3" i="10"/>
  <c r="V44" i="10" s="1"/>
  <c r="V3" i="23"/>
  <c r="V45" i="23" s="1"/>
  <c r="V6" i="23"/>
  <c r="V48" i="23" s="1"/>
  <c r="V4" i="23"/>
  <c r="V46" i="23" s="1"/>
  <c r="W3" i="10"/>
  <c r="W44" i="10" s="1"/>
  <c r="V5" i="23"/>
  <c r="V47" i="23" s="1"/>
  <c r="V7" i="23"/>
  <c r="V49" i="23"/>
  <c r="P11" i="58"/>
  <c r="P56" i="58" s="1"/>
  <c r="P12" i="58"/>
  <c r="P57" i="58" s="1"/>
  <c r="W8" i="10"/>
  <c r="W52" i="10" s="1"/>
  <c r="P10" i="58"/>
  <c r="P55" i="58" s="1"/>
  <c r="P5" i="58"/>
  <c r="P47" i="58" s="1"/>
  <c r="P7" i="58"/>
  <c r="P49" i="58" s="1"/>
  <c r="X8" i="10"/>
  <c r="X52" i="10"/>
  <c r="P8" i="58"/>
  <c r="P53" i="58" s="1"/>
  <c r="P4" i="58"/>
  <c r="P46" i="58" s="1"/>
  <c r="P6" i="58"/>
  <c r="P48" i="58" s="1"/>
  <c r="P3" i="58"/>
  <c r="P45" i="58" s="1"/>
  <c r="P9" i="58"/>
  <c r="P54" i="58" s="1"/>
  <c r="X3" i="10"/>
  <c r="X44" i="10" s="1"/>
  <c r="Y3" i="10"/>
  <c r="Y44" i="10" s="1"/>
  <c r="Y8" i="10"/>
  <c r="Y52" i="10" s="1"/>
  <c r="Q3" i="10"/>
  <c r="Q44" i="10" s="1"/>
  <c r="AA3" i="10"/>
  <c r="AA44" i="10" s="1"/>
  <c r="R3" i="10"/>
  <c r="R44" i="10" s="1"/>
  <c r="AA4" i="23"/>
  <c r="AA46" i="23" s="1"/>
  <c r="Q8" i="10"/>
  <c r="Q52" i="10" s="1"/>
  <c r="AA3" i="23"/>
  <c r="AA45" i="23" s="1"/>
  <c r="AA6" i="23"/>
  <c r="AA48" i="23" s="1"/>
  <c r="AA8" i="10"/>
  <c r="AA52" i="10" s="1"/>
  <c r="AQ75" i="18"/>
  <c r="C69" i="18" s="1"/>
  <c r="P10" i="12"/>
  <c r="P55" i="12" s="1"/>
  <c r="R8" i="10"/>
  <c r="R52" i="10" s="1"/>
  <c r="AQ76" i="18"/>
  <c r="C51" i="18" s="1"/>
  <c r="C70" i="18"/>
  <c r="P10" i="15"/>
  <c r="P54" i="15" s="1"/>
  <c r="P5" i="43"/>
  <c r="P46" i="43" s="1"/>
  <c r="AQ83" i="18"/>
  <c r="C58" i="18" s="1"/>
  <c r="C77" i="18"/>
  <c r="AB3" i="10"/>
  <c r="AB44" i="10" s="1"/>
  <c r="S3" i="10"/>
  <c r="S44" i="10" s="1"/>
  <c r="AA5" i="23"/>
  <c r="AA47" i="23" s="1"/>
  <c r="AB8" i="10"/>
  <c r="AB52" i="10" s="1"/>
  <c r="AA7" i="23"/>
  <c r="AA49" i="23" s="1"/>
  <c r="AQ82" i="18"/>
  <c r="C57" i="18" s="1"/>
  <c r="AQ73" i="18"/>
  <c r="C67" i="18" s="1"/>
  <c r="AQ74" i="18"/>
  <c r="C49" i="18" s="1"/>
  <c r="P5" i="47"/>
  <c r="P47" i="47" s="1"/>
  <c r="P10" i="43"/>
  <c r="P54" i="43" s="1"/>
  <c r="P3" i="15"/>
  <c r="P44" i="15" s="1"/>
  <c r="P3" i="38"/>
  <c r="P44" i="38" s="1"/>
  <c r="P3" i="43"/>
  <c r="P44" i="43" s="1"/>
  <c r="S8" i="10"/>
  <c r="S52" i="10" s="1"/>
  <c r="AC7" i="23"/>
  <c r="AC49" i="23" s="1"/>
  <c r="W6" i="23"/>
  <c r="W48" i="23" s="1"/>
  <c r="AB7" i="23"/>
  <c r="AB49" i="23" s="1"/>
  <c r="P11" i="47"/>
  <c r="P56" i="47" s="1"/>
  <c r="AQ84" i="18"/>
  <c r="C59" i="18" s="1"/>
  <c r="P6" i="47"/>
  <c r="P48" i="47" s="1"/>
  <c r="P9" i="61"/>
  <c r="B53" i="61"/>
  <c r="J16" i="60" s="1"/>
  <c r="P5" i="15"/>
  <c r="P46" i="15"/>
  <c r="AC3" i="10"/>
  <c r="AC44" i="10" s="1"/>
  <c r="AC3" i="23"/>
  <c r="AC45" i="23" s="1"/>
  <c r="T7" i="23"/>
  <c r="T49" i="23" s="1"/>
  <c r="P11" i="50"/>
  <c r="P55" i="50" s="1"/>
  <c r="P10" i="61"/>
  <c r="P10" i="13"/>
  <c r="P54" i="13" s="1"/>
  <c r="AB6" i="23"/>
  <c r="AB48" i="23" s="1"/>
  <c r="P12" i="38"/>
  <c r="P56" i="38" s="1"/>
  <c r="W5" i="23"/>
  <c r="W47" i="23" s="1"/>
  <c r="P10" i="10"/>
  <c r="P54" i="10" s="1"/>
  <c r="AC4" i="23"/>
  <c r="AC46" i="23" s="1"/>
  <c r="AQ85" i="18"/>
  <c r="P6" i="38"/>
  <c r="P47" i="38" s="1"/>
  <c r="P10" i="50"/>
  <c r="P54" i="50" s="1"/>
  <c r="P9" i="47"/>
  <c r="P54" i="47" s="1"/>
  <c r="P11" i="61"/>
  <c r="B55" i="61"/>
  <c r="J18" i="60" s="1"/>
  <c r="P5" i="13"/>
  <c r="P46" i="13" s="1"/>
  <c r="P5" i="50"/>
  <c r="P46" i="50" s="1"/>
  <c r="P11" i="45"/>
  <c r="P56" i="45" s="1"/>
  <c r="P5" i="61"/>
  <c r="P5" i="12"/>
  <c r="P47" i="12" s="1"/>
  <c r="P3" i="61"/>
  <c r="AC6" i="23"/>
  <c r="AC48" i="23" s="1"/>
  <c r="AQ81" i="18"/>
  <c r="P9" i="50"/>
  <c r="P53" i="50" s="1"/>
  <c r="P10" i="45"/>
  <c r="P55" i="45" s="1"/>
  <c r="P5" i="38"/>
  <c r="P46" i="38" s="1"/>
  <c r="W4" i="23"/>
  <c r="W46" i="23" s="1"/>
  <c r="AB4" i="23"/>
  <c r="AB46" i="23" s="1"/>
  <c r="AB3" i="23"/>
  <c r="AB45" i="23" s="1"/>
  <c r="AB5" i="23"/>
  <c r="AB47" i="23"/>
  <c r="P3" i="11"/>
  <c r="P44" i="11" s="1"/>
  <c r="P6" i="50"/>
  <c r="P47" i="50" s="1"/>
  <c r="P9" i="45"/>
  <c r="P54" i="45" s="1"/>
  <c r="P10" i="38"/>
  <c r="P54" i="38" s="1"/>
  <c r="P10" i="11"/>
  <c r="P54" i="11" s="1"/>
  <c r="AC8" i="10"/>
  <c r="AC52" i="10" s="1"/>
  <c r="W3" i="23"/>
  <c r="W45" i="23" s="1"/>
  <c r="T4" i="23"/>
  <c r="T46" i="23" s="1"/>
  <c r="AC5" i="23"/>
  <c r="AC47" i="23" s="1"/>
  <c r="W7" i="23"/>
  <c r="W49" i="23" s="1"/>
  <c r="P3" i="12"/>
  <c r="P45" i="12"/>
  <c r="P10" i="47"/>
  <c r="P55" i="47" s="1"/>
  <c r="P10" i="23"/>
  <c r="P55" i="23" s="1"/>
  <c r="P5" i="11"/>
  <c r="P46" i="11" s="1"/>
  <c r="P3" i="13"/>
  <c r="P44" i="13" s="1"/>
  <c r="P11" i="11"/>
  <c r="P55" i="11" s="1"/>
  <c r="P6" i="43"/>
  <c r="P47" i="43"/>
  <c r="P6" i="11"/>
  <c r="P47" i="11" s="1"/>
  <c r="P8" i="50"/>
  <c r="P52" i="50" s="1"/>
  <c r="P4" i="47"/>
  <c r="P46" i="47" s="1"/>
  <c r="P8" i="43"/>
  <c r="P52" i="43" s="1"/>
  <c r="P7" i="61"/>
  <c r="P12" i="15"/>
  <c r="P56" i="15" s="1"/>
  <c r="P7" i="12"/>
  <c r="P49" i="12" s="1"/>
  <c r="X5" i="23"/>
  <c r="X47" i="23" s="1"/>
  <c r="X6" i="23"/>
  <c r="X48" i="23" s="1"/>
  <c r="X4" i="23"/>
  <c r="X46" i="23" s="1"/>
  <c r="X3" i="23"/>
  <c r="X45" i="23"/>
  <c r="X7" i="23"/>
  <c r="X49" i="23"/>
  <c r="P9" i="38"/>
  <c r="P53" i="38" s="1"/>
  <c r="P11" i="43"/>
  <c r="P55" i="43" s="1"/>
  <c r="P12" i="47"/>
  <c r="P57" i="47" s="1"/>
  <c r="P4" i="43"/>
  <c r="P45" i="43" s="1"/>
  <c r="P4" i="61"/>
  <c r="P7" i="15"/>
  <c r="P48" i="15" s="1"/>
  <c r="P12" i="12"/>
  <c r="P57" i="12" s="1"/>
  <c r="P12" i="11"/>
  <c r="P56" i="11" s="1"/>
  <c r="P6" i="13"/>
  <c r="P47" i="13" s="1"/>
  <c r="P9" i="43"/>
  <c r="P53" i="43" s="1"/>
  <c r="P11" i="10"/>
  <c r="P55" i="10" s="1"/>
  <c r="P4" i="50"/>
  <c r="P45" i="50" s="1"/>
  <c r="P8" i="47"/>
  <c r="P53" i="47" s="1"/>
  <c r="P12" i="43"/>
  <c r="P56" i="43" s="1"/>
  <c r="P8" i="61"/>
  <c r="B52" i="61"/>
  <c r="J15" i="60" s="1"/>
  <c r="P8" i="12"/>
  <c r="P53" i="12" s="1"/>
  <c r="B53" i="12" s="1"/>
  <c r="E31" i="18" s="1"/>
  <c r="AP42" i="18" s="1"/>
  <c r="P4" i="11"/>
  <c r="P45" i="11" s="1"/>
  <c r="P9" i="23"/>
  <c r="P54" i="23" s="1"/>
  <c r="P9" i="15"/>
  <c r="P53" i="15" s="1"/>
  <c r="P11" i="38"/>
  <c r="P55" i="38" s="1"/>
  <c r="P7" i="50"/>
  <c r="P48" i="50" s="1"/>
  <c r="P12" i="45"/>
  <c r="P57" i="45" s="1"/>
  <c r="P7" i="43"/>
  <c r="P48" i="43" s="1"/>
  <c r="P4" i="38"/>
  <c r="P45" i="38"/>
  <c r="P8" i="23"/>
  <c r="P53" i="23" s="1"/>
  <c r="P8" i="13"/>
  <c r="P52" i="13" s="1"/>
  <c r="P9" i="11"/>
  <c r="P53" i="11" s="1"/>
  <c r="P11" i="13"/>
  <c r="P55" i="13" s="1"/>
  <c r="P11" i="23"/>
  <c r="P56" i="23" s="1"/>
  <c r="P3" i="47"/>
  <c r="P45" i="47" s="1"/>
  <c r="P6" i="61"/>
  <c r="P7" i="38"/>
  <c r="P48" i="38" s="1"/>
  <c r="P4" i="15"/>
  <c r="P45" i="15" s="1"/>
  <c r="P12" i="13"/>
  <c r="P56" i="13" s="1"/>
  <c r="P4" i="12"/>
  <c r="P46" i="12"/>
  <c r="P9" i="12"/>
  <c r="P54" i="12" s="1"/>
  <c r="P11" i="15"/>
  <c r="P55" i="15" s="1"/>
  <c r="P8" i="45"/>
  <c r="P53" i="45"/>
  <c r="P12" i="61"/>
  <c r="P8" i="38"/>
  <c r="P52" i="38" s="1"/>
  <c r="P6" i="15"/>
  <c r="P47" i="15"/>
  <c r="P9" i="13"/>
  <c r="P53" i="13" s="1"/>
  <c r="P3" i="50"/>
  <c r="P44" i="50" s="1"/>
  <c r="P7" i="47"/>
  <c r="P49" i="47" s="1"/>
  <c r="P8" i="15"/>
  <c r="P52" i="15" s="1"/>
  <c r="P4" i="13"/>
  <c r="P45" i="13" s="1"/>
  <c r="P7" i="11"/>
  <c r="P48" i="11" s="1"/>
  <c r="P11" i="12"/>
  <c r="P56" i="12" s="1"/>
  <c r="P6" i="12"/>
  <c r="P48" i="12" s="1"/>
  <c r="P12" i="50"/>
  <c r="P56" i="50" s="1"/>
  <c r="P7" i="13"/>
  <c r="P48" i="13" s="1"/>
  <c r="P9" i="10"/>
  <c r="P53" i="10" s="1"/>
  <c r="Y3" i="23"/>
  <c r="Y45" i="23"/>
  <c r="T5" i="23"/>
  <c r="T47" i="23" s="1"/>
  <c r="Y7" i="23"/>
  <c r="Y49" i="23" s="1"/>
  <c r="Y6" i="23"/>
  <c r="Y48" i="23"/>
  <c r="Y4" i="23"/>
  <c r="Y46" i="23" s="1"/>
  <c r="Y5" i="23"/>
  <c r="Y47" i="23" s="1"/>
  <c r="T3" i="23"/>
  <c r="T45" i="23" s="1"/>
  <c r="T6" i="23"/>
  <c r="T48" i="23" s="1"/>
  <c r="Q2" i="58"/>
  <c r="Q43" i="58" s="1"/>
  <c r="Q44" i="58" s="1"/>
  <c r="Q85" i="58" s="1"/>
  <c r="Q2" i="43"/>
  <c r="Q2" i="45"/>
  <c r="Q43" i="45" s="1"/>
  <c r="Q44" i="45" s="1"/>
  <c r="Q85" i="45" s="1"/>
  <c r="Q2" i="47"/>
  <c r="Q43" i="47" s="1"/>
  <c r="Q44" i="47" s="1"/>
  <c r="Q85" i="47" s="1"/>
  <c r="R2" i="58"/>
  <c r="R43" i="58"/>
  <c r="R44" i="58" s="1"/>
  <c r="R85" i="58" s="1"/>
  <c r="Q2" i="13"/>
  <c r="Q42" i="13" s="1"/>
  <c r="Q43" i="13" s="1"/>
  <c r="Q84" i="13" s="1"/>
  <c r="Q2" i="23"/>
  <c r="Q43" i="23" s="1"/>
  <c r="Q44" i="23" s="1"/>
  <c r="Q85" i="23" s="1"/>
  <c r="R2" i="43"/>
  <c r="R2" i="47"/>
  <c r="R43" i="47" s="1"/>
  <c r="R44" i="47" s="1"/>
  <c r="R85" i="47" s="1"/>
  <c r="R2" i="13"/>
  <c r="R42" i="13" s="1"/>
  <c r="R43" i="13" s="1"/>
  <c r="R84" i="13" s="1"/>
  <c r="Q2" i="15"/>
  <c r="Q42" i="15" s="1"/>
  <c r="Q43" i="15" s="1"/>
  <c r="Q84" i="15" s="1"/>
  <c r="R2" i="45"/>
  <c r="R43" i="45" s="1"/>
  <c r="R44" i="45" s="1"/>
  <c r="R85" i="45" s="1"/>
  <c r="Q2" i="10"/>
  <c r="Q42" i="10" s="1"/>
  <c r="Q43" i="10" s="1"/>
  <c r="Q84" i="10" s="1"/>
  <c r="S2" i="58"/>
  <c r="S43" i="58" s="1"/>
  <c r="S44" i="58" s="1"/>
  <c r="S85" i="58" s="1"/>
  <c r="Q2" i="38"/>
  <c r="Q42" i="38" s="1"/>
  <c r="Q43" i="38" s="1"/>
  <c r="Q84" i="38" s="1"/>
  <c r="Q2" i="11"/>
  <c r="Q42" i="11" s="1"/>
  <c r="Q43" i="11" s="1"/>
  <c r="Q84" i="11" s="1"/>
  <c r="R2" i="23"/>
  <c r="R43" i="23" s="1"/>
  <c r="R44" i="23" s="1"/>
  <c r="R85" i="23" s="1"/>
  <c r="Q2" i="12"/>
  <c r="Q43" i="12" s="1"/>
  <c r="Q44" i="12" s="1"/>
  <c r="Q85" i="12" s="1"/>
  <c r="Q2" i="50"/>
  <c r="Q42" i="50" s="1"/>
  <c r="Q43" i="50" s="1"/>
  <c r="Q84" i="50" s="1"/>
  <c r="R2" i="38"/>
  <c r="R42" i="38" s="1"/>
  <c r="R43" i="38" s="1"/>
  <c r="R84" i="38" s="1"/>
  <c r="R2" i="11"/>
  <c r="R42" i="11" s="1"/>
  <c r="R43" i="11" s="1"/>
  <c r="R84" i="11" s="1"/>
  <c r="R2" i="10"/>
  <c r="R42" i="10"/>
  <c r="R43" i="10" s="1"/>
  <c r="R84" i="10" s="1"/>
  <c r="R2" i="15"/>
  <c r="R42" i="15" s="1"/>
  <c r="R43" i="15" s="1"/>
  <c r="R84" i="15" s="1"/>
  <c r="T2" i="58"/>
  <c r="T43" i="58" s="1"/>
  <c r="T44" i="58" s="1"/>
  <c r="T85" i="58" s="1"/>
  <c r="R2" i="50"/>
  <c r="R42" i="50" s="1"/>
  <c r="R43" i="50" s="1"/>
  <c r="R84" i="50" s="1"/>
  <c r="S2" i="47"/>
  <c r="S43" i="47" s="1"/>
  <c r="S44" i="47" s="1"/>
  <c r="S85" i="47" s="1"/>
  <c r="S2" i="13"/>
  <c r="S42" i="13" s="1"/>
  <c r="S43" i="13" s="1"/>
  <c r="S84" i="13" s="1"/>
  <c r="S2" i="23"/>
  <c r="S43" i="23" s="1"/>
  <c r="S44" i="23" s="1"/>
  <c r="S85" i="23" s="1"/>
  <c r="R2" i="12"/>
  <c r="R43" i="12" s="1"/>
  <c r="R44" i="12" s="1"/>
  <c r="R85" i="12" s="1"/>
  <c r="S2" i="43"/>
  <c r="S2" i="45"/>
  <c r="S43" i="45" s="1"/>
  <c r="S44" i="45" s="1"/>
  <c r="S85" i="45" s="1"/>
  <c r="S2" i="50"/>
  <c r="S42" i="50" s="1"/>
  <c r="S43" i="50" s="1"/>
  <c r="S84" i="50" s="1"/>
  <c r="S2" i="15"/>
  <c r="S42" i="15" s="1"/>
  <c r="S43" i="15" s="1"/>
  <c r="S84" i="15" s="1"/>
  <c r="T2" i="43"/>
  <c r="S2" i="11"/>
  <c r="S42" i="11" s="1"/>
  <c r="S43" i="11" s="1"/>
  <c r="S84" i="11" s="1"/>
  <c r="S2" i="38"/>
  <c r="S42" i="38" s="1"/>
  <c r="S43" i="38" s="1"/>
  <c r="S84" i="38" s="1"/>
  <c r="U2" i="58"/>
  <c r="U43" i="58" s="1"/>
  <c r="U44" i="58" s="1"/>
  <c r="U85" i="58" s="1"/>
  <c r="T2" i="45"/>
  <c r="T43" i="45" s="1"/>
  <c r="T44" i="45" s="1"/>
  <c r="T85" i="45" s="1"/>
  <c r="T2" i="13"/>
  <c r="T42" i="13" s="1"/>
  <c r="T43" i="13" s="1"/>
  <c r="T84" i="13" s="1"/>
  <c r="T2" i="23"/>
  <c r="T43" i="23" s="1"/>
  <c r="T44" i="23" s="1"/>
  <c r="T85" i="23" s="1"/>
  <c r="S2" i="12"/>
  <c r="S43" i="12" s="1"/>
  <c r="S44" i="12" s="1"/>
  <c r="S85" i="12" s="1"/>
  <c r="S2" i="10"/>
  <c r="S42" i="10" s="1"/>
  <c r="S43" i="10" s="1"/>
  <c r="S84" i="10" s="1"/>
  <c r="T2" i="47"/>
  <c r="T43" i="47"/>
  <c r="T44" i="47" s="1"/>
  <c r="T85" i="47" s="1"/>
  <c r="T2" i="12"/>
  <c r="T43" i="12" s="1"/>
  <c r="T44" i="12" s="1"/>
  <c r="T85" i="12" s="1"/>
  <c r="T2" i="38"/>
  <c r="T42" i="38" s="1"/>
  <c r="T43" i="38" s="1"/>
  <c r="T84" i="38" s="1"/>
  <c r="T2" i="15"/>
  <c r="T42" i="15" s="1"/>
  <c r="T43" i="15" s="1"/>
  <c r="T84" i="15" s="1"/>
  <c r="T2" i="11"/>
  <c r="T42" i="11" s="1"/>
  <c r="T43" i="11" s="1"/>
  <c r="T84" i="11" s="1"/>
  <c r="T2" i="10"/>
  <c r="T42" i="10" s="1"/>
  <c r="T43" i="10" s="1"/>
  <c r="T84" i="10" s="1"/>
  <c r="T2" i="50"/>
  <c r="T42" i="50" s="1"/>
  <c r="T43" i="50" s="1"/>
  <c r="T84" i="50" s="1"/>
  <c r="AD2" i="12"/>
  <c r="AD43" i="12" s="1"/>
  <c r="AD44" i="12" s="1"/>
  <c r="AD85" i="12" s="1"/>
  <c r="AD2" i="11"/>
  <c r="AD42" i="11"/>
  <c r="AD43" i="11" s="1"/>
  <c r="AD84" i="11" s="1"/>
  <c r="AD2" i="13"/>
  <c r="AD42" i="13" s="1"/>
  <c r="AD43" i="13" s="1"/>
  <c r="AD84" i="13" s="1"/>
  <c r="AD2" i="47"/>
  <c r="AD43" i="47"/>
  <c r="AD44" i="47" s="1"/>
  <c r="AD85" i="47" s="1"/>
  <c r="AD2" i="45"/>
  <c r="AD43" i="45" s="1"/>
  <c r="AD44" i="45" s="1"/>
  <c r="AD85" i="45" s="1"/>
  <c r="AD2" i="23"/>
  <c r="AD43" i="23"/>
  <c r="AD44" i="23" s="1"/>
  <c r="AD85" i="23" s="1"/>
  <c r="AD2" i="58"/>
  <c r="AD43" i="58" s="1"/>
  <c r="AD44" i="58" s="1"/>
  <c r="AD85" i="58" s="1"/>
  <c r="AD2" i="43"/>
  <c r="AD42" i="43" s="1"/>
  <c r="AD43" i="43" s="1"/>
  <c r="AD84" i="43" s="1"/>
  <c r="AD2" i="15"/>
  <c r="AD42" i="15" s="1"/>
  <c r="AD43" i="15" s="1"/>
  <c r="AD84" i="15" s="1"/>
  <c r="AD2" i="50"/>
  <c r="AD42" i="50" s="1"/>
  <c r="AD43" i="50" s="1"/>
  <c r="AD84" i="50" s="1"/>
  <c r="AD2" i="38"/>
  <c r="AD42" i="38" s="1"/>
  <c r="AD43" i="38" s="1"/>
  <c r="AD84" i="38" s="1"/>
  <c r="AD2" i="10"/>
  <c r="AD42" i="10" s="1"/>
  <c r="U2" i="50"/>
  <c r="U42" i="50" s="1"/>
  <c r="U43" i="50" s="1"/>
  <c r="U84" i="50" s="1"/>
  <c r="V2" i="23"/>
  <c r="V43" i="23" s="1"/>
  <c r="V44" i="23" s="1"/>
  <c r="V85" i="23" s="1"/>
  <c r="V2" i="43"/>
  <c r="V42" i="43"/>
  <c r="V43" i="43" s="1"/>
  <c r="V84" i="43" s="1"/>
  <c r="V2" i="38"/>
  <c r="V42" i="38" s="1"/>
  <c r="V43" i="38" s="1"/>
  <c r="V84" i="38" s="1"/>
  <c r="V2" i="12"/>
  <c r="V43" i="12" s="1"/>
  <c r="V44" i="12" s="1"/>
  <c r="V85" i="12" s="1"/>
  <c r="V2" i="13"/>
  <c r="V42" i="13" s="1"/>
  <c r="V43" i="13" s="1"/>
  <c r="V84" i="13" s="1"/>
  <c r="V2" i="15"/>
  <c r="V42" i="15" s="1"/>
  <c r="V43" i="15" s="1"/>
  <c r="V84" i="15" s="1"/>
  <c r="W2" i="50"/>
  <c r="W42" i="50" s="1"/>
  <c r="W43" i="50" s="1"/>
  <c r="W84" i="50" s="1"/>
  <c r="X2" i="45"/>
  <c r="X43" i="45" s="1"/>
  <c r="X44" i="45" s="1"/>
  <c r="X85" i="45" s="1"/>
  <c r="X2" i="15"/>
  <c r="X42" i="15" s="1"/>
  <c r="X43" i="15" s="1"/>
  <c r="X84" i="15" s="1"/>
  <c r="X2" i="47"/>
  <c r="X43" i="47" s="1"/>
  <c r="X44" i="47" s="1"/>
  <c r="X85" i="47" s="1"/>
  <c r="Y2" i="38"/>
  <c r="Y42" i="38" s="1"/>
  <c r="Y43" i="38" s="1"/>
  <c r="Y84" i="38" s="1"/>
  <c r="Y2" i="50"/>
  <c r="Y42" i="50" s="1"/>
  <c r="Y43" i="50" s="1"/>
  <c r="Y84" i="50" s="1"/>
  <c r="Y2" i="13"/>
  <c r="Y42" i="13" s="1"/>
  <c r="Y43" i="13" s="1"/>
  <c r="Y84" i="13" s="1"/>
  <c r="Y2" i="12"/>
  <c r="Y43" i="12" s="1"/>
  <c r="Y44" i="12" s="1"/>
  <c r="Y85" i="12" s="1"/>
  <c r="Z2" i="47"/>
  <c r="Z43" i="47" s="1"/>
  <c r="Z44" i="47" s="1"/>
  <c r="Z85" i="47" s="1"/>
  <c r="Z2" i="45"/>
  <c r="Z43" i="45" s="1"/>
  <c r="Z44" i="45" s="1"/>
  <c r="Z85" i="45" s="1"/>
  <c r="Z2" i="15"/>
  <c r="Z42" i="15" s="1"/>
  <c r="Z43" i="15" s="1"/>
  <c r="Z84" i="15" s="1"/>
  <c r="Z2" i="43"/>
  <c r="Z42" i="43" s="1"/>
  <c r="Z43" i="43" s="1"/>
  <c r="Z84" i="43" s="1"/>
  <c r="AA2" i="13"/>
  <c r="AA42" i="13" s="1"/>
  <c r="AA43" i="13" s="1"/>
  <c r="AA84" i="13" s="1"/>
  <c r="AA2" i="23"/>
  <c r="AA43" i="23"/>
  <c r="AA44" i="23" s="1"/>
  <c r="AA85" i="23" s="1"/>
  <c r="AA2" i="12"/>
  <c r="AA43" i="12" s="1"/>
  <c r="AA44" i="12" s="1"/>
  <c r="AA85" i="12" s="1"/>
  <c r="AB2" i="11"/>
  <c r="AB42" i="11" s="1"/>
  <c r="AB43" i="11" s="1"/>
  <c r="AB84" i="11" s="1"/>
  <c r="AB2" i="38"/>
  <c r="AB42" i="38" s="1"/>
  <c r="AB43" i="38" s="1"/>
  <c r="AB84" i="38" s="1"/>
  <c r="AB2" i="15"/>
  <c r="AB42" i="15" s="1"/>
  <c r="AB43" i="15" s="1"/>
  <c r="AB84" i="15" s="1"/>
  <c r="AB2" i="43"/>
  <c r="AB42" i="43" s="1"/>
  <c r="AB43" i="43" s="1"/>
  <c r="AB84" i="43" s="1"/>
  <c r="AC2" i="43"/>
  <c r="AC42" i="43" s="1"/>
  <c r="AC43" i="43" s="1"/>
  <c r="AC84" i="43" s="1"/>
  <c r="AC2" i="38"/>
  <c r="AC42" i="38" s="1"/>
  <c r="AC43" i="38" s="1"/>
  <c r="AC84" i="38" s="1"/>
  <c r="AC2" i="15"/>
  <c r="AC42" i="15" s="1"/>
  <c r="AC43" i="15" s="1"/>
  <c r="AC84" i="15" s="1"/>
  <c r="AC2" i="13"/>
  <c r="AC42" i="13" s="1"/>
  <c r="AC43" i="13" s="1"/>
  <c r="AC84" i="13" s="1"/>
  <c r="AC2" i="11"/>
  <c r="AC42" i="11" s="1"/>
  <c r="AC43" i="11" s="1"/>
  <c r="AC84" i="11" s="1"/>
  <c r="AC2" i="12"/>
  <c r="AC43" i="12" s="1"/>
  <c r="AC44" i="12" s="1"/>
  <c r="AC85" i="12" s="1"/>
  <c r="AC2" i="58"/>
  <c r="AC43" i="58" s="1"/>
  <c r="AC44" i="58" s="1"/>
  <c r="AC85" i="58" s="1"/>
  <c r="P2" i="43"/>
  <c r="AC2" i="47"/>
  <c r="AC43" i="47" s="1"/>
  <c r="AC44" i="47" s="1"/>
  <c r="AC85" i="47" s="1"/>
  <c r="AC2" i="50"/>
  <c r="AC42" i="50" s="1"/>
  <c r="AC43" i="50" s="1"/>
  <c r="AC84" i="50" s="1"/>
  <c r="P2" i="15"/>
  <c r="P42" i="15" s="1"/>
  <c r="AC2" i="45"/>
  <c r="AC43" i="45" s="1"/>
  <c r="AC44" i="45" s="1"/>
  <c r="AC85" i="45" s="1"/>
  <c r="P2" i="13"/>
  <c r="P42" i="13" s="1"/>
  <c r="AC2" i="10"/>
  <c r="AC42" i="10" s="1"/>
  <c r="AC43" i="10" s="1"/>
  <c r="AC84" i="10" s="1"/>
  <c r="AC2" i="23"/>
  <c r="AC43" i="23" s="1"/>
  <c r="AC44" i="23" s="1"/>
  <c r="AC85" i="23" s="1"/>
  <c r="P2" i="61"/>
  <c r="P42" i="61" s="1"/>
  <c r="P2" i="23"/>
  <c r="P43" i="23"/>
  <c r="P2" i="47"/>
  <c r="P43" i="47" s="1"/>
  <c r="P2" i="38"/>
  <c r="P42" i="38" s="1"/>
  <c r="P2" i="58"/>
  <c r="P43" i="58" s="1"/>
  <c r="P2" i="50"/>
  <c r="P42" i="50" s="1"/>
  <c r="P2" i="10"/>
  <c r="P42" i="10" s="1"/>
  <c r="W12" i="23"/>
  <c r="W57" i="23" s="1"/>
  <c r="Y12" i="23"/>
  <c r="Y57" i="23" s="1"/>
  <c r="AA12" i="23"/>
  <c r="AA57" i="23" s="1"/>
  <c r="AC12" i="23"/>
  <c r="AC57" i="23" s="1"/>
  <c r="AB12" i="23"/>
  <c r="AB57" i="23" s="1"/>
  <c r="P12" i="23"/>
  <c r="P57" i="23" s="1"/>
  <c r="P12" i="10"/>
  <c r="P56" i="10" s="1"/>
  <c r="V8" i="11"/>
  <c r="V52" i="11" s="1"/>
  <c r="W8" i="11"/>
  <c r="W52" i="11" s="1"/>
  <c r="X8" i="11"/>
  <c r="X52" i="11" s="1"/>
  <c r="W2" i="11"/>
  <c r="W42" i="11"/>
  <c r="W43" i="11" s="1"/>
  <c r="W84" i="11" s="1"/>
  <c r="P8" i="10"/>
  <c r="P52" i="10" s="1"/>
  <c r="P8" i="11"/>
  <c r="P52" i="11" s="1"/>
  <c r="V2" i="11"/>
  <c r="V42" i="11"/>
  <c r="V43" i="11" s="1"/>
  <c r="V84" i="11" s="1"/>
  <c r="X2" i="11"/>
  <c r="X42" i="11" s="1"/>
  <c r="X43" i="11" s="1"/>
  <c r="X84" i="11" s="1"/>
  <c r="Q5" i="45"/>
  <c r="Q47" i="45" s="1"/>
  <c r="S4" i="45"/>
  <c r="S46" i="45" s="1"/>
  <c r="R6" i="45"/>
  <c r="R48" i="45"/>
  <c r="S5" i="45"/>
  <c r="S47" i="45" s="1"/>
  <c r="Q4" i="45"/>
  <c r="Q46" i="45" s="1"/>
  <c r="S7" i="45"/>
  <c r="S49" i="45" s="1"/>
  <c r="R4" i="45"/>
  <c r="R46" i="45" s="1"/>
  <c r="Q6" i="45"/>
  <c r="Q48" i="45" s="1"/>
  <c r="R7" i="45"/>
  <c r="R49" i="45"/>
  <c r="R5" i="45"/>
  <c r="R47" i="45" s="1"/>
  <c r="Q7" i="45"/>
  <c r="Q49" i="45"/>
  <c r="S6" i="45"/>
  <c r="S48" i="45" s="1"/>
  <c r="V4" i="45"/>
  <c r="V46" i="45" s="1"/>
  <c r="V5" i="45"/>
  <c r="V47" i="45"/>
  <c r="W4" i="45"/>
  <c r="W46" i="45" s="1"/>
  <c r="X4" i="45"/>
  <c r="X46" i="45" s="1"/>
  <c r="V7" i="45"/>
  <c r="V49" i="45" s="1"/>
  <c r="V6" i="45"/>
  <c r="V48" i="45" s="1"/>
  <c r="P4" i="45"/>
  <c r="P46" i="45" s="1"/>
  <c r="W6" i="45"/>
  <c r="W48" i="45" s="1"/>
  <c r="W5" i="45"/>
  <c r="W47" i="45"/>
  <c r="X5" i="45"/>
  <c r="X47" i="45" s="1"/>
  <c r="W7" i="45"/>
  <c r="W49" i="45" s="1"/>
  <c r="P5" i="45"/>
  <c r="P47" i="45" s="1"/>
  <c r="X6" i="45"/>
  <c r="X48" i="45" s="1"/>
  <c r="X7" i="45"/>
  <c r="X49" i="45"/>
  <c r="P6" i="45"/>
  <c r="P48" i="45" s="1"/>
  <c r="P7" i="45"/>
  <c r="P49" i="45" s="1"/>
  <c r="R3" i="45"/>
  <c r="R45" i="45"/>
  <c r="Q3" i="45"/>
  <c r="Q45" i="45" s="1"/>
  <c r="S3" i="45"/>
  <c r="S45" i="45" s="1"/>
  <c r="X3" i="45"/>
  <c r="X45" i="45" s="1"/>
  <c r="W3" i="45"/>
  <c r="W45" i="45" s="1"/>
  <c r="V3" i="45"/>
  <c r="V45" i="45" s="1"/>
  <c r="P3" i="45"/>
  <c r="P45" i="45"/>
  <c r="P2" i="45"/>
  <c r="P43" i="45" s="1"/>
  <c r="P44" i="45" s="1"/>
  <c r="P85" i="45" s="1"/>
  <c r="Q3" i="23"/>
  <c r="Q45" i="23" s="1"/>
  <c r="R3" i="23"/>
  <c r="R45" i="23" s="1"/>
  <c r="S3" i="23"/>
  <c r="S45" i="23" s="1"/>
  <c r="P3" i="23"/>
  <c r="P45" i="23"/>
  <c r="R6" i="23"/>
  <c r="R48" i="23" s="1"/>
  <c r="S6" i="23"/>
  <c r="S48" i="23" s="1"/>
  <c r="Q7" i="23"/>
  <c r="Q49" i="23" s="1"/>
  <c r="Q6" i="23"/>
  <c r="Q48" i="23" s="1"/>
  <c r="P6" i="23"/>
  <c r="P48" i="23" s="1"/>
  <c r="R7" i="23"/>
  <c r="R49" i="23"/>
  <c r="Q5" i="23"/>
  <c r="Q47" i="23" s="1"/>
  <c r="P6" i="10"/>
  <c r="P47" i="10" s="1"/>
  <c r="S7" i="23"/>
  <c r="S49" i="23" s="1"/>
  <c r="R5" i="23"/>
  <c r="R47" i="23" s="1"/>
  <c r="S5" i="23"/>
  <c r="S47" i="23" s="1"/>
  <c r="P5" i="23"/>
  <c r="P47" i="23" s="1"/>
  <c r="P7" i="23"/>
  <c r="P49" i="23" s="1"/>
  <c r="P7" i="10"/>
  <c r="P48" i="10" s="1"/>
  <c r="P5" i="10"/>
  <c r="P46" i="10" s="1"/>
  <c r="Q4" i="23"/>
  <c r="Q46" i="23" s="1"/>
  <c r="R4" i="23"/>
  <c r="R46" i="23"/>
  <c r="S4" i="23"/>
  <c r="S46" i="23" s="1"/>
  <c r="P4" i="10"/>
  <c r="P45" i="10" s="1"/>
  <c r="P4" i="23"/>
  <c r="P46" i="23" s="1"/>
  <c r="P2" i="11"/>
  <c r="P42" i="11" s="1"/>
  <c r="P3" i="10"/>
  <c r="P44" i="10"/>
  <c r="P2" i="12"/>
  <c r="P43" i="12" s="1"/>
  <c r="C78" i="18" l="1"/>
  <c r="C50" i="18"/>
  <c r="B55" i="10"/>
  <c r="C18" i="60" s="1"/>
  <c r="B54" i="47"/>
  <c r="M32" i="18" s="1"/>
  <c r="AP160" i="18" s="1"/>
  <c r="B54" i="11"/>
  <c r="D33" i="18" s="1"/>
  <c r="AP28" i="18" s="1"/>
  <c r="B56" i="43"/>
  <c r="B56" i="11"/>
  <c r="D19" i="60" s="1"/>
  <c r="B47" i="12"/>
  <c r="E25" i="18" s="1"/>
  <c r="AP33" i="18" s="1"/>
  <c r="B45" i="13"/>
  <c r="B54" i="45"/>
  <c r="L16" i="60" s="1"/>
  <c r="B45" i="50"/>
  <c r="N24" i="18" s="1"/>
  <c r="AP165" i="18" s="1"/>
  <c r="B49" i="47"/>
  <c r="M27" i="18" s="1"/>
  <c r="AP155" i="18" s="1"/>
  <c r="B55" i="38"/>
  <c r="B46" i="11"/>
  <c r="D25" i="18" s="1"/>
  <c r="AP20" i="18" s="1"/>
  <c r="C79" i="18"/>
  <c r="C60" i="18"/>
  <c r="B46" i="50"/>
  <c r="B45" i="43"/>
  <c r="K8" i="60" s="1"/>
  <c r="AD43" i="10"/>
  <c r="AD84" i="10" s="1"/>
  <c r="B42" i="10"/>
  <c r="B45" i="58"/>
  <c r="O23" i="18" s="1"/>
  <c r="AP177" i="18" s="1"/>
  <c r="B54" i="12"/>
  <c r="E16" i="60" s="1"/>
  <c r="B56" i="38"/>
  <c r="I35" i="18" s="1"/>
  <c r="AP111" i="18" s="1"/>
  <c r="B48" i="15"/>
  <c r="G27" i="18" s="1"/>
  <c r="AP64" i="18" s="1"/>
  <c r="B56" i="50"/>
  <c r="B56" i="13"/>
  <c r="F35" i="18" s="1"/>
  <c r="AP59" i="18" s="1"/>
  <c r="B55" i="13"/>
  <c r="F34" i="18" s="1"/>
  <c r="AP58" i="18" s="1"/>
  <c r="B44" i="13"/>
  <c r="F23" i="18" s="1"/>
  <c r="AP47" i="18" s="1"/>
  <c r="B44" i="50"/>
  <c r="N23" i="18" s="1"/>
  <c r="AP164" i="18" s="1"/>
  <c r="B45" i="12"/>
  <c r="E7" i="60" s="1"/>
  <c r="B48" i="43"/>
  <c r="K27" i="18" s="1"/>
  <c r="AP129" i="18" s="1"/>
  <c r="B56" i="45"/>
  <c r="L18" i="60" s="1"/>
  <c r="B54" i="50"/>
  <c r="B48" i="13"/>
  <c r="F27" i="18" s="1"/>
  <c r="AP51" i="18" s="1"/>
  <c r="B49" i="12"/>
  <c r="E11" i="60" s="1"/>
  <c r="B52" i="43"/>
  <c r="K31" i="18" s="1"/>
  <c r="AP133" i="18" s="1"/>
  <c r="B53" i="23"/>
  <c r="H15" i="60" s="1"/>
  <c r="B55" i="45"/>
  <c r="L33" i="18" s="1"/>
  <c r="AP148" i="18" s="1"/>
  <c r="B57" i="45"/>
  <c r="L19" i="60" s="1"/>
  <c r="B52" i="38"/>
  <c r="I31" i="18" s="1"/>
  <c r="AP107" i="18" s="1"/>
  <c r="C71" i="18"/>
  <c r="C68" i="18"/>
  <c r="C76" i="18"/>
  <c r="B49" i="58"/>
  <c r="O11" i="60" s="1"/>
  <c r="B48" i="58"/>
  <c r="O10" i="60" s="1"/>
  <c r="B47" i="58"/>
  <c r="O25" i="18" s="1"/>
  <c r="AP179" i="18" s="1"/>
  <c r="B46" i="58"/>
  <c r="O8" i="60" s="1"/>
  <c r="B57" i="58"/>
  <c r="O19" i="60" s="1"/>
  <c r="B53" i="58"/>
  <c r="B56" i="58"/>
  <c r="O18" i="60" s="1"/>
  <c r="B54" i="58"/>
  <c r="O32" i="18" s="1"/>
  <c r="AP186" i="18" s="1"/>
  <c r="B55" i="58"/>
  <c r="O17" i="60" s="1"/>
  <c r="B47" i="50"/>
  <c r="N26" i="18" s="1"/>
  <c r="AP167" i="18" s="1"/>
  <c r="B55" i="50"/>
  <c r="N34" i="18" s="1"/>
  <c r="AP175" i="18" s="1"/>
  <c r="B52" i="50"/>
  <c r="N15" i="60" s="1"/>
  <c r="B53" i="50"/>
  <c r="N16" i="60" s="1"/>
  <c r="B48" i="50"/>
  <c r="N11" i="60" s="1"/>
  <c r="B53" i="47"/>
  <c r="M15" i="60" s="1"/>
  <c r="B48" i="47"/>
  <c r="M26" i="18" s="1"/>
  <c r="AP154" i="18" s="1"/>
  <c r="B55" i="47"/>
  <c r="M17" i="60" s="1"/>
  <c r="B57" i="47"/>
  <c r="M35" i="18" s="1"/>
  <c r="AP163" i="18" s="1"/>
  <c r="B47" i="47"/>
  <c r="M25" i="18" s="1"/>
  <c r="AP153" i="18" s="1"/>
  <c r="B56" i="47"/>
  <c r="M34" i="18" s="1"/>
  <c r="AP162" i="18" s="1"/>
  <c r="B46" i="47"/>
  <c r="M8" i="60" s="1"/>
  <c r="B45" i="47"/>
  <c r="M23" i="18" s="1"/>
  <c r="AP151" i="18" s="1"/>
  <c r="B46" i="45"/>
  <c r="B49" i="45"/>
  <c r="L11" i="60" s="1"/>
  <c r="B48" i="45"/>
  <c r="L26" i="18" s="1"/>
  <c r="AP141" i="18" s="1"/>
  <c r="B53" i="45"/>
  <c r="L31" i="18" s="1"/>
  <c r="AP146" i="18" s="1"/>
  <c r="B47" i="45"/>
  <c r="L9" i="60" s="1"/>
  <c r="B55" i="43"/>
  <c r="K18" i="60" s="1"/>
  <c r="B53" i="43"/>
  <c r="K16" i="60" s="1"/>
  <c r="B54" i="43"/>
  <c r="K33" i="18" s="1"/>
  <c r="AP135" i="18" s="1"/>
  <c r="B46" i="43"/>
  <c r="B44" i="43"/>
  <c r="K23" i="18" s="1"/>
  <c r="AP125" i="18" s="1"/>
  <c r="B47" i="43"/>
  <c r="K26" i="18" s="1"/>
  <c r="AP128" i="18" s="1"/>
  <c r="B42" i="61"/>
  <c r="B44" i="61"/>
  <c r="J23" i="18" s="1"/>
  <c r="AP112" i="18" s="1"/>
  <c r="B54" i="61"/>
  <c r="J33" i="18" s="1"/>
  <c r="AP122" i="18" s="1"/>
  <c r="B47" i="61"/>
  <c r="J10" i="60" s="1"/>
  <c r="B46" i="61"/>
  <c r="J9" i="60" s="1"/>
  <c r="B48" i="38"/>
  <c r="I11" i="60" s="1"/>
  <c r="B53" i="38"/>
  <c r="I32" i="18" s="1"/>
  <c r="AP108" i="18" s="1"/>
  <c r="B47" i="38"/>
  <c r="I10" i="60" s="1"/>
  <c r="B45" i="38"/>
  <c r="I24" i="18" s="1"/>
  <c r="AP100" i="18" s="1"/>
  <c r="B54" i="38"/>
  <c r="I17" i="60" s="1"/>
  <c r="B44" i="38"/>
  <c r="I7" i="60" s="1"/>
  <c r="B46" i="38"/>
  <c r="I9" i="60" s="1"/>
  <c r="B57" i="23"/>
  <c r="H19" i="60" s="1"/>
  <c r="B54" i="23"/>
  <c r="H32" i="18" s="1"/>
  <c r="AP95" i="18" s="1"/>
  <c r="B56" i="23"/>
  <c r="B55" i="23"/>
  <c r="H17" i="60" s="1"/>
  <c r="B44" i="15"/>
  <c r="G7" i="60" s="1"/>
  <c r="B53" i="15"/>
  <c r="G32" i="18" s="1"/>
  <c r="AP69" i="18" s="1"/>
  <c r="B55" i="15"/>
  <c r="G34" i="18" s="1"/>
  <c r="AP71" i="18" s="1"/>
  <c r="B54" i="15"/>
  <c r="G17" i="60" s="1"/>
  <c r="B56" i="15"/>
  <c r="G35" i="18" s="1"/>
  <c r="AP72" i="18" s="1"/>
  <c r="B47" i="15"/>
  <c r="G26" i="18" s="1"/>
  <c r="AP63" i="18" s="1"/>
  <c r="B45" i="15"/>
  <c r="G8" i="60" s="1"/>
  <c r="B53" i="13"/>
  <c r="F16" i="60" s="1"/>
  <c r="B46" i="13"/>
  <c r="B47" i="13"/>
  <c r="F10" i="60" s="1"/>
  <c r="B54" i="13"/>
  <c r="F17" i="60" s="1"/>
  <c r="B42" i="13"/>
  <c r="B52" i="13"/>
  <c r="F15" i="60" s="1"/>
  <c r="B57" i="12"/>
  <c r="E19" i="60" s="1"/>
  <c r="B55" i="12"/>
  <c r="E33" i="18" s="1"/>
  <c r="AP44" i="18" s="1"/>
  <c r="B48" i="12"/>
  <c r="E10" i="60" s="1"/>
  <c r="B56" i="12"/>
  <c r="E34" i="18" s="1"/>
  <c r="AP45" i="18" s="1"/>
  <c r="B46" i="12"/>
  <c r="E24" i="18" s="1"/>
  <c r="AP32" i="18" s="1"/>
  <c r="B55" i="11"/>
  <c r="D18" i="60" s="1"/>
  <c r="B45" i="11"/>
  <c r="D24" i="18" s="1"/>
  <c r="AP19" i="18" s="1"/>
  <c r="B52" i="11"/>
  <c r="D31" i="18" s="1"/>
  <c r="AP26" i="18" s="1"/>
  <c r="B53" i="11"/>
  <c r="D32" i="18" s="1"/>
  <c r="AP27" i="18" s="1"/>
  <c r="B44" i="11"/>
  <c r="D23" i="18" s="1"/>
  <c r="AP18" i="18" s="1"/>
  <c r="B48" i="11"/>
  <c r="D27" i="18" s="1"/>
  <c r="AP22" i="18" s="1"/>
  <c r="B47" i="11"/>
  <c r="D10" i="60" s="1"/>
  <c r="B46" i="10"/>
  <c r="C9" i="60" s="1"/>
  <c r="B53" i="10"/>
  <c r="C16" i="60" s="1"/>
  <c r="B48" i="10"/>
  <c r="C27" i="18" s="1"/>
  <c r="AP9" i="18" s="1"/>
  <c r="B45" i="10"/>
  <c r="C24" i="18" s="1"/>
  <c r="AP6" i="18" s="1"/>
  <c r="B52" i="10"/>
  <c r="C15" i="60" s="1"/>
  <c r="B56" i="10"/>
  <c r="C35" i="18" s="1"/>
  <c r="AP17" i="18" s="1"/>
  <c r="B47" i="10"/>
  <c r="C26" i="18" s="1"/>
  <c r="AP8" i="18" s="1"/>
  <c r="B44" i="10"/>
  <c r="C23" i="18" s="1"/>
  <c r="AP5" i="18" s="1"/>
  <c r="B54" i="10"/>
  <c r="C17" i="60" s="1"/>
  <c r="H31" i="18"/>
  <c r="AP94" i="18" s="1"/>
  <c r="D35" i="18"/>
  <c r="AP30" i="18" s="1"/>
  <c r="E15" i="60"/>
  <c r="P43" i="61"/>
  <c r="P84" i="61" s="1"/>
  <c r="C84" i="61" s="1"/>
  <c r="P43" i="13"/>
  <c r="P84" i="13" s="1"/>
  <c r="C84" i="13" s="1"/>
  <c r="C88" i="13" s="1"/>
  <c r="B46" i="15"/>
  <c r="B52" i="15"/>
  <c r="G15" i="60" s="1"/>
  <c r="B43" i="45"/>
  <c r="B44" i="45"/>
  <c r="L25" i="59" s="1"/>
  <c r="AL77" i="59" s="1"/>
  <c r="B47" i="23"/>
  <c r="H25" i="18" s="1"/>
  <c r="AP88" i="18" s="1"/>
  <c r="B43" i="23"/>
  <c r="B45" i="23"/>
  <c r="H7" i="60" s="1"/>
  <c r="J34" i="18"/>
  <c r="AP123" i="18" s="1"/>
  <c r="J24" i="18"/>
  <c r="AP113" i="18" s="1"/>
  <c r="J31" i="18"/>
  <c r="AP120" i="18" s="1"/>
  <c r="B49" i="23"/>
  <c r="H11" i="60" s="1"/>
  <c r="B45" i="45"/>
  <c r="P43" i="10"/>
  <c r="P84" i="10" s="1"/>
  <c r="B43" i="12"/>
  <c r="P44" i="12"/>
  <c r="P85" i="12" s="1"/>
  <c r="B46" i="23"/>
  <c r="B48" i="23"/>
  <c r="B42" i="50"/>
  <c r="P43" i="50"/>
  <c r="P84" i="50" s="1"/>
  <c r="P43" i="11"/>
  <c r="P84" i="11" s="1"/>
  <c r="B43" i="58"/>
  <c r="P44" i="58"/>
  <c r="P85" i="58" s="1"/>
  <c r="L24" i="18"/>
  <c r="AP139" i="18" s="1"/>
  <c r="L8" i="60"/>
  <c r="H35" i="18"/>
  <c r="AP98" i="18" s="1"/>
  <c r="P43" i="15"/>
  <c r="P84" i="15" s="1"/>
  <c r="B42" i="15"/>
  <c r="B42" i="38"/>
  <c r="P43" i="38"/>
  <c r="P84" i="38" s="1"/>
  <c r="P44" i="47"/>
  <c r="P85" i="47" s="1"/>
  <c r="B43" i="47"/>
  <c r="C85" i="45"/>
  <c r="C89" i="45" s="1"/>
  <c r="P44" i="23"/>
  <c r="P85" i="23" s="1"/>
  <c r="F8" i="60"/>
  <c r="F24" i="18"/>
  <c r="AP48" i="18" s="1"/>
  <c r="D16" i="60"/>
  <c r="N19" i="60"/>
  <c r="N35" i="18"/>
  <c r="AP176" i="18" s="1"/>
  <c r="H16" i="60"/>
  <c r="K19" i="60"/>
  <c r="K35" i="18"/>
  <c r="AP137" i="18" s="1"/>
  <c r="K34" i="18"/>
  <c r="AP136" i="18" s="1"/>
  <c r="C34" i="18"/>
  <c r="AP16" i="18" s="1"/>
  <c r="G10" i="60"/>
  <c r="N27" i="18"/>
  <c r="AP168" i="18" s="1"/>
  <c r="E35" i="18"/>
  <c r="AP46" i="18" s="1"/>
  <c r="F7" i="60"/>
  <c r="J19" i="60"/>
  <c r="J35" i="18"/>
  <c r="AP124" i="18" s="1"/>
  <c r="I34" i="18"/>
  <c r="AP110" i="18" s="1"/>
  <c r="I18" i="60"/>
  <c r="L32" i="18"/>
  <c r="AP147" i="18" s="1"/>
  <c r="N17" i="60"/>
  <c r="N33" i="18"/>
  <c r="AP174" i="18" s="1"/>
  <c r="N9" i="60"/>
  <c r="N25" i="18"/>
  <c r="AP166" i="18" s="1"/>
  <c r="N8" i="60"/>
  <c r="J27" i="18"/>
  <c r="AP116" i="18" s="1"/>
  <c r="C56" i="18"/>
  <c r="C75" i="18"/>
  <c r="O26" i="18"/>
  <c r="AP180" i="18" s="1"/>
  <c r="I23" i="18"/>
  <c r="AP99" i="18" s="1"/>
  <c r="K25" i="18"/>
  <c r="AP127" i="18" s="1"/>
  <c r="K9" i="60"/>
  <c r="J32" i="18"/>
  <c r="AP121" i="18" s="1"/>
  <c r="O31" i="18"/>
  <c r="AP185" i="18" s="1"/>
  <c r="O15" i="60"/>
  <c r="K17" i="60"/>
  <c r="D17" i="60"/>
  <c r="C48" i="18"/>
  <c r="O7" i="60"/>
  <c r="M11" i="60" l="1"/>
  <c r="I15" i="60"/>
  <c r="L34" i="18"/>
  <c r="AP149" i="18" s="1"/>
  <c r="O27" i="18"/>
  <c r="AP181" i="18" s="1"/>
  <c r="I19" i="60"/>
  <c r="O33" i="18"/>
  <c r="AP187" i="18" s="1"/>
  <c r="M33" i="18"/>
  <c r="AP161" i="18" s="1"/>
  <c r="K15" i="60"/>
  <c r="M16" i="60"/>
  <c r="F18" i="60"/>
  <c r="C32" i="18"/>
  <c r="AP14" i="18" s="1"/>
  <c r="E9" i="60"/>
  <c r="K24" i="18"/>
  <c r="AP126" i="18" s="1"/>
  <c r="D34" i="18"/>
  <c r="AP29" i="18" s="1"/>
  <c r="G11" i="60"/>
  <c r="B43" i="61"/>
  <c r="E23" i="18"/>
  <c r="AP31" i="18" s="1"/>
  <c r="D9" i="60"/>
  <c r="J17" i="60"/>
  <c r="F33" i="18"/>
  <c r="AP57" i="18" s="1"/>
  <c r="G18" i="60"/>
  <c r="E27" i="18"/>
  <c r="AP35" i="18" s="1"/>
  <c r="F19" i="60"/>
  <c r="K11" i="60"/>
  <c r="L35" i="18"/>
  <c r="AP150" i="18" s="1"/>
  <c r="N31" i="18"/>
  <c r="AP172" i="18" s="1"/>
  <c r="L17" i="60"/>
  <c r="B43" i="13"/>
  <c r="F25" i="59" s="1"/>
  <c r="AL28" i="59" s="1"/>
  <c r="C31" i="18"/>
  <c r="AP13" i="18" s="1"/>
  <c r="I27" i="18"/>
  <c r="AP103" i="18" s="1"/>
  <c r="G33" i="18"/>
  <c r="AP70" i="18" s="1"/>
  <c r="E32" i="18"/>
  <c r="AP43" i="18" s="1"/>
  <c r="F11" i="60"/>
  <c r="N7" i="60"/>
  <c r="I25" i="18"/>
  <c r="AP101" i="18" s="1"/>
  <c r="K32" i="18"/>
  <c r="AP134" i="18" s="1"/>
  <c r="M9" i="60"/>
  <c r="D11" i="60"/>
  <c r="G23" i="18"/>
  <c r="AP60" i="18" s="1"/>
  <c r="D15" i="60"/>
  <c r="N10" i="60"/>
  <c r="I16" i="60"/>
  <c r="E17" i="60"/>
  <c r="N18" i="60"/>
  <c r="J26" i="18"/>
  <c r="AP115" i="18" s="1"/>
  <c r="C11" i="60"/>
  <c r="O9" i="60"/>
  <c r="L10" i="60"/>
  <c r="O34" i="18"/>
  <c r="AP188" i="18" s="1"/>
  <c r="F32" i="18"/>
  <c r="AP56" i="18" s="1"/>
  <c r="M19" i="60"/>
  <c r="G24" i="18"/>
  <c r="AP61" i="18" s="1"/>
  <c r="O24" i="18"/>
  <c r="AP178" i="18" s="1"/>
  <c r="I8" i="60"/>
  <c r="H9" i="60"/>
  <c r="E18" i="60"/>
  <c r="N32" i="18"/>
  <c r="AP173" i="18" s="1"/>
  <c r="G31" i="18"/>
  <c r="AP68" i="18" s="1"/>
  <c r="C19" i="60"/>
  <c r="F26" i="18"/>
  <c r="AP50" i="18" s="1"/>
  <c r="J7" i="60"/>
  <c r="J25" i="59"/>
  <c r="AL63" i="59" s="1"/>
  <c r="O35" i="18"/>
  <c r="AP189" i="18" s="1"/>
  <c r="E8" i="60"/>
  <c r="C33" i="18"/>
  <c r="AP15" i="18" s="1"/>
  <c r="G19" i="60"/>
  <c r="G16" i="60"/>
  <c r="F31" i="18"/>
  <c r="AP55" i="18" s="1"/>
  <c r="I33" i="18"/>
  <c r="AP109" i="18" s="1"/>
  <c r="M24" i="18"/>
  <c r="AP152" i="18" s="1"/>
  <c r="C8" i="60"/>
  <c r="H23" i="18"/>
  <c r="AP86" i="18" s="1"/>
  <c r="H33" i="18"/>
  <c r="AP96" i="18" s="1"/>
  <c r="I26" i="18"/>
  <c r="AP102" i="18" s="1"/>
  <c r="K10" i="60"/>
  <c r="C25" i="18"/>
  <c r="AP7" i="18" s="1"/>
  <c r="D8" i="60"/>
  <c r="J25" i="18"/>
  <c r="AP114" i="18" s="1"/>
  <c r="E26" i="18"/>
  <c r="AP34" i="18" s="1"/>
  <c r="O16" i="60"/>
  <c r="M10" i="60"/>
  <c r="M31" i="18"/>
  <c r="AP159" i="18" s="1"/>
  <c r="M7" i="60"/>
  <c r="M18" i="60"/>
  <c r="L25" i="18"/>
  <c r="AP140" i="18" s="1"/>
  <c r="L15" i="60"/>
  <c r="R15" i="60" s="1"/>
  <c r="L27" i="18"/>
  <c r="AP142" i="18" s="1"/>
  <c r="K7" i="60"/>
  <c r="H34" i="18"/>
  <c r="AP97" i="18" s="1"/>
  <c r="H18" i="60"/>
  <c r="F9" i="60"/>
  <c r="F25" i="18"/>
  <c r="AP49" i="18" s="1"/>
  <c r="D7" i="60"/>
  <c r="D26" i="18"/>
  <c r="AP21" i="18" s="1"/>
  <c r="C10" i="60"/>
  <c r="C7" i="60"/>
  <c r="Q17" i="60"/>
  <c r="G9" i="60"/>
  <c r="G25" i="18"/>
  <c r="AP62" i="18" s="1"/>
  <c r="H27" i="18"/>
  <c r="AP90" i="18" s="1"/>
  <c r="P17" i="60"/>
  <c r="F16" i="7"/>
  <c r="E16" i="7" s="1"/>
  <c r="J12" i="7"/>
  <c r="F10" i="7"/>
  <c r="E10" i="7" s="1"/>
  <c r="J15" i="7"/>
  <c r="R17" i="60"/>
  <c r="B43" i="15"/>
  <c r="G25" i="59" s="1"/>
  <c r="AL35" i="59" s="1"/>
  <c r="C84" i="15"/>
  <c r="C88" i="15" s="1"/>
  <c r="B43" i="50"/>
  <c r="N25" i="59" s="1"/>
  <c r="AL91" i="59" s="1"/>
  <c r="C84" i="50"/>
  <c r="C88" i="50" s="1"/>
  <c r="B43" i="10"/>
  <c r="C25" i="59" s="1"/>
  <c r="AL7" i="59" s="1"/>
  <c r="C84" i="10"/>
  <c r="C88" i="10" s="1"/>
  <c r="H10" i="60"/>
  <c r="H26" i="18"/>
  <c r="AP89" i="18" s="1"/>
  <c r="L23" i="18"/>
  <c r="AP138" i="18" s="1"/>
  <c r="L7" i="60"/>
  <c r="B44" i="47"/>
  <c r="M25" i="59" s="1"/>
  <c r="AL84" i="59" s="1"/>
  <c r="C85" i="47"/>
  <c r="C89" i="47" s="1"/>
  <c r="H8" i="60"/>
  <c r="H24" i="18"/>
  <c r="AP87" i="18" s="1"/>
  <c r="B44" i="23"/>
  <c r="H25" i="59" s="1"/>
  <c r="AL49" i="59" s="1"/>
  <c r="C42" i="59" s="1"/>
  <c r="C85" i="23"/>
  <c r="C89" i="23" s="1"/>
  <c r="C84" i="38"/>
  <c r="C88" i="38" s="1"/>
  <c r="B43" i="38"/>
  <c r="I25" i="59" s="1"/>
  <c r="AL56" i="59" s="1"/>
  <c r="B44" i="58"/>
  <c r="O25" i="59" s="1"/>
  <c r="AL98" i="59" s="1"/>
  <c r="C85" i="58"/>
  <c r="C89" i="58" s="1"/>
  <c r="B44" i="12"/>
  <c r="E25" i="59" s="1"/>
  <c r="AL21" i="59" s="1"/>
  <c r="C85" i="12"/>
  <c r="C89" i="12" s="1"/>
  <c r="E42" i="59" l="1"/>
  <c r="Q15" i="60"/>
  <c r="G42" i="59"/>
  <c r="P11" i="60"/>
  <c r="Q11" i="60"/>
  <c r="P15" i="60"/>
  <c r="P19" i="60"/>
  <c r="R11" i="60"/>
  <c r="O42" i="59"/>
  <c r="R19" i="60"/>
  <c r="R18" i="60"/>
  <c r="P16" i="60"/>
  <c r="Q19" i="60"/>
  <c r="W42" i="59"/>
  <c r="K42" i="59"/>
  <c r="M42" i="59"/>
  <c r="Q16" i="60"/>
  <c r="P8" i="60"/>
  <c r="Q42" i="59"/>
  <c r="R16" i="60"/>
  <c r="R9" i="60"/>
  <c r="P10" i="60"/>
  <c r="P18" i="60"/>
  <c r="Q18" i="60"/>
  <c r="P9" i="60"/>
  <c r="Q9" i="60"/>
  <c r="Q7" i="60"/>
  <c r="I42" i="59"/>
  <c r="P7" i="60"/>
  <c r="R7" i="60"/>
  <c r="R10" i="60"/>
  <c r="Q10" i="60"/>
  <c r="F17" i="7"/>
  <c r="E17" i="7" s="1"/>
  <c r="J16" i="7"/>
  <c r="R8" i="60"/>
  <c r="Q8" i="60"/>
  <c r="J11" i="7"/>
  <c r="F11" i="7"/>
  <c r="E11" i="7" s="1"/>
  <c r="F13" i="7"/>
  <c r="E13" i="7" s="1"/>
  <c r="J13" i="7"/>
  <c r="F9" i="7"/>
  <c r="E9" i="7" s="1"/>
  <c r="J17" i="7"/>
  <c r="F12" i="7"/>
  <c r="E12" i="7" s="1"/>
  <c r="J9" i="7"/>
  <c r="J8" i="7"/>
  <c r="F7" i="7"/>
  <c r="E7" i="7" s="1"/>
  <c r="J10" i="7"/>
  <c r="F19" i="7"/>
  <c r="E19" i="7" s="1"/>
  <c r="J14" i="7"/>
  <c r="F18" i="7"/>
  <c r="E18" i="7" s="1"/>
  <c r="I20" i="60" l="1"/>
  <c r="K20" i="60"/>
  <c r="F20" i="60"/>
  <c r="D20" i="60"/>
  <c r="H20" i="60"/>
  <c r="C20" i="60"/>
  <c r="G20" i="60"/>
  <c r="J20" i="60"/>
  <c r="E20" i="60"/>
  <c r="L20" i="60"/>
  <c r="O20" i="60"/>
  <c r="M20" i="60"/>
  <c r="N20" i="60"/>
  <c r="P42" i="43" l="1"/>
  <c r="P43" i="43" s="1"/>
  <c r="P84" i="43" s="1"/>
  <c r="T42" i="43"/>
  <c r="T43" i="43" s="1"/>
  <c r="T84" i="43" s="1"/>
  <c r="U42" i="43"/>
  <c r="U43" i="43" s="1"/>
  <c r="U84" i="43" s="1"/>
  <c r="S42" i="43"/>
  <c r="S43" i="43" s="1"/>
  <c r="S84" i="43" s="1"/>
  <c r="R42" i="43"/>
  <c r="R43" i="43" s="1"/>
  <c r="R84" i="43" s="1"/>
  <c r="O42" i="43"/>
  <c r="Q42" i="43"/>
  <c r="Q43" i="43" s="1"/>
  <c r="Q84" i="43" s="1"/>
  <c r="B42" i="43" l="1"/>
  <c r="O43" i="43"/>
  <c r="O84" i="43" s="1"/>
  <c r="C84" i="43" l="1"/>
  <c r="C88" i="43" s="1"/>
  <c r="B43" i="43"/>
  <c r="K25" i="59" s="1"/>
  <c r="AL70" i="59" s="1"/>
  <c r="Y42" i="59" l="1"/>
  <c r="AA42" i="59"/>
  <c r="F15" i="7"/>
  <c r="E15" i="7" s="1"/>
  <c r="J19" i="7"/>
  <c r="O42" i="11" l="1"/>
  <c r="B42" i="11" s="1"/>
  <c r="O43" i="11" l="1"/>
  <c r="O84" i="11" s="1"/>
  <c r="C84" i="11" l="1"/>
  <c r="C88" i="11" s="1"/>
  <c r="B43" i="11"/>
  <c r="D25" i="59" s="1"/>
  <c r="AL14" i="59" s="1"/>
  <c r="S42" i="59" l="1"/>
  <c r="U42" i="59"/>
  <c r="F8" i="7"/>
  <c r="E8" i="7" s="1"/>
  <c r="J18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Anilkumar, Rahul</author>
  </authors>
  <commentList>
    <comment ref="A3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 xml:space="preserve">In this spreadsheet all relevant benefits associated with project savings have been monetized and alternatives are ranked using their Cost-to-Benefit ratio performance. 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Anilkumar, Rahul</author>
  </authors>
  <commentList>
    <comment ref="C3" authorId="0" shapeId="0" xr:uid="{00000000-0006-0000-0500-000001000000}">
      <text>
        <r>
          <rPr>
            <sz val="9"/>
            <color indexed="81"/>
            <rFont val="Tahoma"/>
            <family val="2"/>
          </rPr>
          <t xml:space="preserve">
Sum of the EENS accumulated under N-1 condition, considering all outages in the system</t>
        </r>
      </text>
    </comment>
    <comment ref="C4" authorId="0" shapeId="0" xr:uid="{00000000-0006-0000-0500-000002000000}">
      <text>
        <r>
          <rPr>
            <sz val="9"/>
            <color indexed="81"/>
            <rFont val="Tahoma"/>
            <family val="2"/>
          </rPr>
          <t xml:space="preserve">
Representative of the peak MW load drop required while considering all outages</t>
        </r>
      </text>
    </comment>
    <comment ref="C5" authorId="0" shapeId="0" xr:uid="{00000000-0006-0000-0500-000003000000}">
      <text>
        <r>
          <rPr>
            <sz val="9"/>
            <color indexed="81"/>
            <rFont val="Tahoma"/>
            <family val="2"/>
          </rPr>
          <t xml:space="preserve">
Sum of total customers interrupted for all outages x number of outage hours/ total number of customers served.</t>
        </r>
      </text>
    </comment>
    <comment ref="C6" authorId="0" shapeId="0" xr:uid="{00000000-0006-0000-0500-000004000000}">
      <text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Sum of total hours customers were without power due to all outages/ total number of customers served.</t>
        </r>
      </text>
    </comment>
    <comment ref="C7" authorId="0" shapeId="0" xr:uid="{00000000-0006-0000-0500-000005000000}">
      <text>
        <r>
          <rPr>
            <sz val="9"/>
            <color indexed="81"/>
            <rFont val="Tahoma"/>
            <family val="2"/>
          </rPr>
          <t xml:space="preserve">
Periods with flexibility shortages in the system</t>
        </r>
      </text>
    </comment>
    <comment ref="C8" authorId="0" shapeId="0" xr:uid="{00000000-0006-0000-0500-000006000000}">
      <text>
        <r>
          <rPr>
            <sz val="9"/>
            <color indexed="81"/>
            <rFont val="Tahoma"/>
            <family val="2"/>
          </rPr>
          <t xml:space="preserve">
Sum of EENS accumulated due to N-0 overloads in the system (transformer and lines)</t>
        </r>
      </text>
    </comment>
    <comment ref="C13" authorId="0" shapeId="0" xr:uid="{00000000-0006-0000-0500-000007000000}">
      <text>
        <r>
          <rPr>
            <sz val="9"/>
            <color indexed="81"/>
            <rFont val="Tahoma"/>
            <family val="2"/>
          </rPr>
          <t xml:space="preserve">
Sum of EENS accumulated under N-2 events in the systems (emergency, planned or unplanned maintainence events)</t>
        </r>
      </text>
    </comment>
    <comment ref="C14" authorId="0" shapeId="0" xr:uid="{00000000-0006-0000-0500-000008000000}">
      <text>
        <r>
          <rPr>
            <sz val="9"/>
            <color indexed="81"/>
            <rFont val="Tahoma"/>
            <family val="2"/>
          </rPr>
          <t xml:space="preserve">
Sum of EENS accumulated under entire Valley substation outage (considered over 2 week period)
</t>
        </r>
      </text>
    </comment>
    <comment ref="C15" authorId="0" shapeId="0" xr:uid="{00000000-0006-0000-0500-000009000000}">
      <text>
        <r>
          <rPr>
            <sz val="9"/>
            <color indexed="81"/>
            <rFont val="Tahoma"/>
            <family val="2"/>
          </rPr>
          <t xml:space="preserve">
Sum of EENS accumulated considering N-2 transformer outage event at Valley South (Loss of Valley Transformer and unavailable spare)
</t>
        </r>
      </text>
    </comment>
  </commentList>
</comments>
</file>

<file path=xl/sharedStrings.xml><?xml version="1.0" encoding="utf-8"?>
<sst xmlns="http://schemas.openxmlformats.org/spreadsheetml/2006/main" count="2789" uniqueCount="160">
  <si>
    <t xml:space="preserve">Summary of Cost-Benefit analysis </t>
  </si>
  <si>
    <t>($ millions)</t>
  </si>
  <si>
    <t>#</t>
  </si>
  <si>
    <t>Project</t>
  </si>
  <si>
    <t xml:space="preserve">Total Nominal Capital Cost </t>
  </si>
  <si>
    <t>Present Value of Revenue Requirement</t>
  </si>
  <si>
    <t>Benefit($M)</t>
  </si>
  <si>
    <t>Benefit-Cost Ratio</t>
  </si>
  <si>
    <t>Cost-Benefit Ratio</t>
  </si>
  <si>
    <t>Alberhill System Project</t>
  </si>
  <si>
    <t>Mira Loma</t>
  </si>
  <si>
    <t>SDG&amp;E</t>
  </si>
  <si>
    <t>Valley South to Valley North to Vista</t>
  </si>
  <si>
    <t>Valley South to Valley North and Distributed BESS in Valley South</t>
  </si>
  <si>
    <t>Centralized BESS in Valley South</t>
  </si>
  <si>
    <t>Valley South to Valley North</t>
  </si>
  <si>
    <t>Mira Loma and Centralized BESS in Valley South</t>
  </si>
  <si>
    <t>Valley South to Valley North and Centralized BESS in Valley South and Valley North</t>
  </si>
  <si>
    <t>Menifee</t>
  </si>
  <si>
    <t>SDG&amp;E and Centralized BESS in Valley South</t>
  </si>
  <si>
    <t>SCE Orange County</t>
  </si>
  <si>
    <t>Valley South to Valley North to Vista and Centralized BESS in Valley South</t>
  </si>
  <si>
    <t xml:space="preserve">Incremental Cost-Benefit analysis taking into consideration Non-Monetized Benefits of reliability indices. </t>
  </si>
  <si>
    <t>Present Value</t>
  </si>
  <si>
    <t>Aggregate</t>
  </si>
  <si>
    <t>For Calculations only</t>
  </si>
  <si>
    <t>Baseline</t>
  </si>
  <si>
    <t>Category</t>
  </si>
  <si>
    <t>NPV of benefits between Project and Baseline</t>
  </si>
  <si>
    <t>NPV of Project Performance</t>
  </si>
  <si>
    <t>N-1</t>
  </si>
  <si>
    <t>EENS</t>
  </si>
  <si>
    <t>IP</t>
  </si>
  <si>
    <t>SAIDI</t>
  </si>
  <si>
    <t>SAIFI</t>
  </si>
  <si>
    <t>PFD</t>
  </si>
  <si>
    <t>Available Flex-1</t>
  </si>
  <si>
    <t>Available Flex-2-1</t>
  </si>
  <si>
    <t>Available Flex-2-2</t>
  </si>
  <si>
    <t>N-0</t>
  </si>
  <si>
    <t>Present Value of Benefits by Project</t>
  </si>
  <si>
    <t>Ranking of Projects by Cost</t>
  </si>
  <si>
    <t>Alternative selection</t>
  </si>
  <si>
    <t>Preferred Trend</t>
  </si>
  <si>
    <t>↓</t>
  </si>
  <si>
    <t>Decision to move forward (Y/N)</t>
  </si>
  <si>
    <t>Y</t>
  </si>
  <si>
    <t>N</t>
  </si>
  <si>
    <t>Baseline - Alberhill</t>
  </si>
  <si>
    <t>Incremental Cost-Benefit analysis taking into consideration applicable Monetized Benefits</t>
  </si>
  <si>
    <t>Losses</t>
  </si>
  <si>
    <t>Flexibility-1</t>
  </si>
  <si>
    <t>Flexibility-2-1</t>
  </si>
  <si>
    <t>Flexibility-2-2</t>
  </si>
  <si>
    <t>Total</t>
  </si>
  <si>
    <t>Present Value of Monetized Benefits($)</t>
  </si>
  <si>
    <t>EENS ($M)</t>
  </si>
  <si>
    <t>Losses ($M)</t>
  </si>
  <si>
    <t>Flexibility-1 ($M)</t>
  </si>
  <si>
    <t>Flexibility-2-1 ($M)</t>
  </si>
  <si>
    <t>Flexibility-2-2 ($M)</t>
  </si>
  <si>
    <t>Aggregate ($M)</t>
  </si>
  <si>
    <t>↑</t>
  </si>
  <si>
    <t>Evaluation of Present Value of Cost $/ Present Value of Benefit</t>
  </si>
  <si>
    <t>Alternative Ranking</t>
  </si>
  <si>
    <t>Levelized cost analysis ( Present Value of Cost $/Present Value of Benefit) for each Alternative</t>
  </si>
  <si>
    <t>Reliability Metrics</t>
  </si>
  <si>
    <t>Rank #1</t>
  </si>
  <si>
    <t>Rank #2</t>
  </si>
  <si>
    <t>Rank #3</t>
  </si>
  <si>
    <t>EENS ↓</t>
  </si>
  <si>
    <t>IP ↓</t>
  </si>
  <si>
    <t>SAIDI ↓</t>
  </si>
  <si>
    <t>SAIFI ↓</t>
  </si>
  <si>
    <t>PFD ↓</t>
  </si>
  <si>
    <r>
      <t>Flex-1</t>
    </r>
    <r>
      <rPr>
        <b/>
        <sz val="11"/>
        <color theme="1"/>
        <rFont val="Calibri"/>
        <family val="2"/>
      </rPr>
      <t>↓</t>
    </r>
  </si>
  <si>
    <t xml:space="preserve"> Flex-2-1↓</t>
  </si>
  <si>
    <t xml:space="preserve"> Flex-2-2↓</t>
  </si>
  <si>
    <t>Count of Rank #1</t>
  </si>
  <si>
    <t>Financial and Study Parameters</t>
  </si>
  <si>
    <t>Value</t>
  </si>
  <si>
    <t>Unit</t>
  </si>
  <si>
    <t>Source</t>
  </si>
  <si>
    <t>Discount Rate (Weighted Aggregate Cost of Capital)</t>
  </si>
  <si>
    <t>CPUC</t>
  </si>
  <si>
    <t>Customer price (Average Locational Marginal Price in Valley South - 2022)</t>
  </si>
  <si>
    <t>$/MWh</t>
  </si>
  <si>
    <t>CAISO</t>
  </si>
  <si>
    <t>Inflation Rate</t>
  </si>
  <si>
    <t>Quanta</t>
  </si>
  <si>
    <t>Load distribution : Residential</t>
  </si>
  <si>
    <t>SCE</t>
  </si>
  <si>
    <t>Load distribution : Commercial</t>
  </si>
  <si>
    <t>Customer Interruption cost for Flex-1 events (6hours) : N-1 : Residential</t>
  </si>
  <si>
    <t>$/kWh</t>
  </si>
  <si>
    <t>LBNL</t>
  </si>
  <si>
    <t>Customer Interruption cost (Average cost over 24 hr duration) : N-0 : Residential (Flex-2 Component 1)</t>
  </si>
  <si>
    <t>Customer Interruption cost for Flex-1 events (6hours) : N-1 : Commercial</t>
  </si>
  <si>
    <t>Customer Interruption cost (Average cost over 24 hr duration)  : N-0 : Residential (Flex-2 Component 1)</t>
  </si>
  <si>
    <t>Annual Outage rate for Transformer N-2 Outage events</t>
  </si>
  <si>
    <t>NERC</t>
  </si>
  <si>
    <t>Annual Outage rate for High Impact Low Probability(HILP) Events</t>
  </si>
  <si>
    <t>Flex-1 Duration of evaluation</t>
  </si>
  <si>
    <t>hour</t>
  </si>
  <si>
    <t>Normalization Factor for Cost Benefit</t>
  </si>
  <si>
    <t>Component</t>
  </si>
  <si>
    <t>Valley South (alone)</t>
  </si>
  <si>
    <t>Losses (MWh)</t>
  </si>
  <si>
    <t>Deficit Flex-1</t>
  </si>
  <si>
    <t>Deficit Flex-2-1</t>
  </si>
  <si>
    <t>Deficit Flex-2-2</t>
  </si>
  <si>
    <t>Residential</t>
  </si>
  <si>
    <t>Cost of Reliability (N-1)</t>
  </si>
  <si>
    <t>Cost of Reliability (N-0)</t>
  </si>
  <si>
    <t>Commerical</t>
  </si>
  <si>
    <t>Cost of Reliability (N-2)</t>
  </si>
  <si>
    <t>$/kwh</t>
  </si>
  <si>
    <t>Residential (N-1)</t>
  </si>
  <si>
    <t>Monetized EENS</t>
  </si>
  <si>
    <t>Commerical(N-1)</t>
  </si>
  <si>
    <t>Residential (N-0)</t>
  </si>
  <si>
    <t>Commerical(N-0)</t>
  </si>
  <si>
    <t>Monetized Value for Flex-1</t>
  </si>
  <si>
    <t xml:space="preserve">Residential </t>
  </si>
  <si>
    <t>Monetized Value for Flex-2_1</t>
  </si>
  <si>
    <t>Monetized Value for Flex-2_2</t>
  </si>
  <si>
    <t>Aggregate Monetized Costs ($)</t>
  </si>
  <si>
    <t>Monetized Value for Flex-2</t>
  </si>
  <si>
    <t>Monetized Value for Flex-3</t>
  </si>
  <si>
    <t>Monetized Value for Flex-4</t>
  </si>
  <si>
    <t xml:space="preserve">N-0 Monetized </t>
  </si>
  <si>
    <t>$</t>
  </si>
  <si>
    <t>Commercial</t>
  </si>
  <si>
    <t>N-1 Monetized</t>
  </si>
  <si>
    <t>Flex-2-2 Monetized</t>
  </si>
  <si>
    <t>Aggregate of Customer and Residential</t>
  </si>
  <si>
    <t>LMP</t>
  </si>
  <si>
    <t>Comparison to Baseline</t>
  </si>
  <si>
    <t>NPV of benefit</t>
  </si>
  <si>
    <t>Losses ($)</t>
  </si>
  <si>
    <t>Flex-1</t>
  </si>
  <si>
    <t>Flex-2-1</t>
  </si>
  <si>
    <t>Flex-2-2</t>
  </si>
  <si>
    <t>Monetized Benefits for Alternative</t>
  </si>
  <si>
    <t>Value for Flex-1</t>
  </si>
  <si>
    <t>Value for Flex-2-1</t>
  </si>
  <si>
    <t>Aggregate of Flex-2 (Component 1)</t>
  </si>
  <si>
    <t>Aggregate of Flex-2 (Component 2)</t>
  </si>
  <si>
    <t>Value for Flex-2-2</t>
  </si>
  <si>
    <t xml:space="preserve">Aggregate ($M)+ Monetized Losses </t>
  </si>
  <si>
    <t>Project Cost</t>
  </si>
  <si>
    <t>N-2</t>
  </si>
  <si>
    <t>Value for Flex-2</t>
  </si>
  <si>
    <t>EENS(Valley South)</t>
  </si>
  <si>
    <t>EENS(Valley North)</t>
  </si>
  <si>
    <t>Aggregate of Flex-2 (Component 1 and 2)</t>
  </si>
  <si>
    <t>Market Participation Revenue (All costs are $x1,000)</t>
  </si>
  <si>
    <t>Energy Storage at Pechanga and Allesando + Ties between VN+VS</t>
  </si>
  <si>
    <t>EENS (Valley South)</t>
  </si>
  <si>
    <t>EENS (Valley North)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</si>
</sst>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5" formatCode="&quot;$&quot;#,##0_);\(&quot;$&quot;#,##0\)"/>
    <numFmt numFmtId="8" formatCode="&quot;$&quot;#,##0.00_);[Red]\(&quot;$&quot;#,##0.00\)"/>
    <numFmt numFmtId="43" formatCode="_(* #,##0.00_);_(* \(#,##0.00\);_(* &quot;-&quot;??_);_(@_)"/>
    <numFmt numFmtId="164" formatCode="0.0000"/>
    <numFmt numFmtId="165" formatCode="_(* #,##0.000_);_(* \(#,##0.000\);_(* &quot;-&quot;???_);_(@_)"/>
    <numFmt numFmtId="166" formatCode="_(* #,##0.0_);_(* \(#,##0.0\);_(* &quot;-&quot;??_);_(@_)"/>
    <numFmt numFmtId="167" formatCode="_(* #,##0.000_);_(* \(#,##0.000\);_(* &quot;-&quot;??_);_(@_)"/>
    <numFmt numFmtId="168" formatCode="#,##0.000"/>
    <numFmt numFmtId="169" formatCode="&quot;$&quot;#,##0"/>
    <numFmt numFmtId="170" formatCode="0.000000000000000"/>
    <numFmt numFmtId="171" formatCode="#.00,,"/>
    <numFmt numFmtId="172" formatCode="&quot;$&quot;#,#00"/>
    <numFmt numFmtId="173" formatCode="#,##0.00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b/>
      <sz val="11"/>
      <color rgb="FFFA7D00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0"/>
      <color theme="0"/>
      <name val="Arial"/>
      <family val="2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</font>
    <font>
      <sz val="8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1"/>
        <bgColor theme="1"/>
      </patternFill>
    </fill>
    <fill>
      <patternFill patternType="solid">
        <fgColor rgb="FFFFC7CE"/>
      </patternFill>
    </fill>
    <fill>
      <patternFill patternType="solid">
        <fgColor rgb="FFC00000"/>
        <bgColor indexed="64"/>
      </patternFill>
    </fill>
    <fill>
      <patternFill patternType="solid">
        <fgColor theme="0" tint="-4.9989318521683403E-2"/>
        <bgColor indexed="64"/>
      </patternFill>
    </fill>
  </fills>
  <borders count="26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ck">
        <color theme="4"/>
      </top>
      <bottom style="thick">
        <color theme="4" tint="0.4999847407452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ck">
        <color theme="4"/>
      </top>
      <bottom/>
      <diagonal/>
    </border>
    <border>
      <left/>
      <right style="thin">
        <color rgb="FF7F7F7F"/>
      </right>
      <top/>
      <bottom style="thick">
        <color theme="4"/>
      </bottom>
      <diagonal/>
    </border>
    <border>
      <left/>
      <right/>
      <top style="thick">
        <color theme="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2" borderId="1" applyNumberFormat="0" applyAlignment="0" applyProtection="0"/>
    <xf numFmtId="43" fontId="6" fillId="0" borderId="0" applyFont="0" applyFill="0" applyBorder="0" applyAlignment="0" applyProtection="0"/>
    <xf numFmtId="0" fontId="7" fillId="0" borderId="0"/>
    <xf numFmtId="0" fontId="8" fillId="3" borderId="1" applyNumberFormat="0" applyAlignment="0" applyProtection="0"/>
    <xf numFmtId="0" fontId="10" fillId="0" borderId="0" applyNumberFormat="0" applyFill="0" applyBorder="0" applyAlignment="0" applyProtection="0"/>
    <xf numFmtId="0" fontId="11" fillId="0" borderId="15" applyNumberFormat="0" applyFill="0" applyAlignment="0" applyProtection="0"/>
    <xf numFmtId="0" fontId="12" fillId="0" borderId="16" applyNumberFormat="0" applyFill="0" applyAlignment="0" applyProtection="0"/>
    <xf numFmtId="0" fontId="14" fillId="0" borderId="19" applyNumberFormat="0" applyFill="0" applyAlignment="0" applyProtection="0"/>
    <xf numFmtId="0" fontId="17" fillId="5" borderId="0" applyNumberFormat="0" applyBorder="0" applyAlignment="0" applyProtection="0"/>
  </cellStyleXfs>
  <cellXfs count="183"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43" fontId="0" fillId="0" borderId="0" xfId="0" applyNumberFormat="1"/>
    <xf numFmtId="0" fontId="0" fillId="0" borderId="6" xfId="0" applyBorder="1"/>
    <xf numFmtId="2" fontId="0" fillId="0" borderId="0" xfId="0" applyNumberFormat="1"/>
    <xf numFmtId="0" fontId="9" fillId="0" borderId="0" xfId="0" applyFont="1"/>
    <xf numFmtId="9" fontId="0" fillId="0" borderId="0" xfId="2" applyFont="1"/>
    <xf numFmtId="165" fontId="0" fillId="0" borderId="0" xfId="0" applyNumberFormat="1"/>
    <xf numFmtId="4" fontId="0" fillId="0" borderId="0" xfId="0" applyNumberFormat="1"/>
    <xf numFmtId="0" fontId="0" fillId="0" borderId="0" xfId="0" applyAlignment="1">
      <alignment horizontal="right"/>
    </xf>
    <xf numFmtId="0" fontId="13" fillId="4" borderId="17" xfId="0" applyFont="1" applyFill="1" applyBorder="1" applyAlignment="1">
      <alignment vertical="center" wrapText="1"/>
    </xf>
    <xf numFmtId="0" fontId="13" fillId="4" borderId="18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left"/>
    </xf>
    <xf numFmtId="4" fontId="0" fillId="0" borderId="0" xfId="0" applyNumberFormat="1" applyAlignment="1">
      <alignment horizontal="center"/>
    </xf>
    <xf numFmtId="0" fontId="0" fillId="0" borderId="0" xfId="0" applyAlignment="1">
      <alignment horizontal="center" vertical="center"/>
    </xf>
    <xf numFmtId="166" fontId="0" fillId="0" borderId="0" xfId="1" applyNumberFormat="1" applyFont="1" applyAlignment="1">
      <alignment horizontal="center"/>
    </xf>
    <xf numFmtId="3" fontId="8" fillId="3" borderId="1" xfId="6" applyNumberFormat="1" applyAlignment="1">
      <alignment horizontal="center"/>
    </xf>
    <xf numFmtId="166" fontId="0" fillId="0" borderId="0" xfId="0" applyNumberFormat="1"/>
    <xf numFmtId="0" fontId="9" fillId="0" borderId="0" xfId="0" applyFont="1" applyAlignment="1">
      <alignment wrapText="1"/>
    </xf>
    <xf numFmtId="0" fontId="0" fillId="0" borderId="6" xfId="0" applyBorder="1" applyAlignment="1">
      <alignment horizontal="center" vertical="center"/>
    </xf>
    <xf numFmtId="10" fontId="2" fillId="2" borderId="6" xfId="3" applyNumberFormat="1" applyBorder="1" applyAlignment="1">
      <alignment horizontal="center" vertical="center"/>
    </xf>
    <xf numFmtId="0" fontId="2" fillId="2" borderId="6" xfId="3" applyBorder="1" applyAlignment="1">
      <alignment horizontal="center" vertical="center"/>
    </xf>
    <xf numFmtId="0" fontId="13" fillId="4" borderId="17" xfId="0" applyFont="1" applyFill="1" applyBorder="1" applyAlignment="1">
      <alignment horizontal="center" vertical="center" wrapText="1"/>
    </xf>
    <xf numFmtId="4" fontId="0" fillId="0" borderId="6" xfId="0" applyNumberFormat="1" applyBorder="1" applyAlignment="1">
      <alignment horizontal="center"/>
    </xf>
    <xf numFmtId="0" fontId="3" fillId="0" borderId="6" xfId="0" applyFont="1" applyBorder="1" applyAlignment="1">
      <alignment horizontal="left"/>
    </xf>
    <xf numFmtId="0" fontId="3" fillId="0" borderId="0" xfId="0" applyFont="1" applyAlignment="1">
      <alignment vertical="center" wrapText="1"/>
    </xf>
    <xf numFmtId="2" fontId="0" fillId="0" borderId="6" xfId="1" applyNumberFormat="1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0" fillId="0" borderId="13" xfId="0" applyBorder="1"/>
    <xf numFmtId="4" fontId="0" fillId="0" borderId="13" xfId="0" applyNumberForma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0" fillId="0" borderId="8" xfId="0" applyBorder="1"/>
    <xf numFmtId="4" fontId="0" fillId="0" borderId="8" xfId="0" applyNumberFormat="1" applyBorder="1" applyAlignment="1">
      <alignment horizontal="center"/>
    </xf>
    <xf numFmtId="0" fontId="0" fillId="0" borderId="2" xfId="0" applyBorder="1"/>
    <xf numFmtId="167" fontId="0" fillId="0" borderId="0" xfId="1" applyNumberFormat="1" applyFont="1"/>
    <xf numFmtId="2" fontId="8" fillId="3" borderId="1" xfId="1" applyNumberFormat="1" applyFont="1" applyFill="1" applyBorder="1" applyAlignment="1">
      <alignment horizontal="center" vertical="center"/>
    </xf>
    <xf numFmtId="0" fontId="8" fillId="3" borderId="1" xfId="6" applyAlignment="1">
      <alignment horizontal="center"/>
    </xf>
    <xf numFmtId="43" fontId="0" fillId="0" borderId="0" xfId="1" applyFont="1" applyAlignment="1">
      <alignment horizontal="center"/>
    </xf>
    <xf numFmtId="0" fontId="3" fillId="0" borderId="5" xfId="0" applyFont="1" applyBorder="1" applyAlignment="1">
      <alignment horizontal="left"/>
    </xf>
    <xf numFmtId="0" fontId="0" fillId="0" borderId="6" xfId="0" applyFill="1" applyBorder="1"/>
    <xf numFmtId="0" fontId="0" fillId="0" borderId="5" xfId="0" applyFill="1" applyBorder="1"/>
    <xf numFmtId="0" fontId="9" fillId="0" borderId="0" xfId="0" applyFont="1" applyBorder="1" applyAlignment="1">
      <alignment wrapText="1"/>
    </xf>
    <xf numFmtId="0" fontId="9" fillId="0" borderId="6" xfId="0" applyFont="1" applyBorder="1" applyAlignment="1">
      <alignment horizontal="center" wrapText="1"/>
    </xf>
    <xf numFmtId="3" fontId="0" fillId="0" borderId="0" xfId="0" applyNumberFormat="1"/>
    <xf numFmtId="168" fontId="8" fillId="3" borderId="1" xfId="6" applyNumberFormat="1" applyAlignment="1">
      <alignment horizontal="center"/>
    </xf>
    <xf numFmtId="2" fontId="0" fillId="0" borderId="0" xfId="1" applyNumberFormat="1" applyFont="1" applyBorder="1" applyAlignment="1">
      <alignment horizontal="center" vertical="center"/>
    </xf>
    <xf numFmtId="0" fontId="9" fillId="0" borderId="0" xfId="0" applyFont="1" applyBorder="1"/>
    <xf numFmtId="0" fontId="9" fillId="0" borderId="13" xfId="0" applyFont="1" applyBorder="1"/>
    <xf numFmtId="43" fontId="0" fillId="0" borderId="0" xfId="0" quotePrefix="1" applyNumberFormat="1"/>
    <xf numFmtId="43" fontId="0" fillId="0" borderId="0" xfId="1" applyNumberFormat="1" applyFont="1"/>
    <xf numFmtId="0" fontId="0" fillId="0" borderId="0" xfId="0"/>
    <xf numFmtId="43" fontId="0" fillId="0" borderId="0" xfId="1" applyFont="1"/>
    <xf numFmtId="43" fontId="0" fillId="0" borderId="0" xfId="1" applyFont="1" applyFill="1"/>
    <xf numFmtId="43" fontId="12" fillId="0" borderId="13" xfId="9" applyNumberFormat="1" applyBorder="1" applyAlignment="1">
      <alignment vertical="center"/>
    </xf>
    <xf numFmtId="0" fontId="0" fillId="0" borderId="0" xfId="0" applyAlignment="1"/>
    <xf numFmtId="43" fontId="12" fillId="0" borderId="13" xfId="9" applyNumberFormat="1" applyBorder="1" applyAlignment="1">
      <alignment vertical="center" wrapText="1"/>
    </xf>
    <xf numFmtId="169" fontId="8" fillId="3" borderId="1" xfId="1" applyNumberFormat="1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/>
    </xf>
    <xf numFmtId="0" fontId="0" fillId="0" borderId="21" xfId="0" applyFill="1" applyBorder="1"/>
    <xf numFmtId="0" fontId="0" fillId="0" borderId="6" xfId="0" applyBorder="1" applyAlignment="1">
      <alignment horizontal="center" wrapText="1"/>
    </xf>
    <xf numFmtId="0" fontId="0" fillId="0" borderId="0" xfId="0" applyAlignment="1">
      <alignment horizontal="center"/>
    </xf>
    <xf numFmtId="2" fontId="0" fillId="0" borderId="6" xfId="0" applyNumberFormat="1" applyBorder="1" applyAlignment="1">
      <alignment horizontal="left" vertical="center" wrapText="1"/>
    </xf>
    <xf numFmtId="0" fontId="0" fillId="0" borderId="0" xfId="0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0" fillId="0" borderId="0" xfId="0"/>
    <xf numFmtId="0" fontId="0" fillId="0" borderId="13" xfId="0" applyBorder="1" applyAlignment="1">
      <alignment horizontal="center" wrapText="1"/>
    </xf>
    <xf numFmtId="2" fontId="0" fillId="0" borderId="13" xfId="1" applyNumberFormat="1" applyFont="1" applyBorder="1" applyAlignment="1">
      <alignment horizontal="center" vertical="center"/>
    </xf>
    <xf numFmtId="43" fontId="5" fillId="0" borderId="0" xfId="1" applyFont="1"/>
    <xf numFmtId="0" fontId="0" fillId="0" borderId="0" xfId="0" applyAlignment="1">
      <alignment horizontal="left"/>
    </xf>
    <xf numFmtId="0" fontId="18" fillId="0" borderId="0" xfId="0" applyFont="1" applyAlignment="1">
      <alignment horizontal="center" vertical="center" wrapText="1"/>
    </xf>
    <xf numFmtId="0" fontId="0" fillId="0" borderId="0" xfId="0"/>
    <xf numFmtId="0" fontId="18" fillId="0" borderId="0" xfId="0" applyFont="1" applyAlignment="1">
      <alignment vertical="center" wrapText="1"/>
    </xf>
    <xf numFmtId="2" fontId="0" fillId="0" borderId="6" xfId="0" applyNumberFormat="1" applyBorder="1" applyAlignment="1">
      <alignment horizontal="center" vertical="center" wrapText="1"/>
    </xf>
    <xf numFmtId="2" fontId="0" fillId="0" borderId="0" xfId="0" applyNumberFormat="1" applyBorder="1" applyAlignment="1">
      <alignment horizontal="left" vertical="center" wrapText="1"/>
    </xf>
    <xf numFmtId="0" fontId="0" fillId="0" borderId="0" xfId="0" applyBorder="1" applyAlignment="1">
      <alignment horizontal="left"/>
    </xf>
    <xf numFmtId="0" fontId="3" fillId="0" borderId="0" xfId="0" applyFont="1" applyBorder="1" applyAlignment="1">
      <alignment horizontal="left"/>
    </xf>
    <xf numFmtId="4" fontId="0" fillId="0" borderId="0" xfId="0" applyNumberFormat="1" applyBorder="1" applyAlignment="1">
      <alignment horizontal="center"/>
    </xf>
    <xf numFmtId="2" fontId="0" fillId="0" borderId="0" xfId="0" applyNumberFormat="1" applyBorder="1" applyAlignment="1">
      <alignment horizontal="center" vertical="center" wrapText="1"/>
    </xf>
    <xf numFmtId="4" fontId="0" fillId="0" borderId="6" xfId="0" applyNumberForma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6" xfId="0" applyBorder="1" applyAlignment="1"/>
    <xf numFmtId="171" fontId="0" fillId="0" borderId="6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11" fillId="0" borderId="9" xfId="8" applyBorder="1" applyAlignment="1">
      <alignment horizontal="center"/>
    </xf>
    <xf numFmtId="0" fontId="11" fillId="0" borderId="15" xfId="8" applyAlignment="1">
      <alignment wrapText="1"/>
    </xf>
    <xf numFmtId="0" fontId="11" fillId="0" borderId="15" xfId="8" applyAlignment="1">
      <alignment horizontal="left"/>
    </xf>
    <xf numFmtId="0" fontId="4" fillId="0" borderId="0" xfId="0" applyFont="1" applyAlignment="1">
      <alignment wrapText="1"/>
    </xf>
    <xf numFmtId="0" fontId="12" fillId="0" borderId="16" xfId="9" applyAlignment="1">
      <alignment wrapText="1"/>
    </xf>
    <xf numFmtId="10" fontId="12" fillId="0" borderId="16" xfId="9" applyNumberFormat="1" applyAlignment="1">
      <alignment wrapText="1"/>
    </xf>
    <xf numFmtId="43" fontId="12" fillId="0" borderId="16" xfId="9" applyNumberFormat="1" applyAlignment="1">
      <alignment wrapText="1"/>
    </xf>
    <xf numFmtId="43" fontId="0" fillId="0" borderId="0" xfId="0" applyNumberFormat="1" applyAlignment="1">
      <alignment horizontal="right" wrapText="1"/>
    </xf>
    <xf numFmtId="8" fontId="12" fillId="0" borderId="16" xfId="9" applyNumberFormat="1" applyAlignment="1">
      <alignment wrapText="1"/>
    </xf>
    <xf numFmtId="170" fontId="0" fillId="0" borderId="0" xfId="0" applyNumberFormat="1" applyAlignment="1">
      <alignment wrapText="1"/>
    </xf>
    <xf numFmtId="0" fontId="0" fillId="0" borderId="0" xfId="0" applyFill="1" applyBorder="1" applyAlignment="1">
      <alignment horizontal="center" vertical="center" wrapText="1"/>
    </xf>
    <xf numFmtId="2" fontId="0" fillId="0" borderId="6" xfId="0" applyNumberFormat="1" applyBorder="1" applyAlignment="1">
      <alignment horizontal="left" vertical="center"/>
    </xf>
    <xf numFmtId="172" fontId="0" fillId="0" borderId="6" xfId="1" applyNumberFormat="1" applyFont="1" applyBorder="1" applyAlignment="1">
      <alignment horizontal="center" vertical="center"/>
    </xf>
    <xf numFmtId="0" fontId="5" fillId="0" borderId="0" xfId="0" applyFont="1" applyAlignment="1">
      <alignment wrapText="1"/>
    </xf>
    <xf numFmtId="0" fontId="14" fillId="0" borderId="15" xfId="8" applyFont="1" applyAlignment="1">
      <alignment horizontal="center"/>
    </xf>
    <xf numFmtId="0" fontId="14" fillId="0" borderId="15" xfId="8" applyFont="1" applyAlignment="1">
      <alignment horizontal="center" wrapText="1"/>
    </xf>
    <xf numFmtId="5" fontId="2" fillId="2" borderId="1" xfId="3" applyNumberFormat="1" applyAlignment="1">
      <alignment horizontal="center" vertical="center" wrapText="1"/>
    </xf>
    <xf numFmtId="0" fontId="8" fillId="3" borderId="6" xfId="6" applyBorder="1" applyAlignment="1"/>
    <xf numFmtId="2" fontId="0" fillId="0" borderId="6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wrapText="1"/>
    </xf>
    <xf numFmtId="164" fontId="0" fillId="0" borderId="6" xfId="0" applyNumberFormat="1" applyFont="1" applyBorder="1" applyAlignment="1">
      <alignment horizontal="center" vertical="center" wrapText="1"/>
    </xf>
    <xf numFmtId="164" fontId="17" fillId="6" borderId="6" xfId="11" applyNumberFormat="1" applyFont="1" applyFill="1" applyBorder="1" applyAlignment="1">
      <alignment horizontal="center" vertical="center" wrapText="1"/>
    </xf>
    <xf numFmtId="0" fontId="0" fillId="7" borderId="6" xfId="0" applyFont="1" applyFill="1" applyBorder="1" applyAlignment="1">
      <alignment horizontal="center" wrapText="1"/>
    </xf>
    <xf numFmtId="0" fontId="0" fillId="0" borderId="6" xfId="0" applyFont="1" applyBorder="1" applyAlignment="1">
      <alignment wrapText="1"/>
    </xf>
    <xf numFmtId="4" fontId="2" fillId="2" borderId="6" xfId="3" applyNumberFormat="1" applyBorder="1" applyAlignment="1">
      <alignment horizontal="center" vertical="center"/>
    </xf>
    <xf numFmtId="173" fontId="2" fillId="2" borderId="6" xfId="3" applyNumberFormat="1" applyBorder="1" applyAlignment="1">
      <alignment horizontal="center" vertical="center"/>
    </xf>
    <xf numFmtId="2" fontId="0" fillId="0" borderId="6" xfId="0" applyNumberFormat="1" applyBorder="1" applyAlignment="1">
      <alignment horizontal="center" vertical="center"/>
    </xf>
    <xf numFmtId="0" fontId="3" fillId="0" borderId="13" xfId="0" applyFont="1" applyBorder="1" applyAlignment="1">
      <alignment horizontal="center"/>
    </xf>
    <xf numFmtId="0" fontId="11" fillId="0" borderId="15" xfId="8" applyAlignment="1">
      <alignment horizontal="center"/>
    </xf>
    <xf numFmtId="0" fontId="11" fillId="0" borderId="6" xfId="8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8" fillId="3" borderId="6" xfId="6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Font="1" applyBorder="1" applyAlignment="1">
      <alignment horizontal="center" wrapText="1"/>
    </xf>
    <xf numFmtId="43" fontId="12" fillId="0" borderId="0" xfId="9" applyNumberFormat="1" applyBorder="1" applyAlignment="1">
      <alignment horizontal="center" vertical="center"/>
    </xf>
    <xf numFmtId="0" fontId="11" fillId="0" borderId="15" xfId="8" applyAlignment="1">
      <alignment horizontal="center" wrapText="1"/>
    </xf>
    <xf numFmtId="0" fontId="3" fillId="7" borderId="6" xfId="0" applyFont="1" applyFill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2" fontId="0" fillId="0" borderId="6" xfId="0" applyNumberFormat="1" applyBorder="1" applyAlignment="1">
      <alignment horizontal="center" vertical="center"/>
    </xf>
    <xf numFmtId="0" fontId="18" fillId="0" borderId="0" xfId="0" applyFont="1" applyAlignment="1">
      <alignment horizontal="center"/>
    </xf>
    <xf numFmtId="0" fontId="12" fillId="0" borderId="24" xfId="9" applyBorder="1" applyAlignment="1">
      <alignment horizontal="center"/>
    </xf>
    <xf numFmtId="2" fontId="0" fillId="0" borderId="5" xfId="0" applyNumberFormat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0" fontId="12" fillId="7" borderId="6" xfId="9" applyFill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11" fillId="0" borderId="15" xfId="8" applyAlignment="1">
      <alignment horizontal="center"/>
    </xf>
    <xf numFmtId="0" fontId="0" fillId="0" borderId="25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1" fillId="0" borderId="6" xfId="8" applyBorder="1" applyAlignment="1">
      <alignment horizontal="center"/>
    </xf>
    <xf numFmtId="0" fontId="12" fillId="0" borderId="6" xfId="9" applyBorder="1" applyAlignment="1">
      <alignment horizontal="center" vertical="center"/>
    </xf>
    <xf numFmtId="0" fontId="12" fillId="0" borderId="7" xfId="9" applyBorder="1" applyAlignment="1">
      <alignment horizontal="center" vertical="center"/>
    </xf>
    <xf numFmtId="0" fontId="12" fillId="0" borderId="9" xfId="9" applyBorder="1" applyAlignment="1">
      <alignment horizontal="center" vertical="center"/>
    </xf>
    <xf numFmtId="0" fontId="12" fillId="0" borderId="10" xfId="9" applyBorder="1" applyAlignment="1">
      <alignment horizontal="center" vertical="center"/>
    </xf>
    <xf numFmtId="0" fontId="12" fillId="0" borderId="11" xfId="9" applyBorder="1" applyAlignment="1">
      <alignment horizontal="center" vertical="center"/>
    </xf>
    <xf numFmtId="0" fontId="12" fillId="0" borderId="12" xfId="9" applyBorder="1" applyAlignment="1">
      <alignment horizontal="center" vertical="center"/>
    </xf>
    <xf numFmtId="0" fontId="12" fillId="0" borderId="14" xfId="9" applyBorder="1" applyAlignment="1">
      <alignment horizontal="center" vertical="center"/>
    </xf>
    <xf numFmtId="0" fontId="3" fillId="0" borderId="5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11" fillId="0" borderId="5" xfId="8" applyBorder="1" applyAlignment="1">
      <alignment horizontal="center"/>
    </xf>
    <xf numFmtId="0" fontId="11" fillId="0" borderId="2" xfId="8" applyBorder="1" applyAlignment="1">
      <alignment horizontal="center"/>
    </xf>
    <xf numFmtId="0" fontId="11" fillId="0" borderId="3" xfId="8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7" borderId="5" xfId="0" applyFont="1" applyFill="1" applyBorder="1" applyAlignment="1">
      <alignment horizontal="center"/>
    </xf>
    <xf numFmtId="0" fontId="3" fillId="7" borderId="3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3" xfId="0" applyBorder="1" applyAlignment="1">
      <alignment horizontal="center"/>
    </xf>
    <xf numFmtId="0" fontId="11" fillId="0" borderId="13" xfId="8" applyBorder="1" applyAlignment="1">
      <alignment horizontal="left"/>
    </xf>
    <xf numFmtId="0" fontId="18" fillId="0" borderId="0" xfId="0" applyFont="1" applyAlignment="1">
      <alignment horizontal="left"/>
    </xf>
    <xf numFmtId="0" fontId="0" fillId="0" borderId="6" xfId="0" applyBorder="1" applyAlignment="1">
      <alignment horizontal="center" vertical="center" wrapText="1"/>
    </xf>
    <xf numFmtId="0" fontId="8" fillId="3" borderId="6" xfId="6" applyBorder="1" applyAlignment="1">
      <alignment horizontal="center"/>
    </xf>
    <xf numFmtId="0" fontId="12" fillId="0" borderId="20" xfId="9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11" fillId="0" borderId="13" xfId="8" applyBorder="1" applyAlignment="1">
      <alignment horizontal="center"/>
    </xf>
    <xf numFmtId="0" fontId="0" fillId="0" borderId="6" xfId="0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6" xfId="0" applyFont="1" applyBorder="1" applyAlignment="1">
      <alignment horizontal="center" wrapText="1"/>
    </xf>
    <xf numFmtId="43" fontId="12" fillId="0" borderId="13" xfId="9" applyNumberFormat="1" applyBorder="1" applyAlignment="1">
      <alignment horizontal="center" vertical="center"/>
    </xf>
    <xf numFmtId="43" fontId="12" fillId="0" borderId="0" xfId="9" applyNumberFormat="1" applyBorder="1" applyAlignment="1">
      <alignment horizontal="center" vertical="center"/>
    </xf>
    <xf numFmtId="0" fontId="14" fillId="7" borderId="6" xfId="10" applyFont="1" applyFill="1" applyBorder="1" applyAlignment="1">
      <alignment horizontal="center" wrapText="1"/>
    </xf>
    <xf numFmtId="0" fontId="0" fillId="0" borderId="5" xfId="0" applyFont="1" applyBorder="1" applyAlignment="1">
      <alignment horizontal="center" wrapText="1"/>
    </xf>
    <xf numFmtId="0" fontId="0" fillId="0" borderId="3" xfId="0" applyFont="1" applyBorder="1" applyAlignment="1">
      <alignment horizontal="center" wrapText="1"/>
    </xf>
    <xf numFmtId="43" fontId="14" fillId="0" borderId="5" xfId="9" applyNumberFormat="1" applyFont="1" applyBorder="1" applyAlignment="1">
      <alignment horizontal="center" vertical="center" wrapText="1"/>
    </xf>
    <xf numFmtId="43" fontId="14" fillId="0" borderId="2" xfId="9" applyNumberFormat="1" applyFont="1" applyBorder="1" applyAlignment="1">
      <alignment horizontal="center" vertical="center" wrapText="1"/>
    </xf>
    <xf numFmtId="43" fontId="14" fillId="0" borderId="3" xfId="9" applyNumberFormat="1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1" fillId="0" borderId="15" xfId="8" applyAlignment="1">
      <alignment horizontal="center" vertical="center"/>
    </xf>
    <xf numFmtId="0" fontId="10" fillId="0" borderId="0" xfId="7" applyAlignment="1">
      <alignment horizontal="center"/>
    </xf>
    <xf numFmtId="0" fontId="3" fillId="0" borderId="2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1" fillId="0" borderId="15" xfId="8" applyAlignment="1">
      <alignment horizontal="center" wrapText="1"/>
    </xf>
    <xf numFmtId="0" fontId="11" fillId="0" borderId="23" xfId="8" applyBorder="1" applyAlignment="1">
      <alignment horizontal="center"/>
    </xf>
  </cellXfs>
  <cellStyles count="12">
    <cellStyle name="Bad" xfId="11" builtinId="27"/>
    <cellStyle name="Calculation" xfId="6" builtinId="22"/>
    <cellStyle name="Comma" xfId="1" builtinId="3"/>
    <cellStyle name="Comma 2" xfId="4" xr:uid="{00000000-0005-0000-0000-000003000000}"/>
    <cellStyle name="Heading 1" xfId="8" builtinId="16"/>
    <cellStyle name="Heading 2" xfId="9" builtinId="17"/>
    <cellStyle name="Heading 3" xfId="10" builtinId="18"/>
    <cellStyle name="Input" xfId="3" builtinId="20"/>
    <cellStyle name="Normal" xfId="0" builtinId="0"/>
    <cellStyle name="Normal 2" xfId="5" xr:uid="{00000000-0005-0000-0000-000009000000}"/>
    <cellStyle name="Percent" xfId="2" builtinId="5"/>
    <cellStyle name="Title" xfId="7" builtinId="15"/>
  </cellStyles>
  <dxfs count="0"/>
  <tableStyles count="0" defaultTableStyle="TableStyleMedium2" defaultPivotStyle="PivotStyleLight16"/>
  <colors>
    <mruColors>
      <color rgb="FFCC3300"/>
      <color rgb="FFF3F3F3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Relationship Id="rId27" Type="http://schemas.openxmlformats.org/officeDocument/2006/relationships/customXml" Target="../customXml/item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Baseline System : Monetized Benefits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'Baseline System Analysis'!$A$24:$B$38</c15:sqref>
                  </c15:fullRef>
                  <c15:levelRef>
                    <c15:sqref>'Baseline System Analysis'!$A$24:$A$38</c15:sqref>
                  </c15:levelRef>
                </c:ext>
              </c:extLst>
              <c:f>'Baseline System Analysis'!$A$24:$A$38</c:f>
              <c:strCache>
                <c:ptCount val="15"/>
                <c:pt idx="0">
                  <c:v>Residential (N-1)</c:v>
                </c:pt>
                <c:pt idx="1">
                  <c:v>Commerical(N-1)</c:v>
                </c:pt>
                <c:pt idx="2">
                  <c:v>Aggregate</c:v>
                </c:pt>
                <c:pt idx="4">
                  <c:v>Residential (N-0)</c:v>
                </c:pt>
                <c:pt idx="5">
                  <c:v>Commerical(N-0)</c:v>
                </c:pt>
                <c:pt idx="6">
                  <c:v>Aggregate</c:v>
                </c:pt>
                <c:pt idx="8">
                  <c:v>Residential (N-1)</c:v>
                </c:pt>
                <c:pt idx="9">
                  <c:v>Commerical(N-1)</c:v>
                </c:pt>
                <c:pt idx="10">
                  <c:v>Aggregate</c:v>
                </c:pt>
                <c:pt idx="12">
                  <c:v>Residential </c:v>
                </c:pt>
                <c:pt idx="13">
                  <c:v>Commerical</c:v>
                </c:pt>
                <c:pt idx="14">
                  <c:v>Aggregate</c:v>
                </c:pt>
              </c:strCache>
            </c:strRef>
          </c:cat>
          <c:val>
            <c:numRef>
              <c:f>'Baseline System Analysis'!$C$24:$C$38</c:f>
              <c:numCache>
                <c:formatCode>#,##0</c:formatCode>
                <c:ptCount val="15"/>
                <c:pt idx="0">
                  <c:v>355030.5479033211</c:v>
                </c:pt>
                <c:pt idx="1">
                  <c:v>1473194.2273670784</c:v>
                </c:pt>
                <c:pt idx="2">
                  <c:v>1828224.7752703994</c:v>
                </c:pt>
                <c:pt idx="4">
                  <c:v>24322736.867207415</c:v>
                </c:pt>
                <c:pt idx="5">
                  <c:v>111616614.01387709</c:v>
                </c:pt>
                <c:pt idx="6">
                  <c:v>135939350.88108453</c:v>
                </c:pt>
                <c:pt idx="8">
                  <c:v>712935284.09782958</c:v>
                </c:pt>
                <c:pt idx="9">
                  <c:v>2937031377.0892601</c:v>
                </c:pt>
                <c:pt idx="10">
                  <c:v>3649966661.1870899</c:v>
                </c:pt>
                <c:pt idx="12">
                  <c:v>78487372.195270285</c:v>
                </c:pt>
                <c:pt idx="13">
                  <c:v>353793756.67203003</c:v>
                </c:pt>
                <c:pt idx="14">
                  <c:v>432281128.86730027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F3-4167-B7EE-7966F67133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84332232"/>
        <c:axId val="484334192"/>
      </c:barChart>
      <c:catAx>
        <c:axId val="48433223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4334192"/>
        <c:crosses val="autoZero"/>
        <c:auto val="1"/>
        <c:lblAlgn val="ctr"/>
        <c:lblOffset val="100"/>
        <c:noMultiLvlLbl val="0"/>
      </c:catAx>
      <c:valAx>
        <c:axId val="48433419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4332232"/>
        <c:crosses val="autoZero"/>
        <c:crossBetween val="between"/>
        <c:dispUnits>
          <c:builtInUnit val="millions"/>
          <c:dispUnits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</c:dispUnitsLbl>
        </c:dispUnits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8581</xdr:colOff>
      <xdr:row>46</xdr:row>
      <xdr:rowOff>31485</xdr:rowOff>
    </xdr:from>
    <xdr:to>
      <xdr:col>10</xdr:col>
      <xdr:colOff>48063</xdr:colOff>
      <xdr:row>70</xdr:row>
      <xdr:rowOff>69084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426F52A-DC11-4453-BFC3-35315D49AC9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21"/>
  <sheetViews>
    <sheetView tabSelected="1" zoomScale="73" zoomScaleNormal="73" workbookViewId="0"/>
  </sheetViews>
  <sheetFormatPr defaultColWidth="8.81640625" defaultRowHeight="14.5" x14ac:dyDescent="0.35"/>
  <cols>
    <col min="1" max="1" width="15.453125" style="3" customWidth="1"/>
    <col min="2" max="2" width="77.7265625" style="3" customWidth="1"/>
    <col min="3" max="3" width="14" style="3" customWidth="1"/>
    <col min="4" max="4" width="17.1796875" style="3" customWidth="1"/>
    <col min="5" max="5" width="25.54296875" style="3" customWidth="1"/>
    <col min="6" max="6" width="29.54296875" style="3" customWidth="1"/>
    <col min="7" max="7" width="17.26953125" style="3" customWidth="1"/>
    <col min="8" max="8" width="6.26953125" style="3" customWidth="1"/>
    <col min="9" max="9" width="76.1796875" style="3" bestFit="1" customWidth="1"/>
    <col min="10" max="10" width="27.26953125" style="3" customWidth="1"/>
    <col min="11" max="12" width="14.54296875" style="72" customWidth="1"/>
    <col min="13" max="13" width="9.81640625" style="72" customWidth="1"/>
    <col min="14" max="14" width="12.54296875" style="72" customWidth="1"/>
    <col min="15" max="18" width="9.81640625" style="72" customWidth="1"/>
    <col min="19" max="19" width="10.1796875" style="72" bestFit="1" customWidth="1"/>
    <col min="20" max="23" width="9.81640625" style="72" customWidth="1"/>
    <col min="24" max="25" width="11.26953125" style="72" bestFit="1" customWidth="1"/>
    <col min="26" max="16384" width="8.81640625" style="3"/>
  </cols>
  <sheetData>
    <row r="1" spans="1:10" ht="18.5" x14ac:dyDescent="0.45">
      <c r="C1" s="98"/>
      <c r="D1" s="98"/>
      <c r="E1" s="98"/>
      <c r="F1" s="98"/>
      <c r="G1" s="98"/>
      <c r="H1" s="98"/>
      <c r="I1" s="98"/>
    </row>
    <row r="2" spans="1:10" ht="15.5" x14ac:dyDescent="0.35">
      <c r="C2" s="88"/>
      <c r="D2" s="88"/>
      <c r="E2" s="88"/>
      <c r="F2" s="88"/>
      <c r="G2" s="88"/>
      <c r="H2" s="88"/>
      <c r="I2" s="88"/>
    </row>
    <row r="3" spans="1:10" ht="20" thickBot="1" x14ac:dyDescent="0.5">
      <c r="A3" s="87" t="s">
        <v>0</v>
      </c>
      <c r="B3" s="86"/>
      <c r="C3" s="86"/>
      <c r="D3" s="86"/>
      <c r="E3" s="86"/>
      <c r="F3" s="86"/>
      <c r="G3" s="86"/>
      <c r="H3" s="86"/>
      <c r="I3" s="86"/>
      <c r="J3" s="86"/>
    </row>
    <row r="4" spans="1:10" ht="20.5" thickTop="1" thickBot="1" x14ac:dyDescent="0.5">
      <c r="A4" s="87" t="s">
        <v>1</v>
      </c>
      <c r="B4" s="122"/>
      <c r="C4" s="122"/>
      <c r="D4" s="122"/>
      <c r="E4" s="122"/>
      <c r="F4" s="122"/>
      <c r="G4" s="122"/>
      <c r="H4" s="122"/>
      <c r="I4" s="122"/>
      <c r="J4" s="122"/>
    </row>
    <row r="5" spans="1:10" ht="18" thickTop="1" thickBot="1" x14ac:dyDescent="0.45">
      <c r="A5" s="89"/>
      <c r="B5" s="89"/>
      <c r="C5" s="91"/>
      <c r="D5" s="90"/>
      <c r="E5" s="91"/>
      <c r="F5" s="91"/>
      <c r="G5" s="92"/>
      <c r="H5" s="93"/>
      <c r="I5" s="91"/>
      <c r="J5" s="91"/>
    </row>
    <row r="6" spans="1:10" ht="44.5" thickTop="1" thickBot="1" x14ac:dyDescent="0.4">
      <c r="A6" s="99" t="s">
        <v>2</v>
      </c>
      <c r="B6" s="100" t="s">
        <v>3</v>
      </c>
      <c r="C6" s="100" t="s">
        <v>4</v>
      </c>
      <c r="D6" s="100" t="s">
        <v>5</v>
      </c>
      <c r="E6" s="100" t="s">
        <v>6</v>
      </c>
      <c r="F6" s="99" t="s">
        <v>7</v>
      </c>
      <c r="G6" s="100"/>
      <c r="H6" s="100" t="s">
        <v>2</v>
      </c>
      <c r="I6" s="100" t="s">
        <v>3</v>
      </c>
      <c r="J6" s="100" t="s">
        <v>8</v>
      </c>
    </row>
    <row r="7" spans="1:10" ht="15" thickTop="1" x14ac:dyDescent="0.35">
      <c r="A7" s="21">
        <v>1</v>
      </c>
      <c r="B7" s="96" t="s">
        <v>9</v>
      </c>
      <c r="C7" s="101">
        <v>545</v>
      </c>
      <c r="D7" s="101">
        <v>545</v>
      </c>
      <c r="E7" s="97">
        <f t="shared" ref="E7:E19" si="0">F7*D7</f>
        <v>4444.4902866197217</v>
      </c>
      <c r="F7" s="111">
        <f>'Alberhill System Project'!C88/'Cost Assumptions'!$B$15</f>
        <v>8.1550280488435263</v>
      </c>
      <c r="H7" s="116">
        <v>8</v>
      </c>
      <c r="I7" s="63" t="s">
        <v>10</v>
      </c>
      <c r="J7" s="111">
        <f>1/'Mira Loma'!C88/'Cost Assumptions'!$B$15</f>
        <v>0.10849019769766187</v>
      </c>
    </row>
    <row r="8" spans="1:10" x14ac:dyDescent="0.35">
      <c r="A8" s="21">
        <v>2</v>
      </c>
      <c r="B8" s="96" t="s">
        <v>11</v>
      </c>
      <c r="C8" s="101">
        <v>540</v>
      </c>
      <c r="D8" s="101">
        <v>469</v>
      </c>
      <c r="E8" s="97">
        <f t="shared" si="0"/>
        <v>2208.9613622025113</v>
      </c>
      <c r="F8" s="111">
        <f>'SDG&amp;E'!C88/'Cost Assumptions'!$B$15</f>
        <v>4.7099389385981052</v>
      </c>
      <c r="G8" s="94"/>
      <c r="H8" s="116">
        <v>1</v>
      </c>
      <c r="I8" s="63" t="s">
        <v>9</v>
      </c>
      <c r="J8" s="111">
        <f>1/'Alberhill System Project'!C88/'Cost Assumptions'!$B$15</f>
        <v>0.12262373519877852</v>
      </c>
    </row>
    <row r="9" spans="1:10" x14ac:dyDescent="0.35">
      <c r="A9" s="21">
        <v>3</v>
      </c>
      <c r="B9" s="96" t="s">
        <v>12</v>
      </c>
      <c r="C9" s="101">
        <v>285</v>
      </c>
      <c r="D9" s="101">
        <v>270</v>
      </c>
      <c r="E9" s="97">
        <f t="shared" si="0"/>
        <v>1356.2233449017285</v>
      </c>
      <c r="F9" s="111">
        <f>'Valley S to Valley N to Vista'!C89/'Cost Assumptions'!$B$15</f>
        <v>5.0230494255619575</v>
      </c>
      <c r="H9" s="116">
        <v>6</v>
      </c>
      <c r="I9" s="63" t="s">
        <v>13</v>
      </c>
      <c r="J9" s="111">
        <f>1/'VS to VN &amp; Distributed BESS VS'!C89/'Cost Assumptions'!$B$15</f>
        <v>0.13748843371344341</v>
      </c>
    </row>
    <row r="10" spans="1:10" x14ac:dyDescent="0.35">
      <c r="A10" s="21">
        <v>4</v>
      </c>
      <c r="B10" s="96" t="s">
        <v>14</v>
      </c>
      <c r="C10" s="101">
        <v>1004</v>
      </c>
      <c r="D10" s="101">
        <v>417</v>
      </c>
      <c r="E10" s="97">
        <f t="shared" si="0"/>
        <v>2356.3325899386791</v>
      </c>
      <c r="F10" s="111">
        <f>'Centralized BESS in Valley S'!C88/'Cost Assumptions'!$B$15</f>
        <v>5.6506776737138589</v>
      </c>
      <c r="H10" s="116">
        <v>13</v>
      </c>
      <c r="I10" s="63" t="s">
        <v>15</v>
      </c>
      <c r="J10" s="111">
        <f>1/'Valley South to Valley North'!C89/'Cost Assumptions'!$B$15</f>
        <v>0.13748843371344341</v>
      </c>
    </row>
    <row r="11" spans="1:10" x14ac:dyDescent="0.35">
      <c r="A11" s="21">
        <v>5</v>
      </c>
      <c r="B11" s="96" t="s">
        <v>16</v>
      </c>
      <c r="C11" s="101">
        <v>881</v>
      </c>
      <c r="D11" s="101">
        <v>429</v>
      </c>
      <c r="E11" s="97">
        <f t="shared" si="0"/>
        <v>2765.5471087244268</v>
      </c>
      <c r="F11" s="111">
        <f>'MiraLoma &amp; Centralized BESS VS'!C88/'Cost Assumptions'!$B$15</f>
        <v>6.4464967569333957</v>
      </c>
      <c r="H11" s="116">
        <v>5</v>
      </c>
      <c r="I11" s="63" t="s">
        <v>16</v>
      </c>
      <c r="J11" s="111">
        <f>1/'MiraLoma &amp; Centralized BESS VS'!C88/'Cost Assumptions'!$B$15</f>
        <v>0.15512301296428493</v>
      </c>
    </row>
    <row r="12" spans="1:10" x14ac:dyDescent="0.35">
      <c r="A12" s="21">
        <v>6</v>
      </c>
      <c r="B12" s="96" t="s">
        <v>13</v>
      </c>
      <c r="C12" s="101">
        <v>190</v>
      </c>
      <c r="D12" s="101">
        <v>185</v>
      </c>
      <c r="E12" s="97">
        <f t="shared" si="0"/>
        <v>1345.5677325234594</v>
      </c>
      <c r="F12" s="111">
        <f>'VS to VN &amp; Distributed BESS VS'!C89/'Cost Assumptions'!$B$15</f>
        <v>7.2733390947214023</v>
      </c>
      <c r="H12" s="116">
        <v>10</v>
      </c>
      <c r="I12" s="63" t="s">
        <v>17</v>
      </c>
      <c r="J12" s="111">
        <f>1/'VS to VN &amp; Central BESS VS VN '!C89/'Cost Assumptions'!$B$15</f>
        <v>0.1761278148664138</v>
      </c>
    </row>
    <row r="13" spans="1:10" x14ac:dyDescent="0.35">
      <c r="A13" s="21">
        <v>7</v>
      </c>
      <c r="B13" s="96" t="s">
        <v>18</v>
      </c>
      <c r="C13" s="101">
        <v>358</v>
      </c>
      <c r="D13" s="101">
        <v>315</v>
      </c>
      <c r="E13" s="97">
        <f t="shared" si="0"/>
        <v>1619.2607750919663</v>
      </c>
      <c r="F13" s="111">
        <f>Menifee!C88/'Cost Assumptions'!$B$15</f>
        <v>5.1405103971173531</v>
      </c>
      <c r="H13" s="116">
        <v>7</v>
      </c>
      <c r="I13" s="63" t="s">
        <v>18</v>
      </c>
      <c r="J13" s="111">
        <f>1/Menifee!C88/'Cost Assumptions'!$B$15</f>
        <v>0.19453321221969916</v>
      </c>
    </row>
    <row r="14" spans="1:10" x14ac:dyDescent="0.35">
      <c r="A14" s="21">
        <v>8</v>
      </c>
      <c r="B14" s="96" t="s">
        <v>10</v>
      </c>
      <c r="C14" s="101">
        <v>328</v>
      </c>
      <c r="D14" s="101">
        <v>290</v>
      </c>
      <c r="E14" s="97">
        <f t="shared" si="0"/>
        <v>2673.0525536340688</v>
      </c>
      <c r="F14" s="111">
        <f>'Mira Loma'!C88/'Cost Assumptions'!$B$15</f>
        <v>9.2174225987381675</v>
      </c>
      <c r="H14" s="116">
        <v>12</v>
      </c>
      <c r="I14" s="63" t="s">
        <v>19</v>
      </c>
      <c r="J14" s="111">
        <f>1/'SDG&amp;E and Central BESS in VS'!C88/'Cost Assumptions'!$B$15</f>
        <v>0.19627621297970926</v>
      </c>
    </row>
    <row r="15" spans="1:10" x14ac:dyDescent="0.35">
      <c r="A15" s="21">
        <v>9</v>
      </c>
      <c r="B15" s="96" t="s">
        <v>20</v>
      </c>
      <c r="C15" s="101">
        <v>951</v>
      </c>
      <c r="D15" s="101">
        <v>806</v>
      </c>
      <c r="E15" s="97">
        <f t="shared" si="0"/>
        <v>3720.4070952831585</v>
      </c>
      <c r="F15" s="111">
        <f>'SCE Orange County'!C88/'Cost Assumptions'!$B$15</f>
        <v>4.6158896963810898</v>
      </c>
      <c r="H15" s="116">
        <v>4</v>
      </c>
      <c r="I15" s="63" t="s">
        <v>14</v>
      </c>
      <c r="J15" s="111">
        <f>1/'Centralized BESS in Valley S'!C88/'Cost Assumptions'!$B$15</f>
        <v>0.17696992427153585</v>
      </c>
    </row>
    <row r="16" spans="1:10" x14ac:dyDescent="0.35">
      <c r="A16" s="21">
        <v>10</v>
      </c>
      <c r="B16" s="96" t="s">
        <v>17</v>
      </c>
      <c r="C16" s="101">
        <v>538</v>
      </c>
      <c r="D16" s="101">
        <v>239</v>
      </c>
      <c r="E16" s="97">
        <f t="shared" si="0"/>
        <v>1356.9690862358814</v>
      </c>
      <c r="F16" s="111">
        <f>'VS to VN &amp; Central BESS VS VN '!C89/'Cost Assumptions'!$B$15</f>
        <v>5.6776949214890431</v>
      </c>
      <c r="H16" s="116">
        <v>11</v>
      </c>
      <c r="I16" s="63" t="s">
        <v>21</v>
      </c>
      <c r="J16" s="111">
        <f>1/'VS to VN to VST &amp; Cen BESS VS'!C89/'Cost Assumptions'!$B$15</f>
        <v>0.19908225368260721</v>
      </c>
    </row>
    <row r="17" spans="1:10" x14ac:dyDescent="0.35">
      <c r="A17" s="21">
        <v>11</v>
      </c>
      <c r="B17" s="96" t="s">
        <v>21</v>
      </c>
      <c r="C17" s="101">
        <v>285</v>
      </c>
      <c r="D17" s="101">
        <v>270</v>
      </c>
      <c r="E17" s="97">
        <f t="shared" si="0"/>
        <v>1356.2233449017285</v>
      </c>
      <c r="F17" s="111">
        <f>'VS to VN to VST &amp; Cen BESS VS'!C89/'Cost Assumptions'!$B$15</f>
        <v>5.0230494255619575</v>
      </c>
      <c r="H17" s="116">
        <v>3</v>
      </c>
      <c r="I17" s="63" t="s">
        <v>12</v>
      </c>
      <c r="J17" s="111">
        <f>1/'Valley S to Valley N to Vista'!C89/'Cost Assumptions'!$B$15</f>
        <v>0.19908225368260721</v>
      </c>
    </row>
    <row r="18" spans="1:10" x14ac:dyDescent="0.35">
      <c r="A18" s="21">
        <v>12</v>
      </c>
      <c r="B18" s="96" t="s">
        <v>19</v>
      </c>
      <c r="C18" s="101">
        <v>685</v>
      </c>
      <c r="D18" s="101">
        <v>504</v>
      </c>
      <c r="E18" s="97">
        <f t="shared" si="0"/>
        <v>2567.8098856131014</v>
      </c>
      <c r="F18" s="111">
        <f>'SDG&amp;E and Central BESS in VS'!C88/'Cost Assumptions'!$B$15</f>
        <v>5.094860884152979</v>
      </c>
      <c r="H18" s="116">
        <v>2</v>
      </c>
      <c r="I18" s="63" t="s">
        <v>11</v>
      </c>
      <c r="J18" s="111">
        <f>1/'SDG&amp;E'!C88/'Cost Assumptions'!$B$15</f>
        <v>0.21231697757373602</v>
      </c>
    </row>
    <row r="19" spans="1:10" x14ac:dyDescent="0.35">
      <c r="A19" s="81">
        <v>13</v>
      </c>
      <c r="B19" s="96" t="s">
        <v>15</v>
      </c>
      <c r="C19" s="101">
        <v>190</v>
      </c>
      <c r="D19" s="101">
        <v>185</v>
      </c>
      <c r="E19" s="97">
        <f t="shared" si="0"/>
        <v>1345.5677325234594</v>
      </c>
      <c r="F19" s="111">
        <f>'Valley South to Valley North'!C89/'Cost Assumptions'!$B$15</f>
        <v>7.2733390947214023</v>
      </c>
      <c r="H19" s="116">
        <v>9</v>
      </c>
      <c r="I19" s="63" t="s">
        <v>20</v>
      </c>
      <c r="J19" s="111">
        <f>1/'SCE Orange County'!C88/'Cost Assumptions'!$B$15</f>
        <v>0.21664295851437079</v>
      </c>
    </row>
    <row r="20" spans="1:10" ht="15.5" x14ac:dyDescent="0.35">
      <c r="A20" s="95"/>
      <c r="B20" s="43"/>
      <c r="C20" s="79"/>
      <c r="D20" s="79"/>
    </row>
    <row r="21" spans="1:10" ht="15.5" x14ac:dyDescent="0.35">
      <c r="A21" s="95"/>
      <c r="B21" s="43"/>
      <c r="C21" s="79"/>
      <c r="D21" s="79"/>
    </row>
  </sheetData>
  <autoFilter ref="H6:J18" xr:uid="{00000000-0009-0000-0000-000000000000}">
    <sortState xmlns:xlrd2="http://schemas.microsoft.com/office/spreadsheetml/2017/richdata2" ref="H7:J19">
      <sortCondition ref="J6:J18"/>
    </sortState>
  </autoFilter>
  <conditionalFormatting sqref="J7:J19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7:E19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7:F19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orientation="portrait" horizontalDpi="1200" verticalDpi="1200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D91"/>
  <sheetViews>
    <sheetView zoomScale="89" zoomScaleNormal="89" workbookViewId="0"/>
  </sheetViews>
  <sheetFormatPr defaultRowHeight="14.5" x14ac:dyDescent="0.35"/>
  <cols>
    <col min="1" max="1" width="15.7265625" bestFit="1" customWidth="1"/>
    <col min="2" max="2" width="29.453125" customWidth="1"/>
    <col min="3" max="3" width="26.81640625" bestFit="1" customWidth="1"/>
    <col min="4" max="4" width="14.81640625" customWidth="1"/>
    <col min="5" max="6" width="18.1796875" bestFit="1" customWidth="1"/>
    <col min="7" max="29" width="14.81640625" bestFit="1" customWidth="1"/>
    <col min="30" max="30" width="17.54296875" bestFit="1" customWidth="1"/>
  </cols>
  <sheetData>
    <row r="1" spans="1:30" ht="20" thickBot="1" x14ac:dyDescent="0.5">
      <c r="A1" s="113"/>
      <c r="B1" s="122"/>
      <c r="C1" s="113" t="s">
        <v>105</v>
      </c>
      <c r="D1" s="113">
        <v>2022</v>
      </c>
      <c r="E1" s="113">
        <v>2023</v>
      </c>
      <c r="F1" s="113">
        <v>2024</v>
      </c>
      <c r="G1" s="113">
        <v>2025</v>
      </c>
      <c r="H1" s="113">
        <v>2026</v>
      </c>
      <c r="I1" s="113">
        <v>2027</v>
      </c>
      <c r="J1" s="113">
        <v>2028</v>
      </c>
      <c r="K1" s="113">
        <v>2029</v>
      </c>
      <c r="L1" s="113">
        <v>2030</v>
      </c>
      <c r="M1" s="113">
        <v>2031</v>
      </c>
      <c r="N1" s="113">
        <v>2032</v>
      </c>
      <c r="O1" s="113">
        <v>2033</v>
      </c>
      <c r="P1" s="113">
        <v>2034</v>
      </c>
      <c r="Q1" s="113">
        <v>2035</v>
      </c>
      <c r="R1" s="113">
        <v>2036</v>
      </c>
      <c r="S1" s="113">
        <v>2037</v>
      </c>
      <c r="T1" s="113">
        <v>2038</v>
      </c>
      <c r="U1" s="113">
        <v>2039</v>
      </c>
      <c r="V1" s="113">
        <v>2040</v>
      </c>
      <c r="W1" s="113">
        <v>2041</v>
      </c>
      <c r="X1" s="113">
        <v>2042</v>
      </c>
      <c r="Y1" s="113">
        <v>2043</v>
      </c>
      <c r="Z1" s="113">
        <v>2044</v>
      </c>
      <c r="AA1" s="113">
        <v>2045</v>
      </c>
      <c r="AB1" s="113">
        <v>2046</v>
      </c>
      <c r="AC1" s="113">
        <v>2047</v>
      </c>
      <c r="AD1" s="113">
        <v>2048</v>
      </c>
    </row>
    <row r="2" spans="1:30" ht="15" thickTop="1" x14ac:dyDescent="0.35">
      <c r="A2" s="72"/>
      <c r="B2" s="179" t="s">
        <v>26</v>
      </c>
      <c r="C2" s="72" t="s">
        <v>107</v>
      </c>
      <c r="D2" s="53">
        <f>'Baseline System Analysis'!D2</f>
        <v>49666.999999999534</v>
      </c>
      <c r="E2" s="53">
        <f>'Baseline System Analysis'!E2</f>
        <v>50103.790384614935</v>
      </c>
      <c r="F2" s="53">
        <f>'Baseline System Analysis'!F2</f>
        <v>50540.580769230335</v>
      </c>
      <c r="G2" s="53">
        <f>'Baseline System Analysis'!G2</f>
        <v>50977.371153845736</v>
      </c>
      <c r="H2" s="53">
        <f>'Baseline System Analysis'!H2</f>
        <v>51414.161538461136</v>
      </c>
      <c r="I2" s="53">
        <f>'Baseline System Analysis'!I2</f>
        <v>51850.951923076536</v>
      </c>
      <c r="J2" s="53">
        <f>'Baseline System Analysis'!J2</f>
        <v>52287.742307691937</v>
      </c>
      <c r="K2" s="53">
        <f>'Baseline System Analysis'!K2</f>
        <v>51698.184615384183</v>
      </c>
      <c r="L2" s="53">
        <f>'Baseline System Analysis'!L2</f>
        <v>51988.353846153419</v>
      </c>
      <c r="M2" s="53">
        <f>'Baseline System Analysis'!M2</f>
        <v>52278.523076922655</v>
      </c>
      <c r="N2" s="53">
        <f>'Baseline System Analysis'!N2</f>
        <v>52568.69230769189</v>
      </c>
      <c r="O2" s="53">
        <f>'Baseline System Analysis'!O2</f>
        <v>52858.861538461126</v>
      </c>
      <c r="P2" s="53">
        <f>'Baseline System Analysis'!P2</f>
        <v>53149.030769230361</v>
      </c>
      <c r="Q2" s="53">
        <f>'Baseline System Analysis'!Q2</f>
        <v>53439.199999999597</v>
      </c>
      <c r="R2" s="53">
        <f>'Baseline System Analysis'!R2</f>
        <v>53729.369230768832</v>
      </c>
      <c r="S2" s="53">
        <f>'Baseline System Analysis'!S2</f>
        <v>54019.538461538068</v>
      </c>
      <c r="T2" s="53">
        <f>'Baseline System Analysis'!T2</f>
        <v>54309.707692307304</v>
      </c>
      <c r="U2" s="53">
        <f>'Baseline System Analysis'!U2</f>
        <v>54599.876923076539</v>
      </c>
      <c r="V2" s="53">
        <f>'Baseline System Analysis'!V2</f>
        <v>54890.046153845775</v>
      </c>
      <c r="W2" s="53">
        <f>'Baseline System Analysis'!W2</f>
        <v>55180.21538461501</v>
      </c>
      <c r="X2" s="53">
        <f>'Baseline System Analysis'!X2</f>
        <v>55470.384615384246</v>
      </c>
      <c r="Y2" s="53">
        <f>'Baseline System Analysis'!Y2</f>
        <v>55760.553846153482</v>
      </c>
      <c r="Z2" s="53">
        <f>'Baseline System Analysis'!Z2</f>
        <v>56050.723076922717</v>
      </c>
      <c r="AA2" s="53">
        <f>'Baseline System Analysis'!AA2</f>
        <v>56340.892307691953</v>
      </c>
      <c r="AB2" s="53">
        <f>'Baseline System Analysis'!AB2</f>
        <v>56631.061538461188</v>
      </c>
      <c r="AC2" s="53">
        <f>'Baseline System Analysis'!AC2</f>
        <v>56921.230769230424</v>
      </c>
      <c r="AD2" s="53">
        <f>'Baseline System Analysis'!AD2</f>
        <v>57211.399999999638</v>
      </c>
    </row>
    <row r="3" spans="1:30" x14ac:dyDescent="0.35">
      <c r="A3" s="72" t="s">
        <v>30</v>
      </c>
      <c r="B3" s="180"/>
      <c r="C3" s="72" t="s">
        <v>31</v>
      </c>
      <c r="D3" s="53">
        <f>'Baseline System Analysis'!D3</f>
        <v>10</v>
      </c>
      <c r="E3" s="53">
        <f>'Baseline System Analysis'!E3</f>
        <v>20.5</v>
      </c>
      <c r="F3" s="53">
        <f>'Baseline System Analysis'!F3</f>
        <v>29.879999999999995</v>
      </c>
      <c r="G3" s="53">
        <f>'Baseline System Analysis'!G3</f>
        <v>39.259999999999991</v>
      </c>
      <c r="H3" s="53">
        <f>'Baseline System Analysis'!H3</f>
        <v>48.639999999999986</v>
      </c>
      <c r="I3" s="53">
        <f>'Baseline System Analysis'!I3</f>
        <v>58.019999999999982</v>
      </c>
      <c r="J3" s="53">
        <f>'Baseline System Analysis'!J3</f>
        <v>67.399999999999977</v>
      </c>
      <c r="K3" s="53">
        <f>'Baseline System Analysis'!K3</f>
        <v>57.599999999999966</v>
      </c>
      <c r="L3" s="53">
        <f>'Baseline System Analysis'!L3</f>
        <v>49.800000000000011</v>
      </c>
      <c r="M3" s="53">
        <f>'Baseline System Analysis'!M3</f>
        <v>41.5</v>
      </c>
      <c r="N3" s="53">
        <f>'Baseline System Analysis'!N3</f>
        <v>53.700000000000017</v>
      </c>
      <c r="O3" s="53">
        <f>'Baseline System Analysis'!O3</f>
        <v>75.066666666666691</v>
      </c>
      <c r="P3" s="53">
        <f>'Baseline System Analysis'!P3</f>
        <v>96.433333333333366</v>
      </c>
      <c r="Q3" s="53">
        <f>'Baseline System Analysis'!Q3</f>
        <v>117.80000000000004</v>
      </c>
      <c r="R3" s="53">
        <f>'Baseline System Analysis'!R3</f>
        <v>139.16666666666671</v>
      </c>
      <c r="S3" s="53">
        <f>'Baseline System Analysis'!S3</f>
        <v>160.53333333333339</v>
      </c>
      <c r="T3" s="53">
        <f>'Baseline System Analysis'!T3</f>
        <v>181.90000000000003</v>
      </c>
      <c r="U3" s="53">
        <f>'Baseline System Analysis'!U3</f>
        <v>244.23000000000002</v>
      </c>
      <c r="V3" s="53">
        <f>'Baseline System Analysis'!V3</f>
        <v>306.56</v>
      </c>
      <c r="W3" s="53">
        <f>'Baseline System Analysis'!W3</f>
        <v>368.89</v>
      </c>
      <c r="X3" s="53">
        <f>'Baseline System Analysis'!X3</f>
        <v>431.21999999999997</v>
      </c>
      <c r="Y3" s="53">
        <f>'Baseline System Analysis'!Y3</f>
        <v>453.7000000000001</v>
      </c>
      <c r="Z3" s="53">
        <f>'Baseline System Analysis'!Z3</f>
        <v>524.00000000000011</v>
      </c>
      <c r="AA3" s="53">
        <f>'Baseline System Analysis'!AA3</f>
        <v>594.30000000000007</v>
      </c>
      <c r="AB3" s="53">
        <f>'Baseline System Analysis'!AB3</f>
        <v>664.6</v>
      </c>
      <c r="AC3" s="53">
        <f>'Baseline System Analysis'!AC3</f>
        <v>734.9</v>
      </c>
      <c r="AD3" s="53">
        <f>'Baseline System Analysis'!AD3</f>
        <v>805.2</v>
      </c>
    </row>
    <row r="4" spans="1:30" x14ac:dyDescent="0.35">
      <c r="A4" s="72" t="s">
        <v>30</v>
      </c>
      <c r="B4" s="180"/>
      <c r="C4" s="72" t="s">
        <v>32</v>
      </c>
      <c r="D4" s="53">
        <f>'Baseline System Analysis'!D4</f>
        <v>2</v>
      </c>
      <c r="E4" s="53">
        <f>'Baseline System Analysis'!E4</f>
        <v>3</v>
      </c>
      <c r="F4" s="53">
        <f>'Baseline System Analysis'!F4</f>
        <v>4.6799999999999953</v>
      </c>
      <c r="G4" s="53">
        <f>'Baseline System Analysis'!G4</f>
        <v>6.3599999999999905</v>
      </c>
      <c r="H4" s="53">
        <f>'Baseline System Analysis'!H4</f>
        <v>8.0399999999999867</v>
      </c>
      <c r="I4" s="53">
        <f>'Baseline System Analysis'!I4</f>
        <v>9.7199999999999829</v>
      </c>
      <c r="J4" s="53">
        <f>'Baseline System Analysis'!J4</f>
        <v>11.399999999999977</v>
      </c>
      <c r="K4" s="53">
        <f>'Baseline System Analysis'!K4</f>
        <v>10.199999999999989</v>
      </c>
      <c r="L4" s="53">
        <f>'Baseline System Analysis'!L4</f>
        <v>8.5999999999999943</v>
      </c>
      <c r="M4" s="53">
        <f>'Baseline System Analysis'!M4</f>
        <v>6.8000000000000114</v>
      </c>
      <c r="N4" s="53">
        <f>'Baseline System Analysis'!N4</f>
        <v>9.6000000000000227</v>
      </c>
      <c r="O4" s="53">
        <f>'Baseline System Analysis'!O4</f>
        <v>11.333333333333352</v>
      </c>
      <c r="P4" s="53">
        <f>'Baseline System Analysis'!P4</f>
        <v>13.066666666666681</v>
      </c>
      <c r="Q4" s="53">
        <f>'Baseline System Analysis'!Q4</f>
        <v>14.80000000000001</v>
      </c>
      <c r="R4" s="53">
        <f>'Baseline System Analysis'!R4</f>
        <v>16.533333333333339</v>
      </c>
      <c r="S4" s="53">
        <f>'Baseline System Analysis'!S4</f>
        <v>18.266666666666669</v>
      </c>
      <c r="T4" s="53">
        <f>'Baseline System Analysis'!T4</f>
        <v>20</v>
      </c>
      <c r="U4" s="53">
        <f>'Baseline System Analysis'!U4</f>
        <v>21.860000000000003</v>
      </c>
      <c r="V4" s="53">
        <f>'Baseline System Analysis'!V4</f>
        <v>23.720000000000006</v>
      </c>
      <c r="W4" s="53">
        <f>'Baseline System Analysis'!W4</f>
        <v>25.580000000000009</v>
      </c>
      <c r="X4" s="53">
        <f>'Baseline System Analysis'!X4</f>
        <v>27.440000000000012</v>
      </c>
      <c r="Y4" s="53">
        <f>'Baseline System Analysis'!Y4</f>
        <v>29.300000000000011</v>
      </c>
      <c r="Z4" s="53">
        <f>'Baseline System Analysis'!Z4</f>
        <v>30.480000000000008</v>
      </c>
      <c r="AA4" s="53">
        <f>'Baseline System Analysis'!AA4</f>
        <v>31.660000000000004</v>
      </c>
      <c r="AB4" s="53">
        <f>'Baseline System Analysis'!AB4</f>
        <v>32.839999999999996</v>
      </c>
      <c r="AC4" s="53">
        <f>'Baseline System Analysis'!AC4</f>
        <v>34.019999999999989</v>
      </c>
      <c r="AD4" s="53">
        <f>'Baseline System Analysis'!AD4</f>
        <v>35.199999999999989</v>
      </c>
    </row>
    <row r="5" spans="1:30" x14ac:dyDescent="0.35">
      <c r="A5" s="72" t="s">
        <v>30</v>
      </c>
      <c r="B5" s="180"/>
      <c r="C5" s="72" t="s">
        <v>33</v>
      </c>
      <c r="D5" s="53">
        <f>'Baseline System Analysis'!D5</f>
        <v>8.4812112193331513E-2</v>
      </c>
      <c r="E5" s="53">
        <f>'Baseline System Analysis'!E5</f>
        <v>0.24283371212350299</v>
      </c>
      <c r="F5" s="53">
        <f>'Baseline System Analysis'!F5</f>
        <v>0.34046276046663143</v>
      </c>
      <c r="G5" s="53">
        <f>'Baseline System Analysis'!G5</f>
        <v>0.43809180880975984</v>
      </c>
      <c r="H5" s="53">
        <f>'Baseline System Analysis'!H5</f>
        <v>0.53572085715288831</v>
      </c>
      <c r="I5" s="53">
        <f>'Baseline System Analysis'!I5</f>
        <v>0.63334990549601677</v>
      </c>
      <c r="J5" s="53">
        <f>'Baseline System Analysis'!J5</f>
        <v>0.73097895383914513</v>
      </c>
      <c r="K5" s="53">
        <f>'Baseline System Analysis'!K5</f>
        <v>0.61764830497225676</v>
      </c>
      <c r="L5" s="53">
        <f>'Baseline System Analysis'!L5</f>
        <v>0.52957812632109091</v>
      </c>
      <c r="M5" s="53">
        <f>'Baseline System Analysis'!M5</f>
        <v>0.48185121670948772</v>
      </c>
      <c r="N5" s="53">
        <f>'Baseline System Analysis'!N5</f>
        <v>0.56680711827214547</v>
      </c>
      <c r="O5" s="53">
        <f>'Baseline System Analysis'!O5</f>
        <v>0.96980348799493798</v>
      </c>
      <c r="P5" s="53">
        <f>'Baseline System Analysis'!P5</f>
        <v>1.3727998577177305</v>
      </c>
      <c r="Q5" s="53">
        <f>'Baseline System Analysis'!Q5</f>
        <v>1.775796227440523</v>
      </c>
      <c r="R5" s="53">
        <f>'Baseline System Analysis'!R5</f>
        <v>2.1787925971633153</v>
      </c>
      <c r="S5" s="53">
        <f>'Baseline System Analysis'!S5</f>
        <v>2.5817889668861076</v>
      </c>
      <c r="T5" s="53">
        <f>'Baseline System Analysis'!T5</f>
        <v>2.9847853366089003</v>
      </c>
      <c r="U5" s="53">
        <f>'Baseline System Analysis'!U5</f>
        <v>21.070525908414965</v>
      </c>
      <c r="V5" s="53">
        <f>'Baseline System Analysis'!V5</f>
        <v>39.156266480221028</v>
      </c>
      <c r="W5" s="53">
        <f>'Baseline System Analysis'!W5</f>
        <v>57.242007052027091</v>
      </c>
      <c r="X5" s="53">
        <f>'Baseline System Analysis'!X5</f>
        <v>75.327747623833147</v>
      </c>
      <c r="Y5" s="53">
        <f>'Baseline System Analysis'!Y5</f>
        <v>93.413488195639218</v>
      </c>
      <c r="Z5" s="53">
        <f>'Baseline System Analysis'!Z5</f>
        <v>81.062212021092932</v>
      </c>
      <c r="AA5" s="53">
        <f>'Baseline System Analysis'!AA5</f>
        <v>68.710935846546647</v>
      </c>
      <c r="AB5" s="53">
        <f>'Baseline System Analysis'!AB5</f>
        <v>56.359659672000362</v>
      </c>
      <c r="AC5" s="53">
        <f>'Baseline System Analysis'!AC5</f>
        <v>44.008383497454076</v>
      </c>
      <c r="AD5" s="53">
        <f>'Baseline System Analysis'!AD5</f>
        <v>31.657107322907791</v>
      </c>
    </row>
    <row r="6" spans="1:30" x14ac:dyDescent="0.35">
      <c r="A6" s="72" t="s">
        <v>30</v>
      </c>
      <c r="B6" s="180"/>
      <c r="C6" s="72" t="s">
        <v>34</v>
      </c>
      <c r="D6" s="53">
        <f>'Baseline System Analysis'!D6</f>
        <v>6.0580080138093939E-3</v>
      </c>
      <c r="E6" s="53">
        <f>'Baseline System Analysis'!E6</f>
        <v>1.7771756236396739E-2</v>
      </c>
      <c r="F6" s="53">
        <f>'Baseline System Analysis'!F6</f>
        <v>2.504677784712513E-2</v>
      </c>
      <c r="G6" s="53">
        <f>'Baseline System Analysis'!G6</f>
        <v>3.2321799457853517E-2</v>
      </c>
      <c r="H6" s="53">
        <f>'Baseline System Analysis'!H6</f>
        <v>3.9596821068581908E-2</v>
      </c>
      <c r="I6" s="53">
        <f>'Baseline System Analysis'!I6</f>
        <v>4.6871842679310299E-2</v>
      </c>
      <c r="J6" s="53">
        <f>'Baseline System Analysis'!J6</f>
        <v>5.414686429003869E-2</v>
      </c>
      <c r="K6" s="53">
        <f>'Baseline System Analysis'!K6</f>
        <v>4.57170533491131E-2</v>
      </c>
      <c r="L6" s="53">
        <f>'Baseline System Analysis'!L6</f>
        <v>3.8991796004088156E-2</v>
      </c>
      <c r="M6" s="53">
        <f>'Baseline System Analysis'!M6</f>
        <v>3.1792887361975948E-2</v>
      </c>
      <c r="N6" s="53">
        <f>'Baseline System Analysis'!N6</f>
        <v>4.2212624824281168E-2</v>
      </c>
      <c r="O6" s="53">
        <f>'Baseline System Analysis'!O6</f>
        <v>5.9766414638595444E-2</v>
      </c>
      <c r="P6" s="53">
        <f>'Baseline System Analysis'!P6</f>
        <v>7.7320204452909727E-2</v>
      </c>
      <c r="Q6" s="53">
        <f>'Baseline System Analysis'!Q6</f>
        <v>9.487399426722401E-2</v>
      </c>
      <c r="R6" s="53">
        <f>'Baseline System Analysis'!R6</f>
        <v>0.11242778408153829</v>
      </c>
      <c r="S6" s="53">
        <f>'Baseline System Analysis'!S6</f>
        <v>0.12998157389585258</v>
      </c>
      <c r="T6" s="53">
        <f>'Baseline System Analysis'!T6</f>
        <v>0.14753536371016684</v>
      </c>
      <c r="U6" s="53">
        <f>'Baseline System Analysis'!U6</f>
        <v>0.40051087482777559</v>
      </c>
      <c r="V6" s="53">
        <f>'Baseline System Analysis'!V6</f>
        <v>0.65348638594538433</v>
      </c>
      <c r="W6" s="53">
        <f>'Baseline System Analysis'!W6</f>
        <v>0.90646189706299307</v>
      </c>
      <c r="X6" s="53">
        <f>'Baseline System Analysis'!X6</f>
        <v>1.1594374081806018</v>
      </c>
      <c r="Y6" s="53">
        <f>'Baseline System Analysis'!Y6</f>
        <v>1.4124129192982104</v>
      </c>
      <c r="Z6" s="53">
        <f>'Baseline System Analysis'!Z6</f>
        <v>1.2710233198999881</v>
      </c>
      <c r="AA6" s="53">
        <f>'Baseline System Analysis'!AA6</f>
        <v>1.1296337205017657</v>
      </c>
      <c r="AB6" s="53">
        <f>'Baseline System Analysis'!AB6</f>
        <v>0.98824412110354332</v>
      </c>
      <c r="AC6" s="53">
        <f>'Baseline System Analysis'!AC6</f>
        <v>0.84685452170532094</v>
      </c>
      <c r="AD6" s="53">
        <f>'Baseline System Analysis'!AD6</f>
        <v>0.70546492230709823</v>
      </c>
    </row>
    <row r="7" spans="1:30" x14ac:dyDescent="0.35">
      <c r="A7" s="72" t="s">
        <v>30</v>
      </c>
      <c r="B7" s="180"/>
      <c r="C7" s="72" t="s">
        <v>35</v>
      </c>
      <c r="D7" s="53">
        <f>'Baseline System Analysis'!D7</f>
        <v>14</v>
      </c>
      <c r="E7" s="53">
        <f>'Baseline System Analysis'!E7</f>
        <v>21</v>
      </c>
      <c r="F7" s="53">
        <f>'Baseline System Analysis'!F7</f>
        <v>23.2</v>
      </c>
      <c r="G7" s="53">
        <f>'Baseline System Analysis'!G7</f>
        <v>25.4</v>
      </c>
      <c r="H7" s="53">
        <f>'Baseline System Analysis'!H7</f>
        <v>27.599999999999998</v>
      </c>
      <c r="I7" s="53">
        <f>'Baseline System Analysis'!I7</f>
        <v>29.799999999999997</v>
      </c>
      <c r="J7" s="53">
        <f>'Baseline System Analysis'!J7</f>
        <v>32</v>
      </c>
      <c r="K7" s="53">
        <f>'Baseline System Analysis'!K7</f>
        <v>30</v>
      </c>
      <c r="L7" s="53">
        <f>'Baseline System Analysis'!L7</f>
        <v>29</v>
      </c>
      <c r="M7" s="53">
        <f>'Baseline System Analysis'!M7</f>
        <v>29</v>
      </c>
      <c r="N7" s="53">
        <f>'Baseline System Analysis'!N7</f>
        <v>29</v>
      </c>
      <c r="O7" s="53">
        <f>'Baseline System Analysis'!O7</f>
        <v>32.666666666666664</v>
      </c>
      <c r="P7" s="53">
        <f>'Baseline System Analysis'!P7</f>
        <v>36.333333333333329</v>
      </c>
      <c r="Q7" s="53">
        <f>'Baseline System Analysis'!Q7</f>
        <v>39.999999999999993</v>
      </c>
      <c r="R7" s="53">
        <f>'Baseline System Analysis'!R7</f>
        <v>43.666666666666657</v>
      </c>
      <c r="S7" s="53">
        <f>'Baseline System Analysis'!S7</f>
        <v>47.333333333333321</v>
      </c>
      <c r="T7" s="53">
        <f>'Baseline System Analysis'!T7</f>
        <v>51</v>
      </c>
      <c r="U7" s="53">
        <f>'Baseline System Analysis'!U7</f>
        <v>56.6</v>
      </c>
      <c r="V7" s="53">
        <f>'Baseline System Analysis'!V7</f>
        <v>62.2</v>
      </c>
      <c r="W7" s="53">
        <f>'Baseline System Analysis'!W7</f>
        <v>67.8</v>
      </c>
      <c r="X7" s="53">
        <f>'Baseline System Analysis'!X7</f>
        <v>73.399999999999991</v>
      </c>
      <c r="Y7" s="53">
        <f>'Baseline System Analysis'!Y7</f>
        <v>79</v>
      </c>
      <c r="Z7" s="53">
        <f>'Baseline System Analysis'!Z7</f>
        <v>82</v>
      </c>
      <c r="AA7" s="53">
        <f>'Baseline System Analysis'!AA7</f>
        <v>85</v>
      </c>
      <c r="AB7" s="53">
        <f>'Baseline System Analysis'!AB7</f>
        <v>88</v>
      </c>
      <c r="AC7" s="53">
        <f>'Baseline System Analysis'!AC7</f>
        <v>91</v>
      </c>
      <c r="AD7" s="53">
        <f>'Baseline System Analysis'!AD7</f>
        <v>94</v>
      </c>
    </row>
    <row r="8" spans="1:30" x14ac:dyDescent="0.35">
      <c r="A8" s="72" t="s">
        <v>39</v>
      </c>
      <c r="B8" s="180"/>
      <c r="C8" s="72" t="s">
        <v>31</v>
      </c>
      <c r="D8" s="53">
        <f>'Baseline System Analysis'!D8</f>
        <v>22.2</v>
      </c>
      <c r="E8" s="53">
        <f>'Baseline System Analysis'!E8</f>
        <v>65.8</v>
      </c>
      <c r="F8" s="53">
        <f>'Baseline System Analysis'!F8</f>
        <v>102.72</v>
      </c>
      <c r="G8" s="53">
        <f>'Baseline System Analysis'!G8</f>
        <v>139.63999999999999</v>
      </c>
      <c r="H8" s="53">
        <f>'Baseline System Analysis'!H8</f>
        <v>176.56</v>
      </c>
      <c r="I8" s="53">
        <f>'Baseline System Analysis'!I8</f>
        <v>213.48000000000002</v>
      </c>
      <c r="J8" s="53">
        <f>'Baseline System Analysis'!J8</f>
        <v>250.4</v>
      </c>
      <c r="K8" s="53">
        <f>'Baseline System Analysis'!K8</f>
        <v>216.60000000000014</v>
      </c>
      <c r="L8" s="53">
        <f>'Baseline System Analysis'!L8</f>
        <v>182.59999999999991</v>
      </c>
      <c r="M8" s="53">
        <f>'Baseline System Analysis'!M8</f>
        <v>151.20000000000005</v>
      </c>
      <c r="N8" s="53">
        <f>'Baseline System Analysis'!N8</f>
        <v>202.60000000000014</v>
      </c>
      <c r="O8" s="53">
        <f>'Baseline System Analysis'!O8</f>
        <v>292.1666666666668</v>
      </c>
      <c r="P8" s="53">
        <f>'Baseline System Analysis'!P8</f>
        <v>381.73333333333346</v>
      </c>
      <c r="Q8" s="53">
        <f>'Baseline System Analysis'!Q8</f>
        <v>471.30000000000013</v>
      </c>
      <c r="R8" s="53">
        <f>'Baseline System Analysis'!R8</f>
        <v>560.86666666666679</v>
      </c>
      <c r="S8" s="53">
        <f>'Baseline System Analysis'!S8</f>
        <v>650.43333333333339</v>
      </c>
      <c r="T8" s="53">
        <f>'Baseline System Analysis'!T8</f>
        <v>740</v>
      </c>
      <c r="U8" s="53">
        <f>'Baseline System Analysis'!U8</f>
        <v>930.87999999999988</v>
      </c>
      <c r="V8" s="53">
        <f>'Baseline System Analysis'!V8</f>
        <v>1121.7599999999998</v>
      </c>
      <c r="W8" s="53">
        <f>'Baseline System Analysis'!W8</f>
        <v>1312.6399999999996</v>
      </c>
      <c r="X8" s="53">
        <f>'Baseline System Analysis'!X8</f>
        <v>1503.5199999999995</v>
      </c>
      <c r="Y8" s="53">
        <f>'Baseline System Analysis'!Y8</f>
        <v>1694.3999999999994</v>
      </c>
      <c r="Z8" s="53">
        <f>'Baseline System Analysis'!Z8</f>
        <v>1887.3999999999994</v>
      </c>
      <c r="AA8" s="53">
        <f>'Baseline System Analysis'!AA8</f>
        <v>2080.3999999999996</v>
      </c>
      <c r="AB8" s="53">
        <f>'Baseline System Analysis'!AB8</f>
        <v>2273.3999999999996</v>
      </c>
      <c r="AC8" s="53">
        <f>'Baseline System Analysis'!AC8</f>
        <v>2466.3999999999996</v>
      </c>
      <c r="AD8" s="53">
        <f>'Baseline System Analysis'!AD8</f>
        <v>2659.3999999999996</v>
      </c>
    </row>
    <row r="9" spans="1:30" x14ac:dyDescent="0.35">
      <c r="A9" s="72" t="s">
        <v>39</v>
      </c>
      <c r="B9" s="180"/>
      <c r="C9" s="72" t="s">
        <v>32</v>
      </c>
      <c r="D9" s="53">
        <f>'Baseline System Analysis'!D9</f>
        <v>13</v>
      </c>
      <c r="E9" s="53">
        <f>'Baseline System Analysis'!E9</f>
        <v>27</v>
      </c>
      <c r="F9" s="53">
        <f>'Baseline System Analysis'!F9</f>
        <v>34.519999999999982</v>
      </c>
      <c r="G9" s="53">
        <f>'Baseline System Analysis'!G9</f>
        <v>42.039999999999964</v>
      </c>
      <c r="H9" s="53">
        <f>'Baseline System Analysis'!H9</f>
        <v>49.559999999999945</v>
      </c>
      <c r="I9" s="53">
        <f>'Baseline System Analysis'!I9</f>
        <v>57.079999999999927</v>
      </c>
      <c r="J9" s="53">
        <f>'Baseline System Analysis'!J9</f>
        <v>64.599999999999909</v>
      </c>
      <c r="K9" s="53">
        <f>'Baseline System Analysis'!K9</f>
        <v>59.799999999999955</v>
      </c>
      <c r="L9" s="53">
        <f>'Baseline System Analysis'!L9</f>
        <v>52.799999999999955</v>
      </c>
      <c r="M9" s="53">
        <f>'Baseline System Analysis'!M9</f>
        <v>46</v>
      </c>
      <c r="N9" s="53">
        <f>'Baseline System Analysis'!N9</f>
        <v>57.400000000000091</v>
      </c>
      <c r="O9" s="53">
        <f>'Baseline System Analysis'!O9</f>
        <v>67.333333333333414</v>
      </c>
      <c r="P9" s="53">
        <f>'Baseline System Analysis'!P9</f>
        <v>77.266666666666737</v>
      </c>
      <c r="Q9" s="53">
        <f>'Baseline System Analysis'!Q9</f>
        <v>87.20000000000006</v>
      </c>
      <c r="R9" s="53">
        <f>'Baseline System Analysis'!R9</f>
        <v>97.133333333333383</v>
      </c>
      <c r="S9" s="53">
        <f>'Baseline System Analysis'!S9</f>
        <v>107.06666666666671</v>
      </c>
      <c r="T9" s="53">
        <f>'Baseline System Analysis'!T9</f>
        <v>117</v>
      </c>
      <c r="U9" s="53">
        <f>'Baseline System Analysis'!U9</f>
        <v>126.6</v>
      </c>
      <c r="V9" s="53">
        <f>'Baseline System Analysis'!V9</f>
        <v>136.19999999999999</v>
      </c>
      <c r="W9" s="53">
        <f>'Baseline System Analysis'!W9</f>
        <v>145.79999999999998</v>
      </c>
      <c r="X9" s="53">
        <f>'Baseline System Analysis'!X9</f>
        <v>155.39999999999998</v>
      </c>
      <c r="Y9" s="53">
        <f>'Baseline System Analysis'!Y9</f>
        <v>165</v>
      </c>
      <c r="Z9" s="53">
        <f>'Baseline System Analysis'!Z9</f>
        <v>171.84</v>
      </c>
      <c r="AA9" s="53">
        <f>'Baseline System Analysis'!AA9</f>
        <v>178.68</v>
      </c>
      <c r="AB9" s="53">
        <f>'Baseline System Analysis'!AB9</f>
        <v>185.52</v>
      </c>
      <c r="AC9" s="53">
        <f>'Baseline System Analysis'!AC9</f>
        <v>192.36</v>
      </c>
      <c r="AD9" s="53">
        <f>'Baseline System Analysis'!AD9</f>
        <v>199.20000000000005</v>
      </c>
    </row>
    <row r="10" spans="1:30" x14ac:dyDescent="0.35">
      <c r="A10" s="72" t="s">
        <v>39</v>
      </c>
      <c r="B10" s="180"/>
      <c r="C10" s="72" t="s">
        <v>33</v>
      </c>
      <c r="D10" s="53">
        <f>'Baseline System Analysis'!D10</f>
        <v>4.7253529883901121E-2</v>
      </c>
      <c r="E10" s="53">
        <f>'Baseline System Analysis'!E10</f>
        <v>0.28011551949195379</v>
      </c>
      <c r="F10" s="53">
        <f>'Baseline System Analysis'!F10</f>
        <v>0.59718244793816533</v>
      </c>
      <c r="G10" s="53">
        <f>'Baseline System Analysis'!G10</f>
        <v>0.91424937638437687</v>
      </c>
      <c r="H10" s="53">
        <f>'Baseline System Analysis'!H10</f>
        <v>1.2313163048305884</v>
      </c>
      <c r="I10" s="53">
        <f>'Baseline System Analysis'!I10</f>
        <v>1.5483832332767999</v>
      </c>
      <c r="J10" s="53">
        <f>'Baseline System Analysis'!J10</f>
        <v>1.8654501617230115</v>
      </c>
      <c r="K10" s="53">
        <f>'Baseline System Analysis'!K10</f>
        <v>1.6136441894137561</v>
      </c>
      <c r="L10" s="53">
        <f>'Baseline System Analysis'!L10</f>
        <v>1.1660127779459895</v>
      </c>
      <c r="M10" s="53">
        <f>'Baseline System Analysis'!M10</f>
        <v>0.80458713045561225</v>
      </c>
      <c r="N10" s="53">
        <f>'Baseline System Analysis'!N10</f>
        <v>0.56680711827214547</v>
      </c>
      <c r="O10" s="53">
        <f>'Baseline System Analysis'!O10</f>
        <v>3.0445179689462347</v>
      </c>
      <c r="P10" s="53">
        <f>'Baseline System Analysis'!P10</f>
        <v>4.5886299372095039</v>
      </c>
      <c r="Q10" s="53">
        <f>'Baseline System Analysis'!Q10</f>
        <v>6.1327419054727734</v>
      </c>
      <c r="R10" s="53">
        <f>'Baseline System Analysis'!R10</f>
        <v>7.676853873736043</v>
      </c>
      <c r="S10" s="53">
        <f>'Baseline System Analysis'!S10</f>
        <v>9.2209658419993126</v>
      </c>
      <c r="T10" s="53">
        <f>'Baseline System Analysis'!T10</f>
        <v>10.765077810262582</v>
      </c>
      <c r="U10" s="53">
        <f>'Baseline System Analysis'!U10</f>
        <v>11.285969377257926</v>
      </c>
      <c r="V10" s="53">
        <f>'Baseline System Analysis'!V10</f>
        <v>11.80686094425327</v>
      </c>
      <c r="W10" s="53">
        <f>'Baseline System Analysis'!W10</f>
        <v>12.327752511248613</v>
      </c>
      <c r="X10" s="53">
        <f>'Baseline System Analysis'!X10</f>
        <v>12.848644078243957</v>
      </c>
      <c r="Y10" s="53">
        <f>'Baseline System Analysis'!Y10</f>
        <v>13.369535645239303</v>
      </c>
      <c r="Z10" s="53">
        <f>'Baseline System Analysis'!Z10</f>
        <v>31.024884631077057</v>
      </c>
      <c r="AA10" s="53">
        <f>'Baseline System Analysis'!AA10</f>
        <v>48.680233616914812</v>
      </c>
      <c r="AB10" s="53">
        <f>'Baseline System Analysis'!AB10</f>
        <v>66.335582602752567</v>
      </c>
      <c r="AC10" s="53">
        <f>'Baseline System Analysis'!AC10</f>
        <v>83.990931588590314</v>
      </c>
      <c r="AD10" s="53">
        <f>'Baseline System Analysis'!AD10</f>
        <v>101.64628057442808</v>
      </c>
    </row>
    <row r="11" spans="1:30" x14ac:dyDescent="0.35">
      <c r="A11" s="72" t="s">
        <v>39</v>
      </c>
      <c r="B11" s="180"/>
      <c r="C11" s="72" t="s">
        <v>34</v>
      </c>
      <c r="D11" s="53">
        <f>'Baseline System Analysis'!D11</f>
        <v>2.3626764941950561E-2</v>
      </c>
      <c r="E11" s="53">
        <f>'Baseline System Analysis'!E11</f>
        <v>7.0028879872988448E-2</v>
      </c>
      <c r="F11" s="53">
        <f>'Baseline System Analysis'!F11</f>
        <v>0.10932167994761965</v>
      </c>
      <c r="G11" s="53">
        <f>'Baseline System Analysis'!G11</f>
        <v>0.14861448002225086</v>
      </c>
      <c r="H11" s="53">
        <f>'Baseline System Analysis'!H11</f>
        <v>0.18790728009688207</v>
      </c>
      <c r="I11" s="53">
        <f>'Baseline System Analysis'!I11</f>
        <v>0.22720008017151327</v>
      </c>
      <c r="J11" s="53">
        <f>'Baseline System Analysis'!J11</f>
        <v>0.26649288024614448</v>
      </c>
      <c r="K11" s="53">
        <f>'Baseline System Analysis'!K11</f>
        <v>0.23052059848767945</v>
      </c>
      <c r="L11" s="53">
        <f>'Baseline System Analysis'!L11</f>
        <v>0.19433546299099821</v>
      </c>
      <c r="M11" s="53">
        <f>'Baseline System Analysis'!M11</f>
        <v>0.16091742609112245</v>
      </c>
      <c r="N11" s="53">
        <f>'Baseline System Analysis'!N11</f>
        <v>4.2212624824281168E-2</v>
      </c>
      <c r="O11" s="53">
        <f>'Baseline System Analysis'!O11</f>
        <v>0.30677545020347896</v>
      </c>
      <c r="P11" s="53">
        <f>'Baseline System Analysis'!P11</f>
        <v>0.39920718602367722</v>
      </c>
      <c r="Q11" s="53">
        <f>'Baseline System Analysis'!Q11</f>
        <v>0.49163892184387548</v>
      </c>
      <c r="R11" s="53">
        <f>'Baseline System Analysis'!R11</f>
        <v>0.58407065766407373</v>
      </c>
      <c r="S11" s="53">
        <f>'Baseline System Analysis'!S11</f>
        <v>0.67650239348427199</v>
      </c>
      <c r="T11" s="53">
        <f>'Baseline System Analysis'!T11</f>
        <v>0.76893412930447014</v>
      </c>
      <c r="U11" s="53">
        <f>'Baseline System Analysis'!U11</f>
        <v>0.69278283231502535</v>
      </c>
      <c r="V11" s="53">
        <f>'Baseline System Analysis'!V11</f>
        <v>0.61663153532558057</v>
      </c>
      <c r="W11" s="53">
        <f>'Baseline System Analysis'!W11</f>
        <v>0.54048023833613579</v>
      </c>
      <c r="X11" s="53">
        <f>'Baseline System Analysis'!X11</f>
        <v>0.464328941346691</v>
      </c>
      <c r="Y11" s="53">
        <f>'Baseline System Analysis'!Y11</f>
        <v>0.38817764435724611</v>
      </c>
      <c r="Z11" s="53">
        <f>'Baseline System Analysis'!Z11</f>
        <v>0.85998146994216484</v>
      </c>
      <c r="AA11" s="53">
        <f>'Baseline System Analysis'!AA11</f>
        <v>1.3317852955270837</v>
      </c>
      <c r="AB11" s="53">
        <f>'Baseline System Analysis'!AB11</f>
        <v>1.8035891211120025</v>
      </c>
      <c r="AC11" s="53">
        <f>'Baseline System Analysis'!AC11</f>
        <v>2.2753929466969214</v>
      </c>
      <c r="AD11" s="53">
        <f>'Baseline System Analysis'!AD11</f>
        <v>2.74719677228184</v>
      </c>
    </row>
    <row r="12" spans="1:30" x14ac:dyDescent="0.35">
      <c r="A12" s="72" t="s">
        <v>39</v>
      </c>
      <c r="B12" s="180"/>
      <c r="C12" s="72" t="s">
        <v>35</v>
      </c>
      <c r="D12" s="53">
        <f>'Baseline System Analysis'!D12</f>
        <v>2</v>
      </c>
      <c r="E12" s="53">
        <f>'Baseline System Analysis'!E12</f>
        <v>4</v>
      </c>
      <c r="F12" s="53">
        <f>'Baseline System Analysis'!F12</f>
        <v>4.5999999999999996</v>
      </c>
      <c r="G12" s="53">
        <f>'Baseline System Analysis'!G12</f>
        <v>5.1999999999999993</v>
      </c>
      <c r="H12" s="53">
        <f>'Baseline System Analysis'!H12</f>
        <v>5.7999999999999989</v>
      </c>
      <c r="I12" s="53">
        <f>'Baseline System Analysis'!I12</f>
        <v>6.3999999999999986</v>
      </c>
      <c r="J12" s="53">
        <f>'Baseline System Analysis'!J12</f>
        <v>7</v>
      </c>
      <c r="K12" s="53">
        <f>'Baseline System Analysis'!K12</f>
        <v>7</v>
      </c>
      <c r="L12" s="53">
        <f>'Baseline System Analysis'!L12</f>
        <v>6</v>
      </c>
      <c r="M12" s="53">
        <f>'Baseline System Analysis'!M12</f>
        <v>5</v>
      </c>
      <c r="N12" s="53">
        <f>'Baseline System Analysis'!N12</f>
        <v>7</v>
      </c>
      <c r="O12" s="53">
        <f>'Baseline System Analysis'!O12</f>
        <v>8.1666666666666661</v>
      </c>
      <c r="P12" s="53">
        <f>'Baseline System Analysis'!P12</f>
        <v>9.3333333333333321</v>
      </c>
      <c r="Q12" s="53">
        <f>'Baseline System Analysis'!Q12</f>
        <v>10.499999999999998</v>
      </c>
      <c r="R12" s="53">
        <f>'Baseline System Analysis'!R12</f>
        <v>11.666666666666664</v>
      </c>
      <c r="S12" s="53">
        <f>'Baseline System Analysis'!S12</f>
        <v>12.83333333333333</v>
      </c>
      <c r="T12" s="53">
        <f>'Baseline System Analysis'!T12</f>
        <v>14</v>
      </c>
      <c r="U12" s="53">
        <f>'Baseline System Analysis'!U12</f>
        <v>17</v>
      </c>
      <c r="V12" s="53">
        <f>'Baseline System Analysis'!V12</f>
        <v>20</v>
      </c>
      <c r="W12" s="53">
        <f>'Baseline System Analysis'!W12</f>
        <v>23</v>
      </c>
      <c r="X12" s="53">
        <f>'Baseline System Analysis'!X12</f>
        <v>26</v>
      </c>
      <c r="Y12" s="53">
        <f>'Baseline System Analysis'!Y12</f>
        <v>29</v>
      </c>
      <c r="Z12" s="53">
        <f>'Baseline System Analysis'!Z12</f>
        <v>30.6</v>
      </c>
      <c r="AA12" s="53">
        <f>'Baseline System Analysis'!AA12</f>
        <v>32.200000000000003</v>
      </c>
      <c r="AB12" s="53">
        <f>'Baseline System Analysis'!AB12</f>
        <v>33.800000000000004</v>
      </c>
      <c r="AC12" s="53">
        <f>'Baseline System Analysis'!AC12</f>
        <v>35.400000000000006</v>
      </c>
      <c r="AD12" s="53">
        <f>'Baseline System Analysis'!AD12</f>
        <v>37</v>
      </c>
    </row>
    <row r="13" spans="1:30" s="52" customFormat="1" x14ac:dyDescent="0.35">
      <c r="A13" s="72" t="s">
        <v>30</v>
      </c>
      <c r="B13" s="180"/>
      <c r="C13" s="72" t="s">
        <v>108</v>
      </c>
      <c r="D13" s="53">
        <f>'Baseline System Analysis'!D13</f>
        <v>5445.825674993449</v>
      </c>
      <c r="E13" s="53">
        <f>'Baseline System Analysis'!E13</f>
        <v>7241.293555071361</v>
      </c>
      <c r="F13" s="53">
        <f>'Baseline System Analysis'!F13</f>
        <v>9036.7614351492721</v>
      </c>
      <c r="G13" s="53">
        <f>'Baseline System Analysis'!G13</f>
        <v>10832.229315227183</v>
      </c>
      <c r="H13" s="53">
        <f>'Baseline System Analysis'!H13</f>
        <v>12627.697195305094</v>
      </c>
      <c r="I13" s="53">
        <f>'Baseline System Analysis'!I13</f>
        <v>14423.165075383005</v>
      </c>
      <c r="J13" s="53">
        <f>'Baseline System Analysis'!J13</f>
        <v>16218.632955460916</v>
      </c>
      <c r="K13" s="53">
        <f>'Baseline System Analysis'!K13</f>
        <v>15620.143662101613</v>
      </c>
      <c r="L13" s="53">
        <f>'Baseline System Analysis'!L13</f>
        <v>15021.654368742309</v>
      </c>
      <c r="M13" s="53">
        <f>'Baseline System Analysis'!M13</f>
        <v>13525.43113534405</v>
      </c>
      <c r="N13" s="53">
        <f>'Baseline System Analysis'!N13</f>
        <v>14423.165075383005</v>
      </c>
      <c r="O13" s="53">
        <f>'Baseline System Analysis'!O13</f>
        <v>16913.232955460899</v>
      </c>
      <c r="P13" s="53">
        <f>'Baseline System Analysis'!P13</f>
        <v>17831.369243247562</v>
      </c>
      <c r="Q13" s="53">
        <f>'Baseline System Analysis'!Q13</f>
        <v>18749.505531034225</v>
      </c>
      <c r="R13" s="53">
        <f>'Baseline System Analysis'!R13</f>
        <v>19667.641818820888</v>
      </c>
      <c r="S13" s="53">
        <f>'Baseline System Analysis'!S13</f>
        <v>20585.778106607551</v>
      </c>
      <c r="T13" s="53">
        <f>'Baseline System Analysis'!T13</f>
        <v>21503.914394394214</v>
      </c>
      <c r="U13" s="53">
        <f>'Baseline System Analysis'!U13</f>
        <v>22422.050682180878</v>
      </c>
      <c r="V13" s="53">
        <f>'Baseline System Analysis'!V13</f>
        <v>23340.186969967541</v>
      </c>
      <c r="W13" s="53">
        <f>'Baseline System Analysis'!W13</f>
        <v>24258.323257754204</v>
      </c>
      <c r="X13" s="53">
        <f>'Baseline System Analysis'!X13</f>
        <v>25176.459545540867</v>
      </c>
      <c r="Y13" s="53">
        <f>'Baseline System Analysis'!Y13</f>
        <v>26094.59583332753</v>
      </c>
      <c r="Z13" s="53">
        <f>'Baseline System Analysis'!Z13</f>
        <v>27012.732121114193</v>
      </c>
      <c r="AA13" s="53">
        <f>'Baseline System Analysis'!AA13</f>
        <v>27930.868408900857</v>
      </c>
      <c r="AB13" s="53">
        <f>'Baseline System Analysis'!AB13</f>
        <v>28849.00469668752</v>
      </c>
      <c r="AC13" s="53">
        <f>'Baseline System Analysis'!AC13</f>
        <v>29767.140984474183</v>
      </c>
      <c r="AD13" s="53">
        <f>'Baseline System Analysis'!AD13</f>
        <v>30685.277272260842</v>
      </c>
    </row>
    <row r="14" spans="1:30" s="52" customFormat="1" x14ac:dyDescent="0.35">
      <c r="A14" s="72" t="s">
        <v>30</v>
      </c>
      <c r="B14" s="180"/>
      <c r="C14" s="72" t="s">
        <v>109</v>
      </c>
      <c r="D14" s="53">
        <f>'Baseline System Analysis'!D14</f>
        <v>192864.66620394157</v>
      </c>
      <c r="E14" s="53">
        <f>'Baseline System Analysis'!E14</f>
        <v>195239.2419650236</v>
      </c>
      <c r="F14" s="53">
        <f>'Baseline System Analysis'!F14</f>
        <v>196366.76544203321</v>
      </c>
      <c r="G14" s="53">
        <f>'Baseline System Analysis'!G14</f>
        <v>197525.37556068008</v>
      </c>
      <c r="H14" s="53">
        <f>'Baseline System Analysis'!H14</f>
        <v>198743.92387830256</v>
      </c>
      <c r="I14" s="53">
        <f>'Baseline System Analysis'!I14</f>
        <v>200140.93841202525</v>
      </c>
      <c r="J14" s="53">
        <f>'Baseline System Analysis'!J14</f>
        <v>201537.7102617296</v>
      </c>
      <c r="K14" s="53">
        <f>'Baseline System Analysis'!K14</f>
        <v>200616.89493678272</v>
      </c>
      <c r="L14" s="53">
        <f>'Baseline System Analysis'!L14</f>
        <v>199696.14928779242</v>
      </c>
      <c r="M14" s="53">
        <f>'Baseline System Analysis'!M14</f>
        <v>198775.23322502323</v>
      </c>
      <c r="N14" s="53">
        <f>'Baseline System Analysis'!N14</f>
        <v>200250.33489773443</v>
      </c>
      <c r="O14" s="53">
        <f>'Baseline System Analysis'!O14</f>
        <v>201766.1654636735</v>
      </c>
      <c r="P14" s="53">
        <f>'Baseline System Analysis'!P14</f>
        <v>203325.96278464468</v>
      </c>
      <c r="Q14" s="53">
        <f>'Baseline System Analysis'!Q14</f>
        <v>204856.96017693213</v>
      </c>
      <c r="R14" s="53">
        <f>'Baseline System Analysis'!R14</f>
        <v>206421.18825616254</v>
      </c>
      <c r="S14" s="53">
        <f>'Baseline System Analysis'!S14</f>
        <v>208013.70502273936</v>
      </c>
      <c r="T14" s="53">
        <f>'Baseline System Analysis'!T14</f>
        <v>209643.37199318074</v>
      </c>
      <c r="U14" s="53">
        <f>'Baseline System Analysis'!U14</f>
        <v>211125.2902170599</v>
      </c>
      <c r="V14" s="53">
        <f>'Baseline System Analysis'!V14</f>
        <v>212613.854578328</v>
      </c>
      <c r="W14" s="53">
        <f>'Baseline System Analysis'!W14</f>
        <v>214101.90769825791</v>
      </c>
      <c r="X14" s="53">
        <f>'Baseline System Analysis'!X14</f>
        <v>215599.50398982322</v>
      </c>
      <c r="Y14" s="53">
        <f>'Baseline System Analysis'!Y14</f>
        <v>216849.14823265999</v>
      </c>
      <c r="Z14" s="53">
        <f>'Baseline System Analysis'!Z14</f>
        <v>218069.3108916957</v>
      </c>
      <c r="AA14" s="53">
        <f>'Baseline System Analysis'!AA14</f>
        <v>219248.74465750376</v>
      </c>
      <c r="AB14" s="53">
        <f>'Baseline System Analysis'!AB14</f>
        <v>220395.79980526475</v>
      </c>
      <c r="AC14" s="53">
        <f>'Baseline System Analysis'!AC14</f>
        <v>221214.46760051764</v>
      </c>
      <c r="AD14" s="53">
        <f>'Baseline System Analysis'!AD14</f>
        <v>221946.05395460132</v>
      </c>
    </row>
    <row r="15" spans="1:30" s="52" customFormat="1" x14ac:dyDescent="0.35">
      <c r="A15" s="72" t="s">
        <v>30</v>
      </c>
      <c r="B15" s="180"/>
      <c r="C15" s="72" t="s">
        <v>110</v>
      </c>
      <c r="D15" s="53">
        <f>'Baseline System Analysis'!D15</f>
        <v>57814.1637958055</v>
      </c>
      <c r="E15" s="53">
        <f>'Baseline System Analysis'!E15</f>
        <v>62191.746894023359</v>
      </c>
      <c r="F15" s="53">
        <f>'Baseline System Analysis'!F15</f>
        <v>64361.105239567863</v>
      </c>
      <c r="G15" s="53">
        <f>'Baseline System Analysis'!G15</f>
        <v>66628.501001105484</v>
      </c>
      <c r="H15" s="53">
        <f>'Baseline System Analysis'!H15</f>
        <v>69068.22672153436</v>
      </c>
      <c r="I15" s="53">
        <f>'Baseline System Analysis'!I15</f>
        <v>71918.961016641551</v>
      </c>
      <c r="J15" s="53">
        <f>'Baseline System Analysis'!J15</f>
        <v>74820.679205256296</v>
      </c>
      <c r="K15" s="53">
        <f>'Baseline System Analysis'!K15</f>
        <v>72899.28225345345</v>
      </c>
      <c r="L15" s="53">
        <f>'Baseline System Analysis'!L15</f>
        <v>71006.352594376862</v>
      </c>
      <c r="M15" s="53">
        <f>'Baseline System Analysis'!M15</f>
        <v>69131.616141376318</v>
      </c>
      <c r="N15" s="53">
        <f>'Baseline System Analysis'!N15</f>
        <v>72143.764963991809</v>
      </c>
      <c r="O15" s="53">
        <f>'Baseline System Analysis'!O15</f>
        <v>75301.925896232133</v>
      </c>
      <c r="P15" s="53">
        <f>'Baseline System Analysis'!P15</f>
        <v>78629.627518656707</v>
      </c>
      <c r="Q15" s="53">
        <f>'Baseline System Analysis'!Q15</f>
        <v>81951.057574073071</v>
      </c>
      <c r="R15" s="53">
        <f>'Baseline System Analysis'!R15</f>
        <v>85383.424638269789</v>
      </c>
      <c r="S15" s="53">
        <f>'Baseline System Analysis'!S15</f>
        <v>88945.971119594135</v>
      </c>
      <c r="T15" s="53">
        <f>'Baseline System Analysis'!T15</f>
        <v>92676.895920951385</v>
      </c>
      <c r="U15" s="53">
        <f>'Baseline System Analysis'!U15</f>
        <v>96145.729908431153</v>
      </c>
      <c r="V15" s="53">
        <f>'Baseline System Analysis'!V15</f>
        <v>99700.858162341799</v>
      </c>
      <c r="W15" s="53">
        <f>'Baseline System Analysis'!W15</f>
        <v>103340.20977892888</v>
      </c>
      <c r="X15" s="53">
        <f>'Baseline System Analysis'!X15</f>
        <v>107065.51818072386</v>
      </c>
      <c r="Y15" s="53">
        <f>'Baseline System Analysis'!Y15</f>
        <v>110237.64392344528</v>
      </c>
      <c r="Z15" s="53">
        <f>'Baseline System Analysis'!Z15</f>
        <v>113355.67104643886</v>
      </c>
      <c r="AA15" s="53">
        <f>'Baseline System Analysis'!AA15</f>
        <v>116394.79841235251</v>
      </c>
      <c r="AB15" s="53">
        <f>'Baseline System Analysis'!AB15</f>
        <v>119393.94598127359</v>
      </c>
      <c r="AC15" s="53">
        <f>'Baseline System Analysis'!AC15</f>
        <v>121552.79504833522</v>
      </c>
      <c r="AD15" s="53">
        <f>'Baseline System Analysis'!AD15</f>
        <v>123501.36707164065</v>
      </c>
    </row>
    <row r="16" spans="1:30" s="52" customFormat="1" x14ac:dyDescent="0.35">
      <c r="A16" s="72"/>
      <c r="B16" s="72"/>
      <c r="C16" s="72"/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3"/>
      <c r="R16" s="53"/>
      <c r="S16" s="53"/>
      <c r="T16" s="53"/>
      <c r="U16" s="53"/>
      <c r="V16" s="53"/>
      <c r="W16" s="53"/>
      <c r="X16" s="53"/>
      <c r="Y16" s="53"/>
      <c r="Z16" s="53"/>
      <c r="AA16" s="53"/>
      <c r="AB16" s="53"/>
      <c r="AC16" s="53"/>
      <c r="AD16" s="53"/>
    </row>
    <row r="17" spans="1:30" ht="20" thickBot="1" x14ac:dyDescent="0.5">
      <c r="A17" s="113"/>
      <c r="B17" s="122"/>
      <c r="C17" s="113" t="s">
        <v>105</v>
      </c>
      <c r="D17" s="113">
        <v>2022</v>
      </c>
      <c r="E17" s="113">
        <v>2023</v>
      </c>
      <c r="F17" s="113">
        <v>2024</v>
      </c>
      <c r="G17" s="113">
        <v>2025</v>
      </c>
      <c r="H17" s="113">
        <v>2026</v>
      </c>
      <c r="I17" s="113">
        <v>2027</v>
      </c>
      <c r="J17" s="113">
        <v>2028</v>
      </c>
      <c r="K17" s="113">
        <v>2029</v>
      </c>
      <c r="L17" s="113">
        <v>2030</v>
      </c>
      <c r="M17" s="113">
        <v>2031</v>
      </c>
      <c r="N17" s="113">
        <v>2032</v>
      </c>
      <c r="O17" s="113">
        <v>2033</v>
      </c>
      <c r="P17" s="113">
        <v>2034</v>
      </c>
      <c r="Q17" s="113">
        <v>2035</v>
      </c>
      <c r="R17" s="113">
        <v>2036</v>
      </c>
      <c r="S17" s="113">
        <v>2037</v>
      </c>
      <c r="T17" s="113">
        <v>2038</v>
      </c>
      <c r="U17" s="113">
        <v>2039</v>
      </c>
      <c r="V17" s="113">
        <v>2040</v>
      </c>
      <c r="W17" s="113">
        <v>2041</v>
      </c>
      <c r="X17" s="113">
        <v>2042</v>
      </c>
      <c r="Y17" s="113">
        <v>2043</v>
      </c>
      <c r="Z17" s="113">
        <v>2044</v>
      </c>
      <c r="AA17" s="113">
        <v>2045</v>
      </c>
      <c r="AB17" s="113">
        <v>2046</v>
      </c>
      <c r="AC17" s="113">
        <v>2047</v>
      </c>
      <c r="AD17" s="113">
        <v>2048</v>
      </c>
    </row>
    <row r="18" spans="1:30" ht="49.75" customHeight="1" thickTop="1" x14ac:dyDescent="0.35">
      <c r="A18" s="72"/>
      <c r="B18" s="179" t="s">
        <v>14</v>
      </c>
      <c r="C18" s="72" t="s">
        <v>107</v>
      </c>
      <c r="D18" s="53">
        <v>48531.449999999641</v>
      </c>
      <c r="E18" s="53">
        <v>48910.873076922755</v>
      </c>
      <c r="F18" s="53">
        <v>49290.296153845869</v>
      </c>
      <c r="G18" s="53">
        <v>49669.719230768984</v>
      </c>
      <c r="H18" s="53">
        <v>50049.142307692098</v>
      </c>
      <c r="I18" s="53">
        <v>50428.565384615213</v>
      </c>
      <c r="J18" s="53">
        <v>50807.988461538327</v>
      </c>
      <c r="K18" s="53">
        <v>50219.149999999769</v>
      </c>
      <c r="L18" s="53">
        <v>50017.849999999482</v>
      </c>
      <c r="M18" s="53">
        <v>49813.999999999643</v>
      </c>
      <c r="N18" s="53">
        <v>50139.099999999758</v>
      </c>
      <c r="O18" s="53">
        <v>50455.359374999789</v>
      </c>
      <c r="P18" s="53">
        <v>50771.61874999982</v>
      </c>
      <c r="Q18" s="53">
        <v>51087.87812499985</v>
      </c>
      <c r="R18" s="53">
        <v>51404.137499999881</v>
      </c>
      <c r="S18" s="53">
        <v>51720.396874999911</v>
      </c>
      <c r="T18" s="53">
        <v>52036.656249999942</v>
      </c>
      <c r="U18" s="53">
        <v>52352.915624999972</v>
      </c>
      <c r="V18" s="53">
        <v>52669.175000000003</v>
      </c>
      <c r="W18" s="53">
        <v>52985.434375000033</v>
      </c>
      <c r="X18" s="53">
        <v>53301.693750000064</v>
      </c>
      <c r="Y18" s="53">
        <v>53617.953125000095</v>
      </c>
      <c r="Z18" s="53">
        <v>53934.212500000125</v>
      </c>
      <c r="AA18" s="53">
        <v>54250.471875000156</v>
      </c>
      <c r="AB18" s="53">
        <v>54566.731250000186</v>
      </c>
      <c r="AC18" s="53">
        <v>54882.990625000217</v>
      </c>
      <c r="AD18" s="53">
        <v>55199.250000000204</v>
      </c>
    </row>
    <row r="19" spans="1:30" x14ac:dyDescent="0.35">
      <c r="A19" s="72" t="s">
        <v>30</v>
      </c>
      <c r="B19" s="180"/>
      <c r="C19" s="72" t="s">
        <v>31</v>
      </c>
      <c r="D19" s="53">
        <v>0</v>
      </c>
      <c r="E19" s="53">
        <v>0</v>
      </c>
      <c r="F19" s="53">
        <v>0</v>
      </c>
      <c r="G19" s="53">
        <v>0</v>
      </c>
      <c r="H19" s="53">
        <v>0</v>
      </c>
      <c r="I19" s="53">
        <v>0</v>
      </c>
      <c r="J19" s="53">
        <v>0</v>
      </c>
      <c r="K19" s="53">
        <v>0</v>
      </c>
      <c r="L19" s="53">
        <v>0</v>
      </c>
      <c r="M19" s="53">
        <v>0</v>
      </c>
      <c r="N19" s="53">
        <v>0</v>
      </c>
      <c r="O19" s="53">
        <v>0</v>
      </c>
      <c r="P19" s="53">
        <v>0</v>
      </c>
      <c r="Q19" s="53">
        <v>0</v>
      </c>
      <c r="R19" s="53">
        <v>0</v>
      </c>
      <c r="S19" s="53">
        <v>0</v>
      </c>
      <c r="T19" s="53">
        <v>0</v>
      </c>
      <c r="U19" s="53">
        <v>0</v>
      </c>
      <c r="V19" s="53">
        <v>0</v>
      </c>
      <c r="W19" s="53">
        <v>0</v>
      </c>
      <c r="X19" s="53">
        <v>0</v>
      </c>
      <c r="Y19" s="53">
        <v>0</v>
      </c>
      <c r="Z19" s="53">
        <v>0</v>
      </c>
      <c r="AA19" s="53">
        <v>0</v>
      </c>
      <c r="AB19" s="53">
        <v>0</v>
      </c>
      <c r="AC19" s="53">
        <v>0</v>
      </c>
      <c r="AD19" s="53">
        <v>0</v>
      </c>
    </row>
    <row r="20" spans="1:30" x14ac:dyDescent="0.35">
      <c r="A20" s="72" t="s">
        <v>30</v>
      </c>
      <c r="B20" s="180"/>
      <c r="C20" s="72" t="s">
        <v>32</v>
      </c>
      <c r="D20" s="53">
        <v>0</v>
      </c>
      <c r="E20" s="53">
        <v>0</v>
      </c>
      <c r="F20" s="53">
        <v>0</v>
      </c>
      <c r="G20" s="53">
        <v>0</v>
      </c>
      <c r="H20" s="53">
        <v>0</v>
      </c>
      <c r="I20" s="53">
        <v>0</v>
      </c>
      <c r="J20" s="53">
        <v>0</v>
      </c>
      <c r="K20" s="53">
        <v>0</v>
      </c>
      <c r="L20" s="53">
        <v>0</v>
      </c>
      <c r="M20" s="53">
        <v>0</v>
      </c>
      <c r="N20" s="53">
        <v>0</v>
      </c>
      <c r="O20" s="53">
        <v>0</v>
      </c>
      <c r="P20" s="53">
        <v>0</v>
      </c>
      <c r="Q20" s="53">
        <v>0</v>
      </c>
      <c r="R20" s="53">
        <v>0</v>
      </c>
      <c r="S20" s="53">
        <v>0</v>
      </c>
      <c r="T20" s="53">
        <v>0</v>
      </c>
      <c r="U20" s="53">
        <v>0</v>
      </c>
      <c r="V20" s="53">
        <v>0</v>
      </c>
      <c r="W20" s="53">
        <v>0</v>
      </c>
      <c r="X20" s="53">
        <v>0</v>
      </c>
      <c r="Y20" s="53">
        <v>0</v>
      </c>
      <c r="Z20" s="53">
        <v>0</v>
      </c>
      <c r="AA20" s="53">
        <v>0</v>
      </c>
      <c r="AB20" s="53">
        <v>0</v>
      </c>
      <c r="AC20" s="53">
        <v>0</v>
      </c>
      <c r="AD20" s="53">
        <v>0</v>
      </c>
    </row>
    <row r="21" spans="1:30" x14ac:dyDescent="0.35">
      <c r="A21" s="72" t="s">
        <v>30</v>
      </c>
      <c r="B21" s="180"/>
      <c r="C21" s="72" t="s">
        <v>33</v>
      </c>
      <c r="D21" s="53">
        <v>0</v>
      </c>
      <c r="E21" s="53">
        <v>0</v>
      </c>
      <c r="F21" s="53">
        <v>0</v>
      </c>
      <c r="G21" s="53">
        <v>0</v>
      </c>
      <c r="H21" s="53">
        <v>0</v>
      </c>
      <c r="I21" s="53">
        <v>0</v>
      </c>
      <c r="J21" s="53">
        <v>0</v>
      </c>
      <c r="K21" s="53">
        <v>0</v>
      </c>
      <c r="L21" s="53">
        <v>0</v>
      </c>
      <c r="M21" s="53">
        <v>0</v>
      </c>
      <c r="N21" s="53">
        <v>0</v>
      </c>
      <c r="O21" s="53">
        <v>0</v>
      </c>
      <c r="P21" s="53">
        <v>0</v>
      </c>
      <c r="Q21" s="53">
        <v>0</v>
      </c>
      <c r="R21" s="53">
        <v>0</v>
      </c>
      <c r="S21" s="53">
        <v>0</v>
      </c>
      <c r="T21" s="53">
        <v>0</v>
      </c>
      <c r="U21" s="53">
        <v>0</v>
      </c>
      <c r="V21" s="53">
        <v>0</v>
      </c>
      <c r="W21" s="53">
        <v>0</v>
      </c>
      <c r="X21" s="53">
        <v>0</v>
      </c>
      <c r="Y21" s="53">
        <v>0</v>
      </c>
      <c r="Z21" s="53">
        <v>0</v>
      </c>
      <c r="AA21" s="53">
        <v>0</v>
      </c>
      <c r="AB21" s="53">
        <v>0</v>
      </c>
      <c r="AC21" s="53">
        <v>0</v>
      </c>
      <c r="AD21" s="53">
        <v>0</v>
      </c>
    </row>
    <row r="22" spans="1:30" x14ac:dyDescent="0.35">
      <c r="A22" s="72" t="s">
        <v>30</v>
      </c>
      <c r="B22" s="180"/>
      <c r="C22" s="72" t="s">
        <v>34</v>
      </c>
      <c r="D22" s="53">
        <v>0</v>
      </c>
      <c r="E22" s="53">
        <v>0</v>
      </c>
      <c r="F22" s="53">
        <v>0</v>
      </c>
      <c r="G22" s="53">
        <v>0</v>
      </c>
      <c r="H22" s="53">
        <v>0</v>
      </c>
      <c r="I22" s="53">
        <v>0</v>
      </c>
      <c r="J22" s="53">
        <v>0</v>
      </c>
      <c r="K22" s="53">
        <v>0</v>
      </c>
      <c r="L22" s="53">
        <v>0</v>
      </c>
      <c r="M22" s="53">
        <v>0</v>
      </c>
      <c r="N22" s="53">
        <v>0</v>
      </c>
      <c r="O22" s="53">
        <v>0</v>
      </c>
      <c r="P22" s="53">
        <v>0</v>
      </c>
      <c r="Q22" s="53">
        <v>0</v>
      </c>
      <c r="R22" s="53">
        <v>0</v>
      </c>
      <c r="S22" s="53">
        <v>0</v>
      </c>
      <c r="T22" s="53">
        <v>0</v>
      </c>
      <c r="U22" s="53">
        <v>0</v>
      </c>
      <c r="V22" s="53">
        <v>0</v>
      </c>
      <c r="W22" s="53">
        <v>0</v>
      </c>
      <c r="X22" s="53">
        <v>0</v>
      </c>
      <c r="Y22" s="53">
        <v>0</v>
      </c>
      <c r="Z22" s="53">
        <v>0</v>
      </c>
      <c r="AA22" s="53">
        <v>0</v>
      </c>
      <c r="AB22" s="53">
        <v>0</v>
      </c>
      <c r="AC22" s="53">
        <v>0</v>
      </c>
      <c r="AD22" s="53">
        <v>0</v>
      </c>
    </row>
    <row r="23" spans="1:30" x14ac:dyDescent="0.35">
      <c r="A23" s="72" t="s">
        <v>30</v>
      </c>
      <c r="B23" s="180"/>
      <c r="C23" s="72" t="s">
        <v>35</v>
      </c>
      <c r="D23" s="53">
        <v>0</v>
      </c>
      <c r="E23" s="53">
        <v>0</v>
      </c>
      <c r="F23" s="53">
        <v>0</v>
      </c>
      <c r="G23" s="53">
        <v>0</v>
      </c>
      <c r="H23" s="53">
        <v>0</v>
      </c>
      <c r="I23" s="53">
        <v>0</v>
      </c>
      <c r="J23" s="53">
        <v>0</v>
      </c>
      <c r="K23" s="53">
        <v>0</v>
      </c>
      <c r="L23" s="53">
        <v>0</v>
      </c>
      <c r="M23" s="53">
        <v>0</v>
      </c>
      <c r="N23" s="53">
        <v>0</v>
      </c>
      <c r="O23" s="53">
        <v>0</v>
      </c>
      <c r="P23" s="53">
        <v>0</v>
      </c>
      <c r="Q23" s="53">
        <v>0</v>
      </c>
      <c r="R23" s="53">
        <v>0</v>
      </c>
      <c r="S23" s="53">
        <v>0</v>
      </c>
      <c r="T23" s="53">
        <v>0</v>
      </c>
      <c r="U23" s="53">
        <v>0</v>
      </c>
      <c r="V23" s="53">
        <v>0</v>
      </c>
      <c r="W23" s="53">
        <v>0</v>
      </c>
      <c r="X23" s="53">
        <v>0</v>
      </c>
      <c r="Y23" s="53">
        <v>0</v>
      </c>
      <c r="Z23" s="53">
        <v>0</v>
      </c>
      <c r="AA23" s="53">
        <v>0</v>
      </c>
      <c r="AB23" s="53">
        <v>0</v>
      </c>
      <c r="AC23" s="53">
        <v>0</v>
      </c>
      <c r="AD23" s="53">
        <v>0</v>
      </c>
    </row>
    <row r="24" spans="1:30" x14ac:dyDescent="0.35">
      <c r="A24" s="72" t="s">
        <v>30</v>
      </c>
      <c r="B24" s="180"/>
      <c r="C24" s="72" t="s">
        <v>108</v>
      </c>
      <c r="D24" s="53">
        <v>1868.1178900030454</v>
      </c>
      <c r="E24" s="53">
        <v>2484.0292077488939</v>
      </c>
      <c r="F24" s="53">
        <v>3099.9405254947415</v>
      </c>
      <c r="G24" s="53">
        <v>3715.851843240589</v>
      </c>
      <c r="H24" s="53">
        <v>4331.7631609864366</v>
      </c>
      <c r="I24" s="53">
        <v>4947.6744787322841</v>
      </c>
      <c r="J24" s="53">
        <v>5563.5857964781317</v>
      </c>
      <c r="K24" s="53">
        <v>5501.2179032923596</v>
      </c>
      <c r="L24" s="53">
        <v>5438.8500101065874</v>
      </c>
      <c r="M24" s="53">
        <v>5376.4821169208144</v>
      </c>
      <c r="N24" s="53">
        <v>5407.6660635137014</v>
      </c>
      <c r="O24" s="53">
        <v>6876.5093911404074</v>
      </c>
      <c r="P24" s="53">
        <v>7331.8177094256207</v>
      </c>
      <c r="Q24" s="53">
        <v>7787.126027710834</v>
      </c>
      <c r="R24" s="53">
        <v>8242.4343459960473</v>
      </c>
      <c r="S24" s="53">
        <v>8697.7426642812607</v>
      </c>
      <c r="T24" s="53">
        <v>9153.050982566474</v>
      </c>
      <c r="U24" s="53">
        <v>9608.3593008516873</v>
      </c>
      <c r="V24" s="53">
        <v>10063.667619136901</v>
      </c>
      <c r="W24" s="53">
        <v>10518.975937422114</v>
      </c>
      <c r="X24" s="53">
        <v>10974.284255707327</v>
      </c>
      <c r="Y24" s="53">
        <v>11429.592573992541</v>
      </c>
      <c r="Z24" s="53">
        <v>11884.900892277754</v>
      </c>
      <c r="AA24" s="53">
        <v>12340.209210562967</v>
      </c>
      <c r="AB24" s="53">
        <v>12795.517528848181</v>
      </c>
      <c r="AC24" s="53">
        <v>13250.825847133394</v>
      </c>
      <c r="AD24" s="53">
        <v>13706.134165418604</v>
      </c>
    </row>
    <row r="25" spans="1:30" x14ac:dyDescent="0.35">
      <c r="A25" s="72" t="s">
        <v>30</v>
      </c>
      <c r="B25" s="180"/>
      <c r="C25" s="72" t="s">
        <v>109</v>
      </c>
      <c r="D25" s="53">
        <v>192864.601707425</v>
      </c>
      <c r="E25" s="53">
        <v>195239.31772050701</v>
      </c>
      <c r="F25" s="53">
        <v>196366.77528366089</v>
      </c>
      <c r="G25" s="53">
        <v>197525.41856840727</v>
      </c>
      <c r="H25" s="53">
        <v>198743.87708965095</v>
      </c>
      <c r="I25" s="53">
        <v>200140.92925149124</v>
      </c>
      <c r="J25" s="53">
        <v>201537.64058577301</v>
      </c>
      <c r="K25" s="53">
        <v>200616.89493678272</v>
      </c>
      <c r="L25" s="53">
        <v>199696.14928779242</v>
      </c>
      <c r="M25" s="53">
        <v>198775.23322502323</v>
      </c>
      <c r="N25" s="53">
        <v>200250.33489773443</v>
      </c>
      <c r="O25" s="53">
        <v>201766.1654636735</v>
      </c>
      <c r="P25" s="53">
        <v>203325.96278464468</v>
      </c>
      <c r="Q25" s="53">
        <v>204856.96017693213</v>
      </c>
      <c r="R25" s="53">
        <v>206421.18825616254</v>
      </c>
      <c r="S25" s="53">
        <v>208013.70502273936</v>
      </c>
      <c r="T25" s="53">
        <v>209643.37199318074</v>
      </c>
      <c r="U25" s="53">
        <v>211125.2902170599</v>
      </c>
      <c r="V25" s="53">
        <v>212613.854578328</v>
      </c>
      <c r="W25" s="53">
        <v>214101.90769825791</v>
      </c>
      <c r="X25" s="53">
        <v>215599.50398982322</v>
      </c>
      <c r="Y25" s="53">
        <v>216849.14823265999</v>
      </c>
      <c r="Z25" s="53">
        <v>218069.3108916957</v>
      </c>
      <c r="AA25" s="53">
        <v>219248.74465750376</v>
      </c>
      <c r="AB25" s="53">
        <v>220395.79980526475</v>
      </c>
      <c r="AC25" s="53">
        <v>221214.46760051764</v>
      </c>
      <c r="AD25" s="53">
        <v>221946.05395460132</v>
      </c>
    </row>
    <row r="26" spans="1:30" s="66" customFormat="1" x14ac:dyDescent="0.35">
      <c r="A26" s="72" t="s">
        <v>30</v>
      </c>
      <c r="B26" s="180"/>
      <c r="C26" s="72" t="s">
        <v>110</v>
      </c>
      <c r="D26" s="53">
        <v>57792.81455090551</v>
      </c>
      <c r="E26" s="53">
        <v>62126.795996815788</v>
      </c>
      <c r="F26" s="53">
        <v>64269.806276827228</v>
      </c>
      <c r="G26" s="53">
        <v>66510.318599633392</v>
      </c>
      <c r="H26" s="53">
        <v>68915.185305605017</v>
      </c>
      <c r="I26" s="53">
        <v>71720.629234561638</v>
      </c>
      <c r="J26" s="53">
        <v>74566.171936039624</v>
      </c>
      <c r="K26" s="53">
        <v>72681.869607427769</v>
      </c>
      <c r="L26" s="53">
        <v>70823.429950154503</v>
      </c>
      <c r="M26" s="53">
        <v>68977.762591896215</v>
      </c>
      <c r="N26" s="53">
        <v>71941.061744980267</v>
      </c>
      <c r="O26" s="53">
        <v>75038.394990892819</v>
      </c>
      <c r="P26" s="53">
        <v>78295.631042395427</v>
      </c>
      <c r="Q26" s="53">
        <v>81542.325234747244</v>
      </c>
      <c r="R26" s="53">
        <v>84891.897484801797</v>
      </c>
      <c r="S26" s="53">
        <v>88351.14795154387</v>
      </c>
      <c r="T26" s="53">
        <v>91958.351625234412</v>
      </c>
      <c r="U26" s="53">
        <v>95296.185036021081</v>
      </c>
      <c r="V26" s="53">
        <v>98685.339217123357</v>
      </c>
      <c r="W26" s="53">
        <v>102124.60056633355</v>
      </c>
      <c r="X26" s="53">
        <v>105622.56709818903</v>
      </c>
      <c r="Y26" s="53">
        <v>108598.23886001788</v>
      </c>
      <c r="Z26" s="53">
        <v>111520.88464872967</v>
      </c>
      <c r="AA26" s="53">
        <v>114357.85226058864</v>
      </c>
      <c r="AB26" s="53">
        <v>117139.09321802694</v>
      </c>
      <c r="AC26" s="53">
        <v>119135.77368614648</v>
      </c>
      <c r="AD26" s="53">
        <v>120939.42693441894</v>
      </c>
    </row>
    <row r="27" spans="1:30" x14ac:dyDescent="0.35">
      <c r="A27" s="72" t="s">
        <v>39</v>
      </c>
      <c r="B27" s="180"/>
      <c r="C27" s="72" t="s">
        <v>31</v>
      </c>
      <c r="D27" s="53">
        <v>0</v>
      </c>
      <c r="E27" s="53">
        <v>0</v>
      </c>
      <c r="F27" s="53">
        <v>0</v>
      </c>
      <c r="G27" s="53">
        <v>0</v>
      </c>
      <c r="H27" s="53">
        <v>0</v>
      </c>
      <c r="I27" s="53">
        <v>0</v>
      </c>
      <c r="J27" s="53">
        <v>0</v>
      </c>
      <c r="K27" s="53">
        <v>0</v>
      </c>
      <c r="L27" s="53">
        <v>0</v>
      </c>
      <c r="M27" s="53">
        <v>0</v>
      </c>
      <c r="N27" s="53">
        <v>0</v>
      </c>
      <c r="O27" s="53">
        <v>0</v>
      </c>
      <c r="P27" s="53">
        <v>0</v>
      </c>
      <c r="Q27" s="53">
        <v>0</v>
      </c>
      <c r="R27" s="53">
        <v>0</v>
      </c>
      <c r="S27" s="53">
        <v>0</v>
      </c>
      <c r="T27" s="53">
        <v>0</v>
      </c>
      <c r="U27" s="53">
        <v>0</v>
      </c>
      <c r="V27" s="53">
        <v>0</v>
      </c>
      <c r="W27" s="53">
        <v>0</v>
      </c>
      <c r="X27" s="53">
        <v>0</v>
      </c>
      <c r="Y27" s="53">
        <v>0</v>
      </c>
      <c r="Z27" s="53">
        <v>0</v>
      </c>
      <c r="AA27" s="53">
        <v>0</v>
      </c>
      <c r="AB27" s="53">
        <v>0</v>
      </c>
      <c r="AC27" s="53">
        <v>0</v>
      </c>
      <c r="AD27" s="53">
        <v>0</v>
      </c>
    </row>
    <row r="28" spans="1:30" x14ac:dyDescent="0.35">
      <c r="A28" s="72" t="s">
        <v>39</v>
      </c>
      <c r="B28" s="180"/>
      <c r="C28" s="72" t="s">
        <v>32</v>
      </c>
      <c r="D28" s="53">
        <v>0</v>
      </c>
      <c r="E28" s="53">
        <v>0</v>
      </c>
      <c r="F28" s="53">
        <v>0</v>
      </c>
      <c r="G28" s="53">
        <v>0</v>
      </c>
      <c r="H28" s="53">
        <v>0</v>
      </c>
      <c r="I28" s="53">
        <v>0</v>
      </c>
      <c r="J28" s="53">
        <v>0</v>
      </c>
      <c r="K28" s="53">
        <v>0</v>
      </c>
      <c r="L28" s="53">
        <v>0</v>
      </c>
      <c r="M28" s="53">
        <v>0</v>
      </c>
      <c r="N28" s="53">
        <v>0</v>
      </c>
      <c r="O28" s="53">
        <v>0</v>
      </c>
      <c r="P28" s="53">
        <v>0</v>
      </c>
      <c r="Q28" s="53">
        <v>0</v>
      </c>
      <c r="R28" s="53">
        <v>0</v>
      </c>
      <c r="S28" s="53">
        <v>0</v>
      </c>
      <c r="T28" s="53">
        <v>0</v>
      </c>
      <c r="U28" s="53">
        <v>0</v>
      </c>
      <c r="V28" s="53">
        <v>0</v>
      </c>
      <c r="W28" s="53">
        <v>0</v>
      </c>
      <c r="X28" s="53">
        <v>0</v>
      </c>
      <c r="Y28" s="53">
        <v>0</v>
      </c>
      <c r="Z28" s="53">
        <v>0</v>
      </c>
      <c r="AA28" s="53">
        <v>0</v>
      </c>
      <c r="AB28" s="53">
        <v>0</v>
      </c>
      <c r="AC28" s="53">
        <v>0</v>
      </c>
      <c r="AD28" s="53">
        <v>0</v>
      </c>
    </row>
    <row r="29" spans="1:30" x14ac:dyDescent="0.35">
      <c r="A29" s="72" t="s">
        <v>39</v>
      </c>
      <c r="B29" s="180"/>
      <c r="C29" s="72" t="s">
        <v>33</v>
      </c>
      <c r="D29" s="53">
        <v>0</v>
      </c>
      <c r="E29" s="53">
        <v>0</v>
      </c>
      <c r="F29" s="53">
        <v>0</v>
      </c>
      <c r="G29" s="53">
        <v>0</v>
      </c>
      <c r="H29" s="53">
        <v>0</v>
      </c>
      <c r="I29" s="53">
        <v>0</v>
      </c>
      <c r="J29" s="53">
        <v>0</v>
      </c>
      <c r="K29" s="53">
        <v>0</v>
      </c>
      <c r="L29" s="53">
        <v>0</v>
      </c>
      <c r="M29" s="53">
        <v>0</v>
      </c>
      <c r="N29" s="53">
        <v>0</v>
      </c>
      <c r="O29" s="53">
        <v>0</v>
      </c>
      <c r="P29" s="53">
        <v>0</v>
      </c>
      <c r="Q29" s="53">
        <v>0</v>
      </c>
      <c r="R29" s="53">
        <v>0</v>
      </c>
      <c r="S29" s="53">
        <v>0</v>
      </c>
      <c r="T29" s="53">
        <v>0</v>
      </c>
      <c r="U29" s="53">
        <v>0</v>
      </c>
      <c r="V29" s="53">
        <v>0</v>
      </c>
      <c r="W29" s="53">
        <v>0</v>
      </c>
      <c r="X29" s="53">
        <v>0</v>
      </c>
      <c r="Y29" s="53">
        <v>0</v>
      </c>
      <c r="Z29" s="53">
        <v>0</v>
      </c>
      <c r="AA29" s="53">
        <v>0</v>
      </c>
      <c r="AB29" s="53">
        <v>0</v>
      </c>
      <c r="AC29" s="53">
        <v>0</v>
      </c>
      <c r="AD29" s="53">
        <v>0</v>
      </c>
    </row>
    <row r="30" spans="1:30" x14ac:dyDescent="0.35">
      <c r="A30" s="72" t="s">
        <v>39</v>
      </c>
      <c r="B30" s="180"/>
      <c r="C30" s="72" t="s">
        <v>34</v>
      </c>
      <c r="D30" s="53">
        <v>0</v>
      </c>
      <c r="E30" s="53">
        <v>0</v>
      </c>
      <c r="F30" s="53">
        <v>0</v>
      </c>
      <c r="G30" s="53">
        <v>0</v>
      </c>
      <c r="H30" s="53">
        <v>0</v>
      </c>
      <c r="I30" s="53">
        <v>0</v>
      </c>
      <c r="J30" s="53">
        <v>0</v>
      </c>
      <c r="K30" s="53">
        <v>0</v>
      </c>
      <c r="L30" s="53">
        <v>0</v>
      </c>
      <c r="M30" s="53">
        <v>0</v>
      </c>
      <c r="N30" s="53">
        <v>0</v>
      </c>
      <c r="O30" s="53">
        <v>0</v>
      </c>
      <c r="P30" s="53">
        <v>0</v>
      </c>
      <c r="Q30" s="53">
        <v>0</v>
      </c>
      <c r="R30" s="53">
        <v>0</v>
      </c>
      <c r="S30" s="53">
        <v>0</v>
      </c>
      <c r="T30" s="53">
        <v>0</v>
      </c>
      <c r="U30" s="53">
        <v>0</v>
      </c>
      <c r="V30" s="53">
        <v>0</v>
      </c>
      <c r="W30" s="53">
        <v>0</v>
      </c>
      <c r="X30" s="53">
        <v>0</v>
      </c>
      <c r="Y30" s="53">
        <v>0</v>
      </c>
      <c r="Z30" s="53">
        <v>0</v>
      </c>
      <c r="AA30" s="53">
        <v>0</v>
      </c>
      <c r="AB30" s="53">
        <v>0</v>
      </c>
      <c r="AC30" s="53">
        <v>0</v>
      </c>
      <c r="AD30" s="53">
        <v>0</v>
      </c>
    </row>
    <row r="31" spans="1:30" x14ac:dyDescent="0.35">
      <c r="A31" s="72" t="s">
        <v>39</v>
      </c>
      <c r="B31" s="180"/>
      <c r="C31" s="72" t="s">
        <v>35</v>
      </c>
      <c r="D31" s="53">
        <v>0</v>
      </c>
      <c r="E31" s="53">
        <v>0</v>
      </c>
      <c r="F31" s="53">
        <v>0</v>
      </c>
      <c r="G31" s="53">
        <v>0</v>
      </c>
      <c r="H31" s="53">
        <v>0</v>
      </c>
      <c r="I31" s="53">
        <v>0</v>
      </c>
      <c r="J31" s="53">
        <v>0</v>
      </c>
      <c r="K31" s="53">
        <v>0</v>
      </c>
      <c r="L31" s="53">
        <v>0</v>
      </c>
      <c r="M31" s="53">
        <v>0</v>
      </c>
      <c r="N31" s="53">
        <v>0</v>
      </c>
      <c r="O31" s="53">
        <v>0</v>
      </c>
      <c r="P31" s="53">
        <v>0</v>
      </c>
      <c r="Q31" s="53">
        <v>0</v>
      </c>
      <c r="R31" s="53">
        <v>0</v>
      </c>
      <c r="S31" s="53">
        <v>0</v>
      </c>
      <c r="T31" s="53">
        <v>0</v>
      </c>
      <c r="U31" s="53">
        <v>0</v>
      </c>
      <c r="V31" s="53">
        <v>0</v>
      </c>
      <c r="W31" s="53">
        <v>0</v>
      </c>
      <c r="X31" s="53">
        <v>0</v>
      </c>
      <c r="Y31" s="53">
        <v>0</v>
      </c>
      <c r="Z31" s="53">
        <v>0</v>
      </c>
      <c r="AA31" s="53">
        <v>0</v>
      </c>
      <c r="AB31" s="53">
        <v>0</v>
      </c>
      <c r="AC31" s="53">
        <v>0</v>
      </c>
      <c r="AD31" s="53">
        <v>0</v>
      </c>
    </row>
    <row r="32" spans="1:30" x14ac:dyDescent="0.35">
      <c r="A32" s="72" t="s">
        <v>130</v>
      </c>
      <c r="B32" s="72" t="s">
        <v>111</v>
      </c>
      <c r="C32" s="72" t="s">
        <v>131</v>
      </c>
      <c r="D32" s="53">
        <v>0</v>
      </c>
      <c r="E32" s="53">
        <v>0</v>
      </c>
      <c r="F32" s="53">
        <v>0</v>
      </c>
      <c r="G32" s="53">
        <v>0</v>
      </c>
      <c r="H32" s="53">
        <v>0</v>
      </c>
      <c r="I32" s="53">
        <v>0</v>
      </c>
      <c r="J32" s="53">
        <v>0</v>
      </c>
      <c r="K32" s="53">
        <v>0</v>
      </c>
      <c r="L32" s="53">
        <v>0</v>
      </c>
      <c r="M32" s="53">
        <v>0</v>
      </c>
      <c r="N32" s="53">
        <v>0</v>
      </c>
      <c r="O32" s="53">
        <v>0</v>
      </c>
      <c r="P32" s="53">
        <v>0</v>
      </c>
      <c r="Q32" s="53">
        <v>0</v>
      </c>
      <c r="R32" s="53">
        <v>0</v>
      </c>
      <c r="S32" s="53">
        <v>0</v>
      </c>
      <c r="T32" s="53">
        <v>0</v>
      </c>
      <c r="U32" s="53">
        <v>0</v>
      </c>
      <c r="V32" s="53">
        <v>0</v>
      </c>
      <c r="W32" s="53">
        <v>0</v>
      </c>
      <c r="X32" s="53">
        <v>0</v>
      </c>
      <c r="Y32" s="53">
        <v>0</v>
      </c>
      <c r="Z32" s="53">
        <v>0</v>
      </c>
      <c r="AA32" s="53">
        <v>0</v>
      </c>
      <c r="AB32" s="53">
        <v>0</v>
      </c>
      <c r="AC32" s="53">
        <v>0</v>
      </c>
      <c r="AD32" s="53">
        <v>0</v>
      </c>
    </row>
    <row r="33" spans="1:30" x14ac:dyDescent="0.35">
      <c r="A33" s="72" t="s">
        <v>130</v>
      </c>
      <c r="B33" s="72" t="s">
        <v>132</v>
      </c>
      <c r="C33" s="72" t="s">
        <v>131</v>
      </c>
      <c r="D33" s="53">
        <v>0</v>
      </c>
      <c r="E33" s="53">
        <v>0</v>
      </c>
      <c r="F33" s="53">
        <v>0</v>
      </c>
      <c r="G33" s="53">
        <v>0</v>
      </c>
      <c r="H33" s="53">
        <v>0</v>
      </c>
      <c r="I33" s="53">
        <v>0</v>
      </c>
      <c r="J33" s="53">
        <v>0</v>
      </c>
      <c r="K33" s="53">
        <v>0</v>
      </c>
      <c r="L33" s="53">
        <v>0</v>
      </c>
      <c r="M33" s="53">
        <v>0</v>
      </c>
      <c r="N33" s="53">
        <v>0</v>
      </c>
      <c r="O33" s="53">
        <v>0</v>
      </c>
      <c r="P33" s="53">
        <v>0</v>
      </c>
      <c r="Q33" s="53">
        <v>0</v>
      </c>
      <c r="R33" s="53">
        <v>0</v>
      </c>
      <c r="S33" s="53">
        <v>0</v>
      </c>
      <c r="T33" s="53">
        <v>0</v>
      </c>
      <c r="U33" s="53">
        <v>0</v>
      </c>
      <c r="V33" s="53">
        <v>0</v>
      </c>
      <c r="W33" s="53">
        <v>0</v>
      </c>
      <c r="X33" s="53">
        <v>0</v>
      </c>
      <c r="Y33" s="53">
        <v>0</v>
      </c>
      <c r="Z33" s="53">
        <v>0</v>
      </c>
      <c r="AA33" s="53">
        <v>0</v>
      </c>
      <c r="AB33" s="53">
        <v>0</v>
      </c>
      <c r="AC33" s="53">
        <v>0</v>
      </c>
      <c r="AD33" s="53">
        <v>0</v>
      </c>
    </row>
    <row r="34" spans="1:30" x14ac:dyDescent="0.35">
      <c r="A34" s="72" t="s">
        <v>133</v>
      </c>
      <c r="B34" s="72" t="s">
        <v>111</v>
      </c>
      <c r="C34" s="72" t="s">
        <v>131</v>
      </c>
      <c r="D34" s="53">
        <v>0</v>
      </c>
      <c r="E34" s="53">
        <v>0</v>
      </c>
      <c r="F34" s="53">
        <v>0</v>
      </c>
      <c r="G34" s="53">
        <v>0</v>
      </c>
      <c r="H34" s="53">
        <v>0</v>
      </c>
      <c r="I34" s="53">
        <v>0</v>
      </c>
      <c r="J34" s="53">
        <v>0</v>
      </c>
      <c r="K34" s="53">
        <v>0</v>
      </c>
      <c r="L34" s="53">
        <v>0</v>
      </c>
      <c r="M34" s="53">
        <v>0</v>
      </c>
      <c r="N34" s="53">
        <v>0</v>
      </c>
      <c r="O34" s="53">
        <v>0</v>
      </c>
      <c r="P34" s="53">
        <v>0</v>
      </c>
      <c r="Q34" s="53">
        <v>0</v>
      </c>
      <c r="R34" s="53">
        <v>0</v>
      </c>
      <c r="S34" s="53">
        <v>0</v>
      </c>
      <c r="T34" s="53">
        <v>0</v>
      </c>
      <c r="U34" s="53">
        <v>0</v>
      </c>
      <c r="V34" s="53">
        <v>0</v>
      </c>
      <c r="W34" s="53">
        <v>0</v>
      </c>
      <c r="X34" s="53">
        <v>0</v>
      </c>
      <c r="Y34" s="53">
        <v>0</v>
      </c>
      <c r="Z34" s="53">
        <v>0</v>
      </c>
      <c r="AA34" s="53">
        <v>0</v>
      </c>
      <c r="AB34" s="53">
        <v>0</v>
      </c>
      <c r="AC34" s="53">
        <v>0</v>
      </c>
      <c r="AD34" s="53">
        <v>0</v>
      </c>
    </row>
    <row r="35" spans="1:30" x14ac:dyDescent="0.35">
      <c r="A35" s="72" t="s">
        <v>133</v>
      </c>
      <c r="B35" s="72" t="s">
        <v>132</v>
      </c>
      <c r="C35" s="72" t="s">
        <v>131</v>
      </c>
      <c r="D35" s="53">
        <v>0</v>
      </c>
      <c r="E35" s="53">
        <v>0</v>
      </c>
      <c r="F35" s="53">
        <v>0</v>
      </c>
      <c r="G35" s="53">
        <v>0</v>
      </c>
      <c r="H35" s="53">
        <v>0</v>
      </c>
      <c r="I35" s="53">
        <v>0</v>
      </c>
      <c r="J35" s="53">
        <v>0</v>
      </c>
      <c r="K35" s="53">
        <v>0</v>
      </c>
      <c r="L35" s="53">
        <v>0</v>
      </c>
      <c r="M35" s="53">
        <v>0</v>
      </c>
      <c r="N35" s="53">
        <v>0</v>
      </c>
      <c r="O35" s="53">
        <v>0</v>
      </c>
      <c r="P35" s="53">
        <v>0</v>
      </c>
      <c r="Q35" s="53">
        <v>0</v>
      </c>
      <c r="R35" s="53">
        <v>0</v>
      </c>
      <c r="S35" s="53">
        <v>0</v>
      </c>
      <c r="T35" s="53">
        <v>0</v>
      </c>
      <c r="U35" s="53">
        <v>0</v>
      </c>
      <c r="V35" s="53">
        <v>0</v>
      </c>
      <c r="W35" s="53">
        <v>0</v>
      </c>
      <c r="X35" s="53">
        <v>0</v>
      </c>
      <c r="Y35" s="53">
        <v>0</v>
      </c>
      <c r="Z35" s="53">
        <v>0</v>
      </c>
      <c r="AA35" s="53">
        <v>0</v>
      </c>
      <c r="AB35" s="53">
        <v>0</v>
      </c>
      <c r="AC35" s="53">
        <v>0</v>
      </c>
      <c r="AD35" s="53">
        <v>0</v>
      </c>
    </row>
    <row r="36" spans="1:30" ht="29" x14ac:dyDescent="0.35">
      <c r="A36" s="3" t="s">
        <v>134</v>
      </c>
      <c r="B36" s="3" t="s">
        <v>135</v>
      </c>
      <c r="C36" s="72" t="s">
        <v>131</v>
      </c>
      <c r="D36" s="53">
        <v>16067229.442605903</v>
      </c>
      <c r="E36" s="53">
        <v>17677237.616820693</v>
      </c>
      <c r="F36" s="53">
        <v>18717757.594913848</v>
      </c>
      <c r="G36" s="53">
        <v>19881255.175334983</v>
      </c>
      <c r="H36" s="53">
        <v>21019506.839543719</v>
      </c>
      <c r="I36" s="53">
        <v>22376241.686273821</v>
      </c>
      <c r="J36" s="53">
        <v>23794189.773400716</v>
      </c>
      <c r="K36" s="53">
        <v>23836575.001662541</v>
      </c>
      <c r="L36" s="53">
        <v>23818798.253632478</v>
      </c>
      <c r="M36" s="53">
        <v>23806131.122311082</v>
      </c>
      <c r="N36" s="53">
        <v>25403815.346783485</v>
      </c>
      <c r="O36" s="53">
        <v>27084189.888304435</v>
      </c>
      <c r="P36" s="53">
        <v>28879382.055939604</v>
      </c>
      <c r="Q36" s="53">
        <v>30786183.852598008</v>
      </c>
      <c r="R36" s="53">
        <v>32851759.179210089</v>
      </c>
      <c r="S36" s="53">
        <v>34781652.201516487</v>
      </c>
      <c r="T36" s="53">
        <v>36893354.533710778</v>
      </c>
      <c r="U36" s="53">
        <v>39105422.044644624</v>
      </c>
      <c r="V36" s="53">
        <v>41389020.528488502</v>
      </c>
      <c r="W36" s="53">
        <v>43831671.04718335</v>
      </c>
      <c r="X36" s="53">
        <v>46265962.296719052</v>
      </c>
      <c r="Y36" s="53">
        <v>48676490.002294287</v>
      </c>
      <c r="Z36" s="53">
        <v>51305915.258945085</v>
      </c>
      <c r="AA36" s="53">
        <v>53755982.915524103</v>
      </c>
      <c r="AB36" s="53">
        <v>56293011.281380259</v>
      </c>
      <c r="AC36" s="53">
        <v>58570619.424089514</v>
      </c>
      <c r="AD36" s="53">
        <v>60789046.307956785</v>
      </c>
    </row>
    <row r="38" spans="1:30" x14ac:dyDescent="0.35">
      <c r="A38" s="72"/>
      <c r="B38" s="72"/>
      <c r="C38" s="72" t="s">
        <v>136</v>
      </c>
      <c r="D38" s="53">
        <f>'Cost Assumptions'!$B$4</f>
        <v>40</v>
      </c>
      <c r="E38" s="53">
        <f>D38*'Cost Assumptions'!$B$5</f>
        <v>41</v>
      </c>
      <c r="F38" s="53">
        <f>E38*'Cost Assumptions'!$B$5</f>
        <v>42.024999999999999</v>
      </c>
      <c r="G38" s="53">
        <f>F38*'Cost Assumptions'!$B$5</f>
        <v>43.075624999999995</v>
      </c>
      <c r="H38" s="9">
        <f>G38*'Cost Assumptions'!$B$5</f>
        <v>44.152515624999992</v>
      </c>
      <c r="I38" s="9">
        <f>H38*'Cost Assumptions'!$B$5</f>
        <v>45.256328515624986</v>
      </c>
      <c r="J38" s="9">
        <f>I38*'Cost Assumptions'!$B$5</f>
        <v>46.387736728515605</v>
      </c>
      <c r="K38" s="9">
        <f>J38*'Cost Assumptions'!$B$5</f>
        <v>47.547430146728495</v>
      </c>
      <c r="L38" s="9">
        <f>K38*'Cost Assumptions'!$B$5</f>
        <v>48.736115900396705</v>
      </c>
      <c r="M38" s="9">
        <f>L38*'Cost Assumptions'!$B$5</f>
        <v>49.954518797906616</v>
      </c>
      <c r="N38" s="9">
        <f>M38*'Cost Assumptions'!$B$5</f>
        <v>51.203381767854275</v>
      </c>
      <c r="O38" s="9">
        <f>N38*'Cost Assumptions'!$B$5</f>
        <v>52.483466312050624</v>
      </c>
      <c r="P38" s="9">
        <f>O38*'Cost Assumptions'!$B$5</f>
        <v>53.795552969851883</v>
      </c>
      <c r="Q38" s="9">
        <f>P38*'Cost Assumptions'!$B$5</f>
        <v>55.140441794098173</v>
      </c>
      <c r="R38" s="9">
        <f>Q38*'Cost Assumptions'!$B$5</f>
        <v>56.518952838950625</v>
      </c>
      <c r="S38" s="9">
        <f>R38*'Cost Assumptions'!$B$5</f>
        <v>57.931926659924386</v>
      </c>
      <c r="T38" s="9">
        <f>S38*'Cost Assumptions'!$B$5</f>
        <v>59.380224826422491</v>
      </c>
      <c r="U38" s="9">
        <f>T38*'Cost Assumptions'!$B$5</f>
        <v>60.864730447083048</v>
      </c>
      <c r="V38" s="9">
        <f>U38*'Cost Assumptions'!$B$5</f>
        <v>62.386348708260115</v>
      </c>
      <c r="W38" s="9">
        <f>V38*'Cost Assumptions'!$B$5</f>
        <v>63.946007425966613</v>
      </c>
      <c r="X38" s="9">
        <f>W38*'Cost Assumptions'!$B$5</f>
        <v>65.544657611615776</v>
      </c>
      <c r="Y38" s="9">
        <f>X38*'Cost Assumptions'!$B$5</f>
        <v>67.183274051906167</v>
      </c>
      <c r="Z38" s="9">
        <f>Y38*'Cost Assumptions'!$B$5</f>
        <v>68.862855903203823</v>
      </c>
      <c r="AA38" s="9">
        <f>Z38*'Cost Assumptions'!$B$5</f>
        <v>70.584427300783915</v>
      </c>
      <c r="AB38" s="9">
        <f>AA38*'Cost Assumptions'!$B$5</f>
        <v>72.349037983303504</v>
      </c>
      <c r="AC38" s="9">
        <f>AB38*'Cost Assumptions'!$B$5</f>
        <v>74.157763932886084</v>
      </c>
      <c r="AD38" s="9">
        <f>AC38*'Cost Assumptions'!$B$5</f>
        <v>76.011708031208229</v>
      </c>
    </row>
    <row r="39" spans="1:30" x14ac:dyDescent="0.35">
      <c r="A39" s="72"/>
      <c r="B39" s="72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</row>
    <row r="40" spans="1:30" ht="23.5" x14ac:dyDescent="0.55000000000000004">
      <c r="A40" s="72"/>
      <c r="B40" s="178" t="s">
        <v>137</v>
      </c>
      <c r="C40" s="178"/>
      <c r="D40" s="178"/>
      <c r="E40" s="178"/>
      <c r="F40" s="178"/>
      <c r="G40" s="178"/>
      <c r="H40" s="178"/>
      <c r="I40" s="178"/>
      <c r="J40" s="178"/>
      <c r="K40" s="178"/>
      <c r="L40" s="178"/>
      <c r="M40" s="178"/>
      <c r="N40" s="178"/>
      <c r="O40" s="178"/>
      <c r="P40" s="178"/>
      <c r="Q40" s="178"/>
      <c r="R40" s="178"/>
      <c r="S40" s="178"/>
      <c r="T40" s="178"/>
      <c r="U40" s="178"/>
      <c r="V40" s="178"/>
      <c r="W40" s="178"/>
      <c r="X40" s="178"/>
      <c r="Y40" s="178"/>
      <c r="Z40" s="178"/>
      <c r="AA40" s="178"/>
      <c r="AB40" s="178"/>
      <c r="AC40" s="178"/>
      <c r="AD40" s="178"/>
    </row>
    <row r="41" spans="1:30" ht="20" thickBot="1" x14ac:dyDescent="0.5">
      <c r="A41" s="113"/>
      <c r="B41" s="122" t="s">
        <v>138</v>
      </c>
      <c r="C41" s="113" t="s">
        <v>105</v>
      </c>
      <c r="D41" s="113"/>
      <c r="E41" s="113"/>
      <c r="F41" s="113"/>
      <c r="G41" s="113">
        <v>2025</v>
      </c>
      <c r="H41" s="113">
        <v>2026</v>
      </c>
      <c r="I41" s="113">
        <v>2027</v>
      </c>
      <c r="J41" s="113">
        <v>2028</v>
      </c>
      <c r="K41" s="113">
        <v>2029</v>
      </c>
      <c r="L41" s="113">
        <v>2030</v>
      </c>
      <c r="M41" s="113">
        <v>2031</v>
      </c>
      <c r="N41" s="113">
        <v>2032</v>
      </c>
      <c r="O41" s="113">
        <v>2033</v>
      </c>
      <c r="P41" s="113">
        <v>2034</v>
      </c>
      <c r="Q41" s="113">
        <v>2035</v>
      </c>
      <c r="R41" s="113">
        <v>2036</v>
      </c>
      <c r="S41" s="113">
        <v>2037</v>
      </c>
      <c r="T41" s="113">
        <v>2038</v>
      </c>
      <c r="U41" s="113">
        <v>2039</v>
      </c>
      <c r="V41" s="113">
        <v>2040</v>
      </c>
      <c r="W41" s="113">
        <v>2041</v>
      </c>
      <c r="X41" s="113">
        <v>2042</v>
      </c>
      <c r="Y41" s="113">
        <v>2043</v>
      </c>
      <c r="Z41" s="113">
        <v>2044</v>
      </c>
      <c r="AA41" s="113">
        <v>2045</v>
      </c>
      <c r="AB41" s="113">
        <v>2046</v>
      </c>
      <c r="AC41" s="113">
        <v>2047</v>
      </c>
      <c r="AD41" s="113">
        <v>2048</v>
      </c>
    </row>
    <row r="42" spans="1:30" ht="15" thickTop="1" x14ac:dyDescent="0.35">
      <c r="A42" s="72"/>
      <c r="B42" s="10">
        <f>NPV('Cost Assumptions'!$B$3,'Centralized BESS in Valley S'!D42:'Centralized BESS in Valley S'!AD42)</f>
        <v>15781.696909838163</v>
      </c>
      <c r="C42" s="72" t="s">
        <v>107</v>
      </c>
      <c r="D42" s="53">
        <f t="shared" ref="D42:AD42" si="0">D2-D18</f>
        <v>1135.5499999998938</v>
      </c>
      <c r="E42" s="53">
        <f t="shared" si="0"/>
        <v>1192.9173076921797</v>
      </c>
      <c r="F42" s="53">
        <f t="shared" si="0"/>
        <v>1250.2846153844657</v>
      </c>
      <c r="G42" s="53">
        <f t="shared" si="0"/>
        <v>1307.6519230767517</v>
      </c>
      <c r="H42" s="53">
        <f t="shared" si="0"/>
        <v>1365.0192307690377</v>
      </c>
      <c r="I42" s="53">
        <f t="shared" si="0"/>
        <v>1422.3865384613237</v>
      </c>
      <c r="J42" s="53">
        <f t="shared" si="0"/>
        <v>1479.7538461536096</v>
      </c>
      <c r="K42" s="53">
        <f t="shared" si="0"/>
        <v>1479.0346153844148</v>
      </c>
      <c r="L42" s="53">
        <f t="shared" si="0"/>
        <v>1970.503846153937</v>
      </c>
      <c r="M42" s="53">
        <f t="shared" si="0"/>
        <v>2464.5230769230111</v>
      </c>
      <c r="N42" s="53">
        <f t="shared" si="0"/>
        <v>2429.5923076921317</v>
      </c>
      <c r="O42" s="53">
        <f t="shared" si="0"/>
        <v>2403.5021634613367</v>
      </c>
      <c r="P42" s="53">
        <f t="shared" si="0"/>
        <v>2377.4120192305418</v>
      </c>
      <c r="Q42" s="53">
        <f t="shared" si="0"/>
        <v>2351.3218749997468</v>
      </c>
      <c r="R42" s="53">
        <f t="shared" si="0"/>
        <v>2325.2317307689518</v>
      </c>
      <c r="S42" s="53">
        <f t="shared" si="0"/>
        <v>2299.1415865381568</v>
      </c>
      <c r="T42" s="53">
        <f t="shared" si="0"/>
        <v>2273.0514423073619</v>
      </c>
      <c r="U42" s="53">
        <f t="shared" si="0"/>
        <v>2246.9612980765669</v>
      </c>
      <c r="V42" s="53">
        <f t="shared" si="0"/>
        <v>2220.8711538457719</v>
      </c>
      <c r="W42" s="53">
        <f t="shared" si="0"/>
        <v>2194.7810096149769</v>
      </c>
      <c r="X42" s="53">
        <f t="shared" si="0"/>
        <v>2168.690865384182</v>
      </c>
      <c r="Y42" s="53">
        <f t="shared" si="0"/>
        <v>2142.600721153387</v>
      </c>
      <c r="Z42" s="53">
        <f t="shared" si="0"/>
        <v>2116.510576922592</v>
      </c>
      <c r="AA42" s="53">
        <f t="shared" si="0"/>
        <v>2090.420432691797</v>
      </c>
      <c r="AB42" s="53">
        <f t="shared" si="0"/>
        <v>2064.3302884610021</v>
      </c>
      <c r="AC42" s="53">
        <f t="shared" si="0"/>
        <v>2038.2401442302071</v>
      </c>
      <c r="AD42" s="53">
        <f t="shared" si="0"/>
        <v>2012.1499999994339</v>
      </c>
    </row>
    <row r="43" spans="1:30" x14ac:dyDescent="0.35">
      <c r="A43" s="72"/>
      <c r="B43" s="10">
        <f>NPV('Cost Assumptions'!$B$3,'Centralized BESS in Valley S'!D43:'Centralized BESS in Valley S'!AD43)</f>
        <v>806178.54192307137</v>
      </c>
      <c r="C43" s="72" t="s">
        <v>139</v>
      </c>
      <c r="D43" s="53">
        <f t="shared" ref="D43:AD43" si="1">D42*D38</f>
        <v>45421.999999995751</v>
      </c>
      <c r="E43" s="53">
        <f t="shared" si="1"/>
        <v>48909.60961537937</v>
      </c>
      <c r="F43" s="53">
        <f t="shared" si="1"/>
        <v>52543.210961532168</v>
      </c>
      <c r="G43" s="53">
        <f t="shared" si="1"/>
        <v>56327.923868982994</v>
      </c>
      <c r="H43" s="53">
        <f t="shared" si="1"/>
        <v>60269.032914955409</v>
      </c>
      <c r="I43" s="53">
        <f t="shared" si="1"/>
        <v>64371.992460808317</v>
      </c>
      <c r="J43" s="53">
        <f t="shared" si="1"/>
        <v>68642.431838382021</v>
      </c>
      <c r="K43" s="53">
        <f t="shared" si="1"/>
        <v>70324.295059583907</v>
      </c>
      <c r="L43" s="53">
        <f t="shared" si="1"/>
        <v>96034.703828335754</v>
      </c>
      <c r="M43" s="53">
        <f t="shared" si="1"/>
        <v>123114.06437402521</v>
      </c>
      <c r="N43" s="53">
        <f t="shared" si="1"/>
        <v>124403.3424710023</v>
      </c>
      <c r="O43" s="53">
        <f t="shared" si="1"/>
        <v>126144.12482696386</v>
      </c>
      <c r="P43" s="53">
        <f t="shared" si="1"/>
        <v>127894.19421167913</v>
      </c>
      <c r="Q43" s="53">
        <f t="shared" si="1"/>
        <v>129652.92698761332</v>
      </c>
      <c r="R43" s="53">
        <f t="shared" si="1"/>
        <v>131419.66253096191</v>
      </c>
      <c r="S43" s="53">
        <f t="shared" si="1"/>
        <v>133193.70177211071</v>
      </c>
      <c r="T43" s="53">
        <f t="shared" si="1"/>
        <v>134974.30568623505</v>
      </c>
      <c r="U43" s="53">
        <f t="shared" si="1"/>
        <v>136760.69373245808</v>
      </c>
      <c r="V43" s="53">
        <f t="shared" si="1"/>
        <v>138552.04223993834</v>
      </c>
      <c r="W43" s="53">
        <f t="shared" si="1"/>
        <v>140347.48273920981</v>
      </c>
      <c r="X43" s="53">
        <f t="shared" si="1"/>
        <v>142146.10023704491</v>
      </c>
      <c r="Y43" s="53">
        <f t="shared" si="1"/>
        <v>143946.9314330598</v>
      </c>
      <c r="Z43" s="53">
        <f t="shared" si="1"/>
        <v>145748.96287622725</v>
      </c>
      <c r="AA43" s="53">
        <f t="shared" si="1"/>
        <v>147551.12905940739</v>
      </c>
      <c r="AB43" s="53">
        <f t="shared" si="1"/>
        <v>149352.31044994891</v>
      </c>
      <c r="AC43" s="53">
        <f t="shared" si="1"/>
        <v>151151.33145435539</v>
      </c>
      <c r="AD43" s="53">
        <f t="shared" si="1"/>
        <v>152946.95831495262</v>
      </c>
    </row>
    <row r="44" spans="1:30" x14ac:dyDescent="0.35">
      <c r="A44" s="72" t="s">
        <v>30</v>
      </c>
      <c r="B44" s="10">
        <f>NPV('Cost Assumptions'!$B$3,'Centralized BESS in Valley S'!D44:'Centralized BESS in Valley S'!AD44)</f>
        <v>1008.9296414264766</v>
      </c>
      <c r="C44" s="72" t="s">
        <v>31</v>
      </c>
      <c r="D44" s="53">
        <f t="shared" ref="D44:AD44" si="2">D3-D19</f>
        <v>10</v>
      </c>
      <c r="E44" s="53">
        <f t="shared" si="2"/>
        <v>20.5</v>
      </c>
      <c r="F44" s="53">
        <f t="shared" si="2"/>
        <v>29.879999999999995</v>
      </c>
      <c r="G44" s="53">
        <f t="shared" si="2"/>
        <v>39.259999999999991</v>
      </c>
      <c r="H44" s="53">
        <f t="shared" si="2"/>
        <v>48.639999999999986</v>
      </c>
      <c r="I44" s="53">
        <f t="shared" si="2"/>
        <v>58.019999999999982</v>
      </c>
      <c r="J44" s="53">
        <f t="shared" si="2"/>
        <v>67.399999999999977</v>
      </c>
      <c r="K44" s="53">
        <f t="shared" si="2"/>
        <v>57.599999999999966</v>
      </c>
      <c r="L44" s="53">
        <f t="shared" si="2"/>
        <v>49.800000000000011</v>
      </c>
      <c r="M44" s="53">
        <f t="shared" si="2"/>
        <v>41.5</v>
      </c>
      <c r="N44" s="53">
        <f t="shared" si="2"/>
        <v>53.700000000000017</v>
      </c>
      <c r="O44" s="53">
        <f t="shared" si="2"/>
        <v>75.066666666666691</v>
      </c>
      <c r="P44" s="53">
        <f t="shared" si="2"/>
        <v>96.433333333333366</v>
      </c>
      <c r="Q44" s="53">
        <f t="shared" si="2"/>
        <v>117.80000000000004</v>
      </c>
      <c r="R44" s="53">
        <f t="shared" si="2"/>
        <v>139.16666666666671</v>
      </c>
      <c r="S44" s="53">
        <f t="shared" si="2"/>
        <v>160.53333333333339</v>
      </c>
      <c r="T44" s="53">
        <f t="shared" si="2"/>
        <v>181.90000000000003</v>
      </c>
      <c r="U44" s="53">
        <f t="shared" si="2"/>
        <v>244.23000000000002</v>
      </c>
      <c r="V44" s="53">
        <f t="shared" si="2"/>
        <v>306.56</v>
      </c>
      <c r="W44" s="53">
        <f t="shared" si="2"/>
        <v>368.89</v>
      </c>
      <c r="X44" s="53">
        <f t="shared" si="2"/>
        <v>431.21999999999997</v>
      </c>
      <c r="Y44" s="53">
        <f t="shared" si="2"/>
        <v>453.7000000000001</v>
      </c>
      <c r="Z44" s="53">
        <f t="shared" si="2"/>
        <v>524.00000000000011</v>
      </c>
      <c r="AA44" s="53">
        <f t="shared" si="2"/>
        <v>594.30000000000007</v>
      </c>
      <c r="AB44" s="53">
        <f t="shared" si="2"/>
        <v>664.6</v>
      </c>
      <c r="AC44" s="53">
        <f t="shared" si="2"/>
        <v>734.9</v>
      </c>
      <c r="AD44" s="53">
        <f t="shared" si="2"/>
        <v>805.2</v>
      </c>
    </row>
    <row r="45" spans="1:30" x14ac:dyDescent="0.35">
      <c r="A45" s="72" t="s">
        <v>30</v>
      </c>
      <c r="B45" s="10">
        <f>NPV('Cost Assumptions'!$B$3,'Centralized BESS in Valley S'!D45:'Centralized BESS in Valley S'!AD45)</f>
        <v>100.1706730731125</v>
      </c>
      <c r="C45" s="72" t="s">
        <v>32</v>
      </c>
      <c r="D45" s="53">
        <f t="shared" ref="D45:AD45" si="3">D4-D20</f>
        <v>2</v>
      </c>
      <c r="E45" s="53">
        <f t="shared" si="3"/>
        <v>3</v>
      </c>
      <c r="F45" s="53">
        <f t="shared" si="3"/>
        <v>4.6799999999999953</v>
      </c>
      <c r="G45" s="53">
        <f t="shared" si="3"/>
        <v>6.3599999999999905</v>
      </c>
      <c r="H45" s="53">
        <f t="shared" si="3"/>
        <v>8.0399999999999867</v>
      </c>
      <c r="I45" s="53">
        <f t="shared" si="3"/>
        <v>9.7199999999999829</v>
      </c>
      <c r="J45" s="53">
        <f t="shared" si="3"/>
        <v>11.399999999999977</v>
      </c>
      <c r="K45" s="53">
        <f t="shared" si="3"/>
        <v>10.199999999999989</v>
      </c>
      <c r="L45" s="53">
        <f t="shared" si="3"/>
        <v>8.5999999999999943</v>
      </c>
      <c r="M45" s="53">
        <f t="shared" si="3"/>
        <v>6.8000000000000114</v>
      </c>
      <c r="N45" s="53">
        <f t="shared" si="3"/>
        <v>9.6000000000000227</v>
      </c>
      <c r="O45" s="53">
        <f t="shared" si="3"/>
        <v>11.333333333333352</v>
      </c>
      <c r="P45" s="53">
        <f t="shared" si="3"/>
        <v>13.066666666666681</v>
      </c>
      <c r="Q45" s="53">
        <f t="shared" si="3"/>
        <v>14.80000000000001</v>
      </c>
      <c r="R45" s="53">
        <f t="shared" si="3"/>
        <v>16.533333333333339</v>
      </c>
      <c r="S45" s="53">
        <f t="shared" si="3"/>
        <v>18.266666666666669</v>
      </c>
      <c r="T45" s="53">
        <f t="shared" si="3"/>
        <v>20</v>
      </c>
      <c r="U45" s="53">
        <f t="shared" si="3"/>
        <v>21.860000000000003</v>
      </c>
      <c r="V45" s="53">
        <f t="shared" si="3"/>
        <v>23.720000000000006</v>
      </c>
      <c r="W45" s="53">
        <f t="shared" si="3"/>
        <v>25.580000000000009</v>
      </c>
      <c r="X45" s="53">
        <f t="shared" si="3"/>
        <v>27.440000000000012</v>
      </c>
      <c r="Y45" s="53">
        <f t="shared" si="3"/>
        <v>29.300000000000011</v>
      </c>
      <c r="Z45" s="53">
        <f t="shared" si="3"/>
        <v>30.480000000000008</v>
      </c>
      <c r="AA45" s="53">
        <f t="shared" si="3"/>
        <v>31.660000000000004</v>
      </c>
      <c r="AB45" s="53">
        <f t="shared" si="3"/>
        <v>32.839999999999996</v>
      </c>
      <c r="AC45" s="53">
        <f t="shared" si="3"/>
        <v>34.019999999999989</v>
      </c>
      <c r="AD45" s="53">
        <f t="shared" si="3"/>
        <v>35.199999999999989</v>
      </c>
    </row>
    <row r="46" spans="1:30" x14ac:dyDescent="0.35">
      <c r="A46" s="72" t="s">
        <v>30</v>
      </c>
      <c r="B46" s="10">
        <f>NPV('Cost Assumptions'!$B$3,'Centralized BESS in Valley S'!D46:'Centralized BESS in Valley S'!AD46)</f>
        <v>73.336634837250131</v>
      </c>
      <c r="C46" s="72" t="s">
        <v>33</v>
      </c>
      <c r="D46" s="53">
        <f t="shared" ref="D46:AD46" si="4">D5-D21</f>
        <v>8.4812112193331513E-2</v>
      </c>
      <c r="E46" s="53">
        <f t="shared" si="4"/>
        <v>0.24283371212350299</v>
      </c>
      <c r="F46" s="53">
        <f t="shared" si="4"/>
        <v>0.34046276046663143</v>
      </c>
      <c r="G46" s="53">
        <f t="shared" si="4"/>
        <v>0.43809180880975984</v>
      </c>
      <c r="H46" s="53">
        <f t="shared" si="4"/>
        <v>0.53572085715288831</v>
      </c>
      <c r="I46" s="53">
        <f t="shared" si="4"/>
        <v>0.63334990549601677</v>
      </c>
      <c r="J46" s="53">
        <f t="shared" si="4"/>
        <v>0.73097895383914513</v>
      </c>
      <c r="K46" s="53">
        <f t="shared" si="4"/>
        <v>0.61764830497225676</v>
      </c>
      <c r="L46" s="53">
        <f t="shared" si="4"/>
        <v>0.52957812632109091</v>
      </c>
      <c r="M46" s="53">
        <f t="shared" si="4"/>
        <v>0.48185121670948772</v>
      </c>
      <c r="N46" s="53">
        <f t="shared" si="4"/>
        <v>0.56680711827214547</v>
      </c>
      <c r="O46" s="53">
        <f t="shared" si="4"/>
        <v>0.96980348799493798</v>
      </c>
      <c r="P46" s="53">
        <f t="shared" si="4"/>
        <v>1.3727998577177305</v>
      </c>
      <c r="Q46" s="53">
        <f t="shared" si="4"/>
        <v>1.775796227440523</v>
      </c>
      <c r="R46" s="53">
        <f t="shared" si="4"/>
        <v>2.1787925971633153</v>
      </c>
      <c r="S46" s="53">
        <f t="shared" si="4"/>
        <v>2.5817889668861076</v>
      </c>
      <c r="T46" s="53">
        <f t="shared" si="4"/>
        <v>2.9847853366089003</v>
      </c>
      <c r="U46" s="53">
        <f t="shared" si="4"/>
        <v>21.070525908414965</v>
      </c>
      <c r="V46" s="53">
        <f t="shared" si="4"/>
        <v>39.156266480221028</v>
      </c>
      <c r="W46" s="53">
        <f t="shared" si="4"/>
        <v>57.242007052027091</v>
      </c>
      <c r="X46" s="53">
        <f t="shared" si="4"/>
        <v>75.327747623833147</v>
      </c>
      <c r="Y46" s="53">
        <f t="shared" si="4"/>
        <v>93.413488195639218</v>
      </c>
      <c r="Z46" s="53">
        <f t="shared" si="4"/>
        <v>81.062212021092932</v>
      </c>
      <c r="AA46" s="53">
        <f t="shared" si="4"/>
        <v>68.710935846546647</v>
      </c>
      <c r="AB46" s="53">
        <f t="shared" si="4"/>
        <v>56.359659672000362</v>
      </c>
      <c r="AC46" s="53">
        <f t="shared" si="4"/>
        <v>44.008383497454076</v>
      </c>
      <c r="AD46" s="53">
        <f t="shared" si="4"/>
        <v>31.657107322907791</v>
      </c>
    </row>
    <row r="47" spans="1:30" x14ac:dyDescent="0.35">
      <c r="A47" s="72" t="s">
        <v>30</v>
      </c>
      <c r="B47" s="10">
        <f>NPV('Cost Assumptions'!$B$3,'Centralized BESS in Valley S'!D47:'Centralized BESS in Valley S'!AD47)</f>
        <v>1.4721708526842732</v>
      </c>
      <c r="C47" s="72" t="s">
        <v>34</v>
      </c>
      <c r="D47" s="53">
        <f t="shared" ref="D47:AD47" si="5">D6-D22</f>
        <v>6.0580080138093939E-3</v>
      </c>
      <c r="E47" s="53">
        <f t="shared" si="5"/>
        <v>1.7771756236396739E-2</v>
      </c>
      <c r="F47" s="53">
        <f t="shared" si="5"/>
        <v>2.504677784712513E-2</v>
      </c>
      <c r="G47" s="53">
        <f t="shared" si="5"/>
        <v>3.2321799457853517E-2</v>
      </c>
      <c r="H47" s="53">
        <f t="shared" si="5"/>
        <v>3.9596821068581908E-2</v>
      </c>
      <c r="I47" s="53">
        <f t="shared" si="5"/>
        <v>4.6871842679310299E-2</v>
      </c>
      <c r="J47" s="53">
        <f t="shared" si="5"/>
        <v>5.414686429003869E-2</v>
      </c>
      <c r="K47" s="53">
        <f t="shared" si="5"/>
        <v>4.57170533491131E-2</v>
      </c>
      <c r="L47" s="53">
        <f t="shared" si="5"/>
        <v>3.8991796004088156E-2</v>
      </c>
      <c r="M47" s="53">
        <f t="shared" si="5"/>
        <v>3.1792887361975948E-2</v>
      </c>
      <c r="N47" s="53">
        <f t="shared" si="5"/>
        <v>4.2212624824281168E-2</v>
      </c>
      <c r="O47" s="53">
        <f t="shared" si="5"/>
        <v>5.9766414638595444E-2</v>
      </c>
      <c r="P47" s="53">
        <f t="shared" si="5"/>
        <v>7.7320204452909727E-2</v>
      </c>
      <c r="Q47" s="53">
        <f t="shared" si="5"/>
        <v>9.487399426722401E-2</v>
      </c>
      <c r="R47" s="53">
        <f t="shared" si="5"/>
        <v>0.11242778408153829</v>
      </c>
      <c r="S47" s="53">
        <f t="shared" si="5"/>
        <v>0.12998157389585258</v>
      </c>
      <c r="T47" s="53">
        <f t="shared" si="5"/>
        <v>0.14753536371016684</v>
      </c>
      <c r="U47" s="53">
        <f t="shared" si="5"/>
        <v>0.40051087482777559</v>
      </c>
      <c r="V47" s="53">
        <f t="shared" si="5"/>
        <v>0.65348638594538433</v>
      </c>
      <c r="W47" s="53">
        <f t="shared" si="5"/>
        <v>0.90646189706299307</v>
      </c>
      <c r="X47" s="53">
        <f t="shared" si="5"/>
        <v>1.1594374081806018</v>
      </c>
      <c r="Y47" s="53">
        <f t="shared" si="5"/>
        <v>1.4124129192982104</v>
      </c>
      <c r="Z47" s="53">
        <f t="shared" si="5"/>
        <v>1.2710233198999881</v>
      </c>
      <c r="AA47" s="53">
        <f t="shared" si="5"/>
        <v>1.1296337205017657</v>
      </c>
      <c r="AB47" s="53">
        <f t="shared" si="5"/>
        <v>0.98824412110354332</v>
      </c>
      <c r="AC47" s="53">
        <f t="shared" si="5"/>
        <v>0.84685452170532094</v>
      </c>
      <c r="AD47" s="53">
        <f t="shared" si="5"/>
        <v>0.70546492230709823</v>
      </c>
    </row>
    <row r="48" spans="1:30" x14ac:dyDescent="0.35">
      <c r="A48" s="72" t="s">
        <v>30</v>
      </c>
      <c r="B48" s="10">
        <f>NPV('Cost Assumptions'!$B$3,'Centralized BESS in Valley S'!D48:'Centralized BESS in Valley S'!AD48)</f>
        <v>315.95809421564536</v>
      </c>
      <c r="C48" s="72" t="s">
        <v>35</v>
      </c>
      <c r="D48" s="53">
        <f t="shared" ref="D48:AD48" si="6">D7-D23</f>
        <v>14</v>
      </c>
      <c r="E48" s="53">
        <f t="shared" si="6"/>
        <v>21</v>
      </c>
      <c r="F48" s="53">
        <f t="shared" si="6"/>
        <v>23.2</v>
      </c>
      <c r="G48" s="53">
        <f t="shared" si="6"/>
        <v>25.4</v>
      </c>
      <c r="H48" s="53">
        <f t="shared" si="6"/>
        <v>27.599999999999998</v>
      </c>
      <c r="I48" s="53">
        <f t="shared" si="6"/>
        <v>29.799999999999997</v>
      </c>
      <c r="J48" s="53">
        <f t="shared" si="6"/>
        <v>32</v>
      </c>
      <c r="K48" s="53">
        <f t="shared" si="6"/>
        <v>30</v>
      </c>
      <c r="L48" s="53">
        <f t="shared" si="6"/>
        <v>29</v>
      </c>
      <c r="M48" s="53">
        <f t="shared" si="6"/>
        <v>29</v>
      </c>
      <c r="N48" s="53">
        <f t="shared" si="6"/>
        <v>29</v>
      </c>
      <c r="O48" s="53">
        <f t="shared" si="6"/>
        <v>32.666666666666664</v>
      </c>
      <c r="P48" s="53">
        <f t="shared" si="6"/>
        <v>36.333333333333329</v>
      </c>
      <c r="Q48" s="53">
        <f t="shared" si="6"/>
        <v>39.999999999999993</v>
      </c>
      <c r="R48" s="53">
        <f t="shared" si="6"/>
        <v>43.666666666666657</v>
      </c>
      <c r="S48" s="53">
        <f t="shared" si="6"/>
        <v>47.333333333333321</v>
      </c>
      <c r="T48" s="53">
        <f t="shared" si="6"/>
        <v>51</v>
      </c>
      <c r="U48" s="53">
        <f t="shared" si="6"/>
        <v>56.6</v>
      </c>
      <c r="V48" s="53">
        <f t="shared" si="6"/>
        <v>62.2</v>
      </c>
      <c r="W48" s="53">
        <f t="shared" si="6"/>
        <v>67.8</v>
      </c>
      <c r="X48" s="53">
        <f t="shared" si="6"/>
        <v>73.399999999999991</v>
      </c>
      <c r="Y48" s="53">
        <f t="shared" si="6"/>
        <v>79</v>
      </c>
      <c r="Z48" s="53">
        <f t="shared" si="6"/>
        <v>82</v>
      </c>
      <c r="AA48" s="53">
        <f t="shared" si="6"/>
        <v>85</v>
      </c>
      <c r="AB48" s="53">
        <f t="shared" si="6"/>
        <v>88</v>
      </c>
      <c r="AC48" s="53">
        <f t="shared" si="6"/>
        <v>91</v>
      </c>
      <c r="AD48" s="53">
        <f t="shared" si="6"/>
        <v>94</v>
      </c>
    </row>
    <row r="49" spans="1:30" s="66" customFormat="1" x14ac:dyDescent="0.35">
      <c r="A49" s="72" t="s">
        <v>30</v>
      </c>
      <c r="B49" s="10">
        <f>NPV('Cost Assumptions'!$B$3,D49:AD49)</f>
        <v>82124.115349324973</v>
      </c>
      <c r="C49" s="70" t="s">
        <v>140</v>
      </c>
      <c r="D49" s="53">
        <f>D13-D24</f>
        <v>3577.7077849904035</v>
      </c>
      <c r="E49" s="53">
        <f t="shared" ref="E49:AD49" si="7">E13-E24</f>
        <v>4757.2643473224671</v>
      </c>
      <c r="F49" s="53">
        <f t="shared" si="7"/>
        <v>5936.8209096545306</v>
      </c>
      <c r="G49" s="53">
        <f t="shared" si="7"/>
        <v>7116.3774719865942</v>
      </c>
      <c r="H49" s="53">
        <f t="shared" si="7"/>
        <v>8295.9340343186577</v>
      </c>
      <c r="I49" s="53">
        <f t="shared" si="7"/>
        <v>9475.4905966507213</v>
      </c>
      <c r="J49" s="53">
        <f t="shared" si="7"/>
        <v>10655.047158982785</v>
      </c>
      <c r="K49" s="53">
        <f t="shared" si="7"/>
        <v>10118.925758809253</v>
      </c>
      <c r="L49" s="53">
        <f t="shared" si="7"/>
        <v>9582.8043586357217</v>
      </c>
      <c r="M49" s="53">
        <f t="shared" si="7"/>
        <v>8148.9490184232354</v>
      </c>
      <c r="N49" s="53">
        <f t="shared" si="7"/>
        <v>9015.499011869304</v>
      </c>
      <c r="O49" s="53">
        <f t="shared" si="7"/>
        <v>10036.723564320491</v>
      </c>
      <c r="P49" s="53">
        <f t="shared" si="7"/>
        <v>10499.551533821941</v>
      </c>
      <c r="Q49" s="53">
        <f t="shared" si="7"/>
        <v>10962.379503323391</v>
      </c>
      <c r="R49" s="53">
        <f t="shared" si="7"/>
        <v>11425.207472824841</v>
      </c>
      <c r="S49" s="53">
        <f t="shared" si="7"/>
        <v>11888.035442326291</v>
      </c>
      <c r="T49" s="53">
        <f t="shared" si="7"/>
        <v>12350.86341182774</v>
      </c>
      <c r="U49" s="53">
        <f t="shared" si="7"/>
        <v>12813.69138132919</v>
      </c>
      <c r="V49" s="53">
        <f t="shared" si="7"/>
        <v>13276.51935083064</v>
      </c>
      <c r="W49" s="53">
        <f t="shared" si="7"/>
        <v>13739.34732033209</v>
      </c>
      <c r="X49" s="53">
        <f t="shared" si="7"/>
        <v>14202.17528983354</v>
      </c>
      <c r="Y49" s="53">
        <f t="shared" si="7"/>
        <v>14665.00325933499</v>
      </c>
      <c r="Z49" s="53">
        <f t="shared" si="7"/>
        <v>15127.83122883644</v>
      </c>
      <c r="AA49" s="53">
        <f t="shared" si="7"/>
        <v>15590.659198337889</v>
      </c>
      <c r="AB49" s="53">
        <f t="shared" si="7"/>
        <v>16053.487167839339</v>
      </c>
      <c r="AC49" s="53">
        <f t="shared" si="7"/>
        <v>16516.315137340789</v>
      </c>
      <c r="AD49" s="53">
        <f t="shared" si="7"/>
        <v>16979.143106842239</v>
      </c>
    </row>
    <row r="50" spans="1:30" s="66" customFormat="1" x14ac:dyDescent="0.35">
      <c r="A50" s="72" t="s">
        <v>30</v>
      </c>
      <c r="B50" s="10">
        <f>NPV('Cost Assumptions'!$B$3,D50:AD50)</f>
        <v>2.9234079329140863E-2</v>
      </c>
      <c r="C50" s="70" t="s">
        <v>141</v>
      </c>
      <c r="D50" s="53">
        <f>D14-D25</f>
        <v>6.4496516570216045E-2</v>
      </c>
      <c r="E50" s="53">
        <f t="shared" ref="E50:AD50" si="8">E14-E25</f>
        <v>-7.5755483412649482E-2</v>
      </c>
      <c r="F50" s="53">
        <f t="shared" si="8"/>
        <v>-9.841627674177289E-3</v>
      </c>
      <c r="G50" s="53">
        <f t="shared" si="8"/>
        <v>-4.3007727188523859E-2</v>
      </c>
      <c r="H50" s="53">
        <f t="shared" si="8"/>
        <v>4.6788651612587273E-2</v>
      </c>
      <c r="I50" s="53">
        <f t="shared" si="8"/>
        <v>9.1605340130627155E-3</v>
      </c>
      <c r="J50" s="53">
        <f t="shared" si="8"/>
        <v>6.9675956590799615E-2</v>
      </c>
      <c r="K50" s="53">
        <f t="shared" si="8"/>
        <v>0</v>
      </c>
      <c r="L50" s="53">
        <f t="shared" si="8"/>
        <v>0</v>
      </c>
      <c r="M50" s="53">
        <f t="shared" si="8"/>
        <v>0</v>
      </c>
      <c r="N50" s="53">
        <f t="shared" si="8"/>
        <v>0</v>
      </c>
      <c r="O50" s="53">
        <f t="shared" si="8"/>
        <v>0</v>
      </c>
      <c r="P50" s="53">
        <f t="shared" si="8"/>
        <v>0</v>
      </c>
      <c r="Q50" s="53">
        <f t="shared" si="8"/>
        <v>0</v>
      </c>
      <c r="R50" s="53">
        <f t="shared" si="8"/>
        <v>0</v>
      </c>
      <c r="S50" s="53">
        <f t="shared" si="8"/>
        <v>0</v>
      </c>
      <c r="T50" s="53">
        <f t="shared" si="8"/>
        <v>0</v>
      </c>
      <c r="U50" s="53">
        <f t="shared" si="8"/>
        <v>0</v>
      </c>
      <c r="V50" s="53">
        <f t="shared" si="8"/>
        <v>0</v>
      </c>
      <c r="W50" s="53">
        <f t="shared" si="8"/>
        <v>0</v>
      </c>
      <c r="X50" s="53">
        <f t="shared" si="8"/>
        <v>0</v>
      </c>
      <c r="Y50" s="53">
        <f t="shared" si="8"/>
        <v>0</v>
      </c>
      <c r="Z50" s="53">
        <f t="shared" si="8"/>
        <v>0</v>
      </c>
      <c r="AA50" s="53">
        <f t="shared" si="8"/>
        <v>0</v>
      </c>
      <c r="AB50" s="53">
        <f t="shared" si="8"/>
        <v>0</v>
      </c>
      <c r="AC50" s="53">
        <f t="shared" si="8"/>
        <v>0</v>
      </c>
      <c r="AD50" s="53">
        <f t="shared" si="8"/>
        <v>0</v>
      </c>
    </row>
    <row r="51" spans="1:30" s="66" customFormat="1" x14ac:dyDescent="0.35">
      <c r="A51" s="72" t="s">
        <v>30</v>
      </c>
      <c r="B51" s="10">
        <f>NPV('Cost Assumptions'!$B$3,D51:AD51)</f>
        <v>3460.9343082916712</v>
      </c>
      <c r="C51" s="70" t="s">
        <v>142</v>
      </c>
      <c r="D51" s="53">
        <f>D15-D26</f>
        <v>21.349244899989571</v>
      </c>
      <c r="E51" s="53">
        <f>E15-E26</f>
        <v>64.950897207570961</v>
      </c>
      <c r="F51" s="53">
        <f t="shared" ref="F51:AD51" si="9">F15-F26</f>
        <v>91.298962740635034</v>
      </c>
      <c r="G51" s="53">
        <f t="shared" si="9"/>
        <v>118.18240147209144</v>
      </c>
      <c r="H51" s="53">
        <f t="shared" si="9"/>
        <v>153.0414159293432</v>
      </c>
      <c r="I51" s="53">
        <f t="shared" si="9"/>
        <v>198.33178207991295</v>
      </c>
      <c r="J51" s="53">
        <f t="shared" si="9"/>
        <v>254.50726921667228</v>
      </c>
      <c r="K51" s="53">
        <f t="shared" si="9"/>
        <v>217.41264602568117</v>
      </c>
      <c r="L51" s="53">
        <f t="shared" si="9"/>
        <v>182.92264422235894</v>
      </c>
      <c r="M51" s="53">
        <f t="shared" si="9"/>
        <v>153.85354948010354</v>
      </c>
      <c r="N51" s="53">
        <f t="shared" si="9"/>
        <v>202.70321901154239</v>
      </c>
      <c r="O51" s="53">
        <f t="shared" si="9"/>
        <v>263.5309053393139</v>
      </c>
      <c r="P51" s="53">
        <f t="shared" si="9"/>
        <v>333.99647626127989</v>
      </c>
      <c r="Q51" s="53">
        <f t="shared" si="9"/>
        <v>408.73233932582662</v>
      </c>
      <c r="R51" s="53">
        <f t="shared" si="9"/>
        <v>491.52715346799232</v>
      </c>
      <c r="S51" s="53">
        <f t="shared" si="9"/>
        <v>594.82316805026494</v>
      </c>
      <c r="T51" s="53">
        <f t="shared" si="9"/>
        <v>718.54429571697256</v>
      </c>
      <c r="U51" s="53">
        <f t="shared" si="9"/>
        <v>849.54487241007155</v>
      </c>
      <c r="V51" s="53">
        <f t="shared" si="9"/>
        <v>1015.5189452184422</v>
      </c>
      <c r="W51" s="53">
        <f t="shared" si="9"/>
        <v>1215.6092125953292</v>
      </c>
      <c r="X51" s="53">
        <f t="shared" si="9"/>
        <v>1442.9510825348261</v>
      </c>
      <c r="Y51" s="53">
        <f t="shared" si="9"/>
        <v>1639.4050634274026</v>
      </c>
      <c r="Z51" s="53">
        <f t="shared" si="9"/>
        <v>1834.7863977091911</v>
      </c>
      <c r="AA51" s="53">
        <f t="shared" si="9"/>
        <v>2036.9461517638701</v>
      </c>
      <c r="AB51" s="53">
        <f t="shared" si="9"/>
        <v>2254.852763246643</v>
      </c>
      <c r="AC51" s="53">
        <f t="shared" si="9"/>
        <v>2417.0213621887378</v>
      </c>
      <c r="AD51" s="53">
        <f t="shared" si="9"/>
        <v>2561.9401372217108</v>
      </c>
    </row>
    <row r="52" spans="1:30" x14ac:dyDescent="0.35">
      <c r="A52" s="72" t="s">
        <v>39</v>
      </c>
      <c r="B52" s="10">
        <f>NPV('Cost Assumptions'!$B$3,'Centralized BESS in Valley S'!D52:'Centralized BESS in Valley S'!AD52)</f>
        <v>3662.4319152534908</v>
      </c>
      <c r="C52" s="72" t="s">
        <v>31</v>
      </c>
      <c r="D52" s="53">
        <f t="shared" ref="D52:AD52" si="10">D8-D27</f>
        <v>22.2</v>
      </c>
      <c r="E52" s="53">
        <f t="shared" si="10"/>
        <v>65.8</v>
      </c>
      <c r="F52" s="53">
        <f t="shared" si="10"/>
        <v>102.72</v>
      </c>
      <c r="G52" s="53">
        <f t="shared" si="10"/>
        <v>139.63999999999999</v>
      </c>
      <c r="H52" s="53">
        <f t="shared" si="10"/>
        <v>176.56</v>
      </c>
      <c r="I52" s="53">
        <f t="shared" si="10"/>
        <v>213.48000000000002</v>
      </c>
      <c r="J52" s="53">
        <f t="shared" si="10"/>
        <v>250.4</v>
      </c>
      <c r="K52" s="53">
        <f t="shared" si="10"/>
        <v>216.60000000000014</v>
      </c>
      <c r="L52" s="53">
        <f t="shared" si="10"/>
        <v>182.59999999999991</v>
      </c>
      <c r="M52" s="53">
        <f t="shared" si="10"/>
        <v>151.20000000000005</v>
      </c>
      <c r="N52" s="53">
        <f t="shared" si="10"/>
        <v>202.60000000000014</v>
      </c>
      <c r="O52" s="53">
        <f t="shared" si="10"/>
        <v>292.1666666666668</v>
      </c>
      <c r="P52" s="53">
        <f t="shared" si="10"/>
        <v>381.73333333333346</v>
      </c>
      <c r="Q52" s="53">
        <f t="shared" si="10"/>
        <v>471.30000000000013</v>
      </c>
      <c r="R52" s="53">
        <f t="shared" si="10"/>
        <v>560.86666666666679</v>
      </c>
      <c r="S52" s="53">
        <f t="shared" si="10"/>
        <v>650.43333333333339</v>
      </c>
      <c r="T52" s="53">
        <f t="shared" si="10"/>
        <v>740</v>
      </c>
      <c r="U52" s="53">
        <f t="shared" si="10"/>
        <v>930.87999999999988</v>
      </c>
      <c r="V52" s="53">
        <f t="shared" si="10"/>
        <v>1121.7599999999998</v>
      </c>
      <c r="W52" s="53">
        <f t="shared" si="10"/>
        <v>1312.6399999999996</v>
      </c>
      <c r="X52" s="53">
        <f t="shared" si="10"/>
        <v>1503.5199999999995</v>
      </c>
      <c r="Y52" s="53">
        <f t="shared" si="10"/>
        <v>1694.3999999999994</v>
      </c>
      <c r="Z52" s="53">
        <f t="shared" si="10"/>
        <v>1887.3999999999994</v>
      </c>
      <c r="AA52" s="53">
        <f t="shared" si="10"/>
        <v>2080.3999999999996</v>
      </c>
      <c r="AB52" s="53">
        <f t="shared" si="10"/>
        <v>2273.3999999999996</v>
      </c>
      <c r="AC52" s="53">
        <f t="shared" si="10"/>
        <v>2466.3999999999996</v>
      </c>
      <c r="AD52" s="53">
        <f t="shared" si="10"/>
        <v>2659.3999999999996</v>
      </c>
    </row>
    <row r="53" spans="1:30" x14ac:dyDescent="0.35">
      <c r="A53" s="72" t="s">
        <v>39</v>
      </c>
      <c r="B53" s="10">
        <f>NPV('Cost Assumptions'!$B$3,'Centralized BESS in Valley S'!D53:'Centralized BESS in Valley S'!AD53)</f>
        <v>603.3370677068466</v>
      </c>
      <c r="C53" s="72" t="s">
        <v>32</v>
      </c>
      <c r="D53" s="53">
        <f t="shared" ref="D53:AD53" si="11">D9-D28</f>
        <v>13</v>
      </c>
      <c r="E53" s="53">
        <f t="shared" si="11"/>
        <v>27</v>
      </c>
      <c r="F53" s="53">
        <f t="shared" si="11"/>
        <v>34.519999999999982</v>
      </c>
      <c r="G53" s="53">
        <f t="shared" si="11"/>
        <v>42.039999999999964</v>
      </c>
      <c r="H53" s="53">
        <f t="shared" si="11"/>
        <v>49.559999999999945</v>
      </c>
      <c r="I53" s="53">
        <f t="shared" si="11"/>
        <v>57.079999999999927</v>
      </c>
      <c r="J53" s="53">
        <f t="shared" si="11"/>
        <v>64.599999999999909</v>
      </c>
      <c r="K53" s="53">
        <f t="shared" si="11"/>
        <v>59.799999999999955</v>
      </c>
      <c r="L53" s="53">
        <f t="shared" si="11"/>
        <v>52.799999999999955</v>
      </c>
      <c r="M53" s="53">
        <f t="shared" si="11"/>
        <v>46</v>
      </c>
      <c r="N53" s="53">
        <f t="shared" si="11"/>
        <v>57.400000000000091</v>
      </c>
      <c r="O53" s="53">
        <f t="shared" si="11"/>
        <v>67.333333333333414</v>
      </c>
      <c r="P53" s="53">
        <f t="shared" si="11"/>
        <v>77.266666666666737</v>
      </c>
      <c r="Q53" s="53">
        <f t="shared" si="11"/>
        <v>87.20000000000006</v>
      </c>
      <c r="R53" s="53">
        <f t="shared" si="11"/>
        <v>97.133333333333383</v>
      </c>
      <c r="S53" s="53">
        <f t="shared" si="11"/>
        <v>107.06666666666671</v>
      </c>
      <c r="T53" s="53">
        <f t="shared" si="11"/>
        <v>117</v>
      </c>
      <c r="U53" s="53">
        <f t="shared" si="11"/>
        <v>126.6</v>
      </c>
      <c r="V53" s="53">
        <f t="shared" si="11"/>
        <v>136.19999999999999</v>
      </c>
      <c r="W53" s="53">
        <f t="shared" si="11"/>
        <v>145.79999999999998</v>
      </c>
      <c r="X53" s="53">
        <f t="shared" si="11"/>
        <v>155.39999999999998</v>
      </c>
      <c r="Y53" s="53">
        <f t="shared" si="11"/>
        <v>165</v>
      </c>
      <c r="Z53" s="53">
        <f t="shared" si="11"/>
        <v>171.84</v>
      </c>
      <c r="AA53" s="53">
        <f t="shared" si="11"/>
        <v>178.68</v>
      </c>
      <c r="AB53" s="53">
        <f t="shared" si="11"/>
        <v>185.52</v>
      </c>
      <c r="AC53" s="53">
        <f t="shared" si="11"/>
        <v>192.36</v>
      </c>
      <c r="AD53" s="53">
        <f t="shared" si="11"/>
        <v>199.20000000000005</v>
      </c>
    </row>
    <row r="54" spans="1:30" x14ac:dyDescent="0.35">
      <c r="A54" s="72" t="s">
        <v>39</v>
      </c>
      <c r="B54" s="10">
        <f>NPV('Cost Assumptions'!$B$3,'Centralized BESS in Valley S'!D54:'Centralized BESS in Valley S'!AD54)</f>
        <v>54.089806048569208</v>
      </c>
      <c r="C54" s="72" t="s">
        <v>33</v>
      </c>
      <c r="D54" s="53">
        <f t="shared" ref="D54:AD54" si="12">D10-D29</f>
        <v>4.7253529883901121E-2</v>
      </c>
      <c r="E54" s="53">
        <f t="shared" si="12"/>
        <v>0.28011551949195379</v>
      </c>
      <c r="F54" s="53">
        <f t="shared" si="12"/>
        <v>0.59718244793816533</v>
      </c>
      <c r="G54" s="53">
        <f t="shared" si="12"/>
        <v>0.91424937638437687</v>
      </c>
      <c r="H54" s="53">
        <f t="shared" si="12"/>
        <v>1.2313163048305884</v>
      </c>
      <c r="I54" s="53">
        <f t="shared" si="12"/>
        <v>1.5483832332767999</v>
      </c>
      <c r="J54" s="53">
        <f t="shared" si="12"/>
        <v>1.8654501617230115</v>
      </c>
      <c r="K54" s="53">
        <f t="shared" si="12"/>
        <v>1.6136441894137561</v>
      </c>
      <c r="L54" s="53">
        <f t="shared" si="12"/>
        <v>1.1660127779459895</v>
      </c>
      <c r="M54" s="53">
        <f t="shared" si="12"/>
        <v>0.80458713045561225</v>
      </c>
      <c r="N54" s="53">
        <f t="shared" si="12"/>
        <v>0.56680711827214547</v>
      </c>
      <c r="O54" s="53">
        <f t="shared" si="12"/>
        <v>3.0445179689462347</v>
      </c>
      <c r="P54" s="53">
        <f t="shared" si="12"/>
        <v>4.5886299372095039</v>
      </c>
      <c r="Q54" s="53">
        <f t="shared" si="12"/>
        <v>6.1327419054727734</v>
      </c>
      <c r="R54" s="53">
        <f t="shared" si="12"/>
        <v>7.676853873736043</v>
      </c>
      <c r="S54" s="53">
        <f t="shared" si="12"/>
        <v>9.2209658419993126</v>
      </c>
      <c r="T54" s="53">
        <f t="shared" si="12"/>
        <v>10.765077810262582</v>
      </c>
      <c r="U54" s="53">
        <f t="shared" si="12"/>
        <v>11.285969377257926</v>
      </c>
      <c r="V54" s="53">
        <f t="shared" si="12"/>
        <v>11.80686094425327</v>
      </c>
      <c r="W54" s="53">
        <f t="shared" si="12"/>
        <v>12.327752511248613</v>
      </c>
      <c r="X54" s="53">
        <f t="shared" si="12"/>
        <v>12.848644078243957</v>
      </c>
      <c r="Y54" s="53">
        <f t="shared" si="12"/>
        <v>13.369535645239303</v>
      </c>
      <c r="Z54" s="53">
        <f t="shared" si="12"/>
        <v>31.024884631077057</v>
      </c>
      <c r="AA54" s="53">
        <f t="shared" si="12"/>
        <v>48.680233616914812</v>
      </c>
      <c r="AB54" s="53">
        <f t="shared" si="12"/>
        <v>66.335582602752567</v>
      </c>
      <c r="AC54" s="53">
        <f t="shared" si="12"/>
        <v>83.990931588590314</v>
      </c>
      <c r="AD54" s="53">
        <f t="shared" si="12"/>
        <v>101.64628057442808</v>
      </c>
    </row>
    <row r="55" spans="1:30" x14ac:dyDescent="0.35">
      <c r="A55" s="72" t="s">
        <v>39</v>
      </c>
      <c r="B55" s="10">
        <f>NPV('Cost Assumptions'!$B$3,'Centralized BESS in Valley S'!D55:'Centralized BESS in Valley S'!AD55)</f>
        <v>2.9078711043982364</v>
      </c>
      <c r="C55" s="72" t="s">
        <v>34</v>
      </c>
      <c r="D55" s="53">
        <f t="shared" ref="D55:AD55" si="13">D11-D30</f>
        <v>2.3626764941950561E-2</v>
      </c>
      <c r="E55" s="53">
        <f t="shared" si="13"/>
        <v>7.0028879872988448E-2</v>
      </c>
      <c r="F55" s="53">
        <f t="shared" si="13"/>
        <v>0.10932167994761965</v>
      </c>
      <c r="G55" s="53">
        <f t="shared" si="13"/>
        <v>0.14861448002225086</v>
      </c>
      <c r="H55" s="53">
        <f t="shared" si="13"/>
        <v>0.18790728009688207</v>
      </c>
      <c r="I55" s="53">
        <f t="shared" si="13"/>
        <v>0.22720008017151327</v>
      </c>
      <c r="J55" s="53">
        <f t="shared" si="13"/>
        <v>0.26649288024614448</v>
      </c>
      <c r="K55" s="53">
        <f t="shared" si="13"/>
        <v>0.23052059848767945</v>
      </c>
      <c r="L55" s="53">
        <f t="shared" si="13"/>
        <v>0.19433546299099821</v>
      </c>
      <c r="M55" s="53">
        <f t="shared" si="13"/>
        <v>0.16091742609112245</v>
      </c>
      <c r="N55" s="53">
        <f t="shared" si="13"/>
        <v>4.2212624824281168E-2</v>
      </c>
      <c r="O55" s="53">
        <f t="shared" si="13"/>
        <v>0.30677545020347896</v>
      </c>
      <c r="P55" s="53">
        <f t="shared" si="13"/>
        <v>0.39920718602367722</v>
      </c>
      <c r="Q55" s="53">
        <f t="shared" si="13"/>
        <v>0.49163892184387548</v>
      </c>
      <c r="R55" s="53">
        <f t="shared" si="13"/>
        <v>0.58407065766407373</v>
      </c>
      <c r="S55" s="53">
        <f t="shared" si="13"/>
        <v>0.67650239348427199</v>
      </c>
      <c r="T55" s="53">
        <f t="shared" si="13"/>
        <v>0.76893412930447014</v>
      </c>
      <c r="U55" s="53">
        <f t="shared" si="13"/>
        <v>0.69278283231502535</v>
      </c>
      <c r="V55" s="53">
        <f t="shared" si="13"/>
        <v>0.61663153532558057</v>
      </c>
      <c r="W55" s="53">
        <f t="shared" si="13"/>
        <v>0.54048023833613579</v>
      </c>
      <c r="X55" s="53">
        <f t="shared" si="13"/>
        <v>0.464328941346691</v>
      </c>
      <c r="Y55" s="53">
        <f t="shared" si="13"/>
        <v>0.38817764435724611</v>
      </c>
      <c r="Z55" s="53">
        <f t="shared" si="13"/>
        <v>0.85998146994216484</v>
      </c>
      <c r="AA55" s="53">
        <f t="shared" si="13"/>
        <v>1.3317852955270837</v>
      </c>
      <c r="AB55" s="53">
        <f t="shared" si="13"/>
        <v>1.8035891211120025</v>
      </c>
      <c r="AC55" s="53">
        <f t="shared" si="13"/>
        <v>2.2753929466969214</v>
      </c>
      <c r="AD55" s="53">
        <f t="shared" si="13"/>
        <v>2.74719677228184</v>
      </c>
    </row>
    <row r="56" spans="1:30" x14ac:dyDescent="0.35">
      <c r="A56" s="72" t="s">
        <v>39</v>
      </c>
      <c r="B56" s="10">
        <f>NPV('Cost Assumptions'!$B$3,'Centralized BESS in Valley S'!D56:'Centralized BESS in Valley S'!AD56)</f>
        <v>81.976482418430209</v>
      </c>
      <c r="C56" s="72" t="s">
        <v>35</v>
      </c>
      <c r="D56" s="53">
        <f t="shared" ref="D56:AD56" si="14">D12-D31</f>
        <v>2</v>
      </c>
      <c r="E56" s="53">
        <f t="shared" si="14"/>
        <v>4</v>
      </c>
      <c r="F56" s="53">
        <f t="shared" si="14"/>
        <v>4.5999999999999996</v>
      </c>
      <c r="G56" s="53">
        <f t="shared" si="14"/>
        <v>5.1999999999999993</v>
      </c>
      <c r="H56" s="53">
        <f t="shared" si="14"/>
        <v>5.7999999999999989</v>
      </c>
      <c r="I56" s="53">
        <f t="shared" si="14"/>
        <v>6.3999999999999986</v>
      </c>
      <c r="J56" s="53">
        <f t="shared" si="14"/>
        <v>7</v>
      </c>
      <c r="K56" s="53">
        <f t="shared" si="14"/>
        <v>7</v>
      </c>
      <c r="L56" s="53">
        <f t="shared" si="14"/>
        <v>6</v>
      </c>
      <c r="M56" s="53">
        <f t="shared" si="14"/>
        <v>5</v>
      </c>
      <c r="N56" s="53">
        <f t="shared" si="14"/>
        <v>7</v>
      </c>
      <c r="O56" s="53">
        <f t="shared" si="14"/>
        <v>8.1666666666666661</v>
      </c>
      <c r="P56" s="53">
        <f t="shared" si="14"/>
        <v>9.3333333333333321</v>
      </c>
      <c r="Q56" s="53">
        <f t="shared" si="14"/>
        <v>10.499999999999998</v>
      </c>
      <c r="R56" s="53">
        <f t="shared" si="14"/>
        <v>11.666666666666664</v>
      </c>
      <c r="S56" s="53">
        <f t="shared" si="14"/>
        <v>12.83333333333333</v>
      </c>
      <c r="T56" s="53">
        <f t="shared" si="14"/>
        <v>14</v>
      </c>
      <c r="U56" s="53">
        <f t="shared" si="14"/>
        <v>17</v>
      </c>
      <c r="V56" s="53">
        <f t="shared" si="14"/>
        <v>20</v>
      </c>
      <c r="W56" s="53">
        <f t="shared" si="14"/>
        <v>23</v>
      </c>
      <c r="X56" s="53">
        <f t="shared" si="14"/>
        <v>26</v>
      </c>
      <c r="Y56" s="53">
        <f t="shared" si="14"/>
        <v>29</v>
      </c>
      <c r="Z56" s="53">
        <f t="shared" si="14"/>
        <v>30.6</v>
      </c>
      <c r="AA56" s="53">
        <f t="shared" si="14"/>
        <v>32.200000000000003</v>
      </c>
      <c r="AB56" s="53">
        <f t="shared" si="14"/>
        <v>33.800000000000004</v>
      </c>
      <c r="AC56" s="53">
        <f t="shared" si="14"/>
        <v>35.400000000000006</v>
      </c>
      <c r="AD56" s="53">
        <f t="shared" si="14"/>
        <v>37</v>
      </c>
    </row>
    <row r="58" spans="1:30" ht="15" thickBot="1" x14ac:dyDescent="0.4">
      <c r="A58" s="177" t="s">
        <v>143</v>
      </c>
      <c r="B58" s="177"/>
      <c r="C58" s="177"/>
      <c r="D58" s="177"/>
      <c r="E58" s="177"/>
      <c r="F58" s="177"/>
      <c r="G58" s="177"/>
      <c r="H58" s="177"/>
      <c r="I58" s="177"/>
      <c r="J58" s="177"/>
      <c r="K58" s="177"/>
      <c r="L58" s="177"/>
      <c r="M58" s="177"/>
      <c r="N58" s="177"/>
      <c r="O58" s="177"/>
      <c r="P58" s="177"/>
      <c r="Q58" s="177"/>
      <c r="R58" s="177"/>
      <c r="S58" s="177"/>
      <c r="T58" s="177"/>
      <c r="U58" s="177"/>
      <c r="V58" s="177"/>
      <c r="W58" s="177"/>
      <c r="X58" s="177"/>
      <c r="Y58" s="177"/>
      <c r="Z58" s="177"/>
      <c r="AA58" s="177"/>
      <c r="AB58" s="177"/>
      <c r="AC58" s="177"/>
      <c r="AD58" s="177"/>
    </row>
    <row r="59" spans="1:30" ht="15.5" thickTop="1" thickBot="1" x14ac:dyDescent="0.4">
      <c r="A59" s="177"/>
      <c r="B59" s="177"/>
      <c r="C59" s="177"/>
      <c r="D59" s="177"/>
      <c r="E59" s="177"/>
      <c r="F59" s="177"/>
      <c r="G59" s="177"/>
      <c r="H59" s="177"/>
      <c r="I59" s="177"/>
      <c r="J59" s="177"/>
      <c r="K59" s="177"/>
      <c r="L59" s="177"/>
      <c r="M59" s="177"/>
      <c r="N59" s="177"/>
      <c r="O59" s="177"/>
      <c r="P59" s="177"/>
      <c r="Q59" s="177"/>
      <c r="R59" s="177"/>
      <c r="S59" s="177"/>
      <c r="T59" s="177"/>
      <c r="U59" s="177"/>
      <c r="V59" s="177"/>
      <c r="W59" s="177"/>
      <c r="X59" s="177"/>
      <c r="Y59" s="177"/>
      <c r="Z59" s="177"/>
      <c r="AA59" s="177"/>
      <c r="AB59" s="177"/>
      <c r="AC59" s="177"/>
      <c r="AD59" s="177"/>
    </row>
    <row r="60" spans="1:30" ht="15" thickTop="1" x14ac:dyDescent="0.35">
      <c r="A60" s="72" t="str">
        <f>'Baseline System Analysis'!A17</f>
        <v>Residential</v>
      </c>
      <c r="B60" s="72" t="str">
        <f>'Baseline System Analysis'!B17</f>
        <v>Cost of Reliability (N-1)</v>
      </c>
      <c r="C60" s="72" t="str">
        <f>'Baseline System Analysis'!C17</f>
        <v>$/kWh</v>
      </c>
      <c r="D60" s="4">
        <f>'Baseline System Analysis'!D17</f>
        <v>4.4933261328125003</v>
      </c>
      <c r="E60" s="4">
        <f>'Baseline System Analysis'!E17</f>
        <v>4.6056592861328127</v>
      </c>
      <c r="F60" s="4">
        <f>'Baseline System Analysis'!F17</f>
        <v>4.720800768286133</v>
      </c>
      <c r="G60" s="4">
        <f>'Baseline System Analysis'!G17</f>
        <v>4.8388207874932858</v>
      </c>
      <c r="H60" s="4">
        <f>'Baseline System Analysis'!H17</f>
        <v>4.9597913071806179</v>
      </c>
      <c r="I60" s="4">
        <f>'Baseline System Analysis'!I17</f>
        <v>5.0837860898601326</v>
      </c>
      <c r="J60" s="4">
        <f>'Baseline System Analysis'!J17</f>
        <v>5.2108807421066352</v>
      </c>
      <c r="K60" s="4">
        <f>'Baseline System Analysis'!K17</f>
        <v>5.341152760659301</v>
      </c>
      <c r="L60" s="4">
        <f>'Baseline System Analysis'!L17</f>
        <v>5.4746815796757833</v>
      </c>
      <c r="M60" s="4">
        <f>'Baseline System Analysis'!M17</f>
        <v>5.6115486191676771</v>
      </c>
      <c r="N60" s="4">
        <f>'Baseline System Analysis'!N17</f>
        <v>5.7518373346468685</v>
      </c>
      <c r="O60" s="4">
        <f>'Baseline System Analysis'!O17</f>
        <v>5.8956332680130394</v>
      </c>
      <c r="P60" s="4">
        <f>'Baseline System Analysis'!P17</f>
        <v>6.0430240997133646</v>
      </c>
      <c r="Q60" s="4">
        <f>'Baseline System Analysis'!Q17</f>
        <v>6.1940997022061985</v>
      </c>
      <c r="R60" s="4">
        <f>'Baseline System Analysis'!R17</f>
        <v>6.3489521947613525</v>
      </c>
      <c r="S60" s="4">
        <f>'Baseline System Analysis'!S17</f>
        <v>6.5076759996303855</v>
      </c>
      <c r="T60" s="4">
        <f>'Baseline System Analysis'!T17</f>
        <v>6.6703678996211444</v>
      </c>
      <c r="U60" s="4">
        <f>'Baseline System Analysis'!U17</f>
        <v>6.8371270971116722</v>
      </c>
      <c r="V60" s="4">
        <f>'Baseline System Analysis'!V17</f>
        <v>7.0080552745394638</v>
      </c>
      <c r="W60" s="4">
        <f>'Baseline System Analysis'!W17</f>
        <v>7.1832566564029499</v>
      </c>
      <c r="X60" s="4">
        <f>'Baseline System Analysis'!X17</f>
        <v>7.3628380728130232</v>
      </c>
      <c r="Y60" s="4">
        <f>'Baseline System Analysis'!Y17</f>
        <v>7.5469090246333481</v>
      </c>
      <c r="Z60" s="4">
        <f>'Baseline System Analysis'!Z17</f>
        <v>7.7355817502491808</v>
      </c>
      <c r="AA60" s="4">
        <f>'Baseline System Analysis'!AA17</f>
        <v>7.92897129400541</v>
      </c>
      <c r="AB60" s="4">
        <f>'Baseline System Analysis'!AB17</f>
        <v>8.127195576355545</v>
      </c>
      <c r="AC60" s="4">
        <f>'Baseline System Analysis'!AC17</f>
        <v>8.3303754657644333</v>
      </c>
      <c r="AD60" s="4">
        <f>'Baseline System Analysis'!AD17</f>
        <v>8.5386348524085438</v>
      </c>
    </row>
    <row r="61" spans="1:30" x14ac:dyDescent="0.35">
      <c r="A61" s="72" t="str">
        <f>'Baseline System Analysis'!A18</f>
        <v>Residential</v>
      </c>
      <c r="B61" s="72" t="str">
        <f>'Baseline System Analysis'!B18</f>
        <v>Cost of Reliability (N-0)</v>
      </c>
      <c r="C61" s="72" t="str">
        <f>'Baseline System Analysis'!C18</f>
        <v>$/kWh</v>
      </c>
      <c r="D61" s="4">
        <f>'Baseline System Analysis'!D18</f>
        <v>3.7920011132812497</v>
      </c>
      <c r="E61" s="4">
        <f>'Baseline System Analysis'!E18</f>
        <v>3.8868011411132808</v>
      </c>
      <c r="F61" s="4">
        <f>'Baseline System Analysis'!F18</f>
        <v>3.9839711696411126</v>
      </c>
      <c r="G61" s="4">
        <f>'Baseline System Analysis'!G18</f>
        <v>4.0835704488821403</v>
      </c>
      <c r="H61" s="4">
        <f>'Baseline System Analysis'!H18</f>
        <v>4.1856597101041935</v>
      </c>
      <c r="I61" s="4">
        <f>'Baseline System Analysis'!I18</f>
        <v>4.2903012028567975</v>
      </c>
      <c r="J61" s="4">
        <f>'Baseline System Analysis'!J18</f>
        <v>4.3975587329282169</v>
      </c>
      <c r="K61" s="4">
        <f>'Baseline System Analysis'!K18</f>
        <v>4.5074977012514221</v>
      </c>
      <c r="L61" s="4">
        <f>'Baseline System Analysis'!L18</f>
        <v>4.6201851437827068</v>
      </c>
      <c r="M61" s="4">
        <f>'Baseline System Analysis'!M18</f>
        <v>4.735689772377274</v>
      </c>
      <c r="N61" s="4">
        <f>'Baseline System Analysis'!N18</f>
        <v>4.8540820166867054</v>
      </c>
      <c r="O61" s="4">
        <f>'Baseline System Analysis'!O18</f>
        <v>4.9754340671038726</v>
      </c>
      <c r="P61" s="4">
        <f>'Baseline System Analysis'!P18</f>
        <v>5.0998199187814688</v>
      </c>
      <c r="Q61" s="4">
        <f>'Baseline System Analysis'!Q18</f>
        <v>5.2273154167510052</v>
      </c>
      <c r="R61" s="4">
        <f>'Baseline System Analysis'!R18</f>
        <v>5.3579983021697801</v>
      </c>
      <c r="S61" s="4">
        <f>'Baseline System Analysis'!S18</f>
        <v>5.4919482597240243</v>
      </c>
      <c r="T61" s="4">
        <f>'Baseline System Analysis'!T18</f>
        <v>5.6292469662171243</v>
      </c>
      <c r="U61" s="4">
        <f>'Baseline System Analysis'!U18</f>
        <v>5.7699781403725519</v>
      </c>
      <c r="V61" s="4">
        <f>'Baseline System Analysis'!V18</f>
        <v>5.9142275938818649</v>
      </c>
      <c r="W61" s="4">
        <f>'Baseline System Analysis'!W18</f>
        <v>6.0620832837289109</v>
      </c>
      <c r="X61" s="4">
        <f>'Baseline System Analysis'!X18</f>
        <v>6.2136353658221335</v>
      </c>
      <c r="Y61" s="4">
        <f>'Baseline System Analysis'!Y18</f>
        <v>6.3689762499676865</v>
      </c>
      <c r="Z61" s="4">
        <f>'Baseline System Analysis'!Z18</f>
        <v>6.5282006562168782</v>
      </c>
      <c r="AA61" s="4">
        <f>'Baseline System Analysis'!AA18</f>
        <v>6.6914056726222997</v>
      </c>
      <c r="AB61" s="4">
        <f>'Baseline System Analysis'!AB18</f>
        <v>6.8586908144378569</v>
      </c>
      <c r="AC61" s="4">
        <f>'Baseline System Analysis'!AC18</f>
        <v>7.0301580847988028</v>
      </c>
      <c r="AD61" s="4">
        <f>'Baseline System Analysis'!AD18</f>
        <v>7.2059120369187726</v>
      </c>
    </row>
    <row r="62" spans="1:30" x14ac:dyDescent="0.35">
      <c r="A62" s="72" t="str">
        <f>'Baseline System Analysis'!A19</f>
        <v>Commerical</v>
      </c>
      <c r="B62" s="72" t="str">
        <f>'Baseline System Analysis'!B19</f>
        <v>Cost of Reliability (N-1)</v>
      </c>
      <c r="C62" s="72" t="str">
        <f>'Baseline System Analysis'!C19</f>
        <v>$/kWh</v>
      </c>
      <c r="D62" s="4">
        <f>'Baseline System Analysis'!D19</f>
        <v>166.59767191406246</v>
      </c>
      <c r="E62" s="4">
        <f>'Baseline System Analysis'!E19</f>
        <v>170.76261371191401</v>
      </c>
      <c r="F62" s="4">
        <f>'Baseline System Analysis'!F19</f>
        <v>175.03167905471184</v>
      </c>
      <c r="G62" s="4">
        <f>'Baseline System Analysis'!G19</f>
        <v>179.40747103107964</v>
      </c>
      <c r="H62" s="4">
        <f>'Baseline System Analysis'!H19</f>
        <v>183.89265780685662</v>
      </c>
      <c r="I62" s="4">
        <f>'Baseline System Analysis'!I19</f>
        <v>188.48997425202802</v>
      </c>
      <c r="J62" s="4">
        <f>'Baseline System Analysis'!J19</f>
        <v>193.20222360832869</v>
      </c>
      <c r="K62" s="4">
        <f>'Baseline System Analysis'!K19</f>
        <v>198.03227919853688</v>
      </c>
      <c r="L62" s="4">
        <f>'Baseline System Analysis'!L19</f>
        <v>202.98308617850029</v>
      </c>
      <c r="M62" s="4">
        <f>'Baseline System Analysis'!M19</f>
        <v>208.05766333296279</v>
      </c>
      <c r="N62" s="4">
        <f>'Baseline System Analysis'!N19</f>
        <v>213.25910491628684</v>
      </c>
      <c r="O62" s="4">
        <f>'Baseline System Analysis'!O19</f>
        <v>218.590582539194</v>
      </c>
      <c r="P62" s="4">
        <f>'Baseline System Analysis'!P19</f>
        <v>224.05534710267384</v>
      </c>
      <c r="Q62" s="4">
        <f>'Baseline System Analysis'!Q19</f>
        <v>229.65673078024065</v>
      </c>
      <c r="R62" s="4">
        <f>'Baseline System Analysis'!R19</f>
        <v>235.39814904974665</v>
      </c>
      <c r="S62" s="4">
        <f>'Baseline System Analysis'!S19</f>
        <v>241.2831027759903</v>
      </c>
      <c r="T62" s="4">
        <f>'Baseline System Analysis'!T19</f>
        <v>247.31518034539005</v>
      </c>
      <c r="U62" s="4">
        <f>'Baseline System Analysis'!U19</f>
        <v>253.49805985402477</v>
      </c>
      <c r="V62" s="4">
        <f>'Baseline System Analysis'!V19</f>
        <v>259.83551135037538</v>
      </c>
      <c r="W62" s="4">
        <f>'Baseline System Analysis'!W19</f>
        <v>266.33139913413476</v>
      </c>
      <c r="X62" s="4">
        <f>'Baseline System Analysis'!X19</f>
        <v>272.98968411248808</v>
      </c>
      <c r="Y62" s="4">
        <f>'Baseline System Analysis'!Y19</f>
        <v>279.81442621530027</v>
      </c>
      <c r="Z62" s="4">
        <f>'Baseline System Analysis'!Z19</f>
        <v>286.80978687068273</v>
      </c>
      <c r="AA62" s="4">
        <f>'Baseline System Analysis'!AA19</f>
        <v>293.98003154244975</v>
      </c>
      <c r="AB62" s="4">
        <f>'Baseline System Analysis'!AB19</f>
        <v>301.32953233101097</v>
      </c>
      <c r="AC62" s="4">
        <f>'Baseline System Analysis'!AC19</f>
        <v>308.86277063928623</v>
      </c>
      <c r="AD62" s="4">
        <f>'Baseline System Analysis'!AD19</f>
        <v>316.58433990526834</v>
      </c>
    </row>
    <row r="63" spans="1:30" x14ac:dyDescent="0.35">
      <c r="A63" s="72" t="str">
        <f>'Baseline System Analysis'!A20</f>
        <v>Commerical</v>
      </c>
      <c r="B63" s="72" t="str">
        <f>'Baseline System Analysis'!B20</f>
        <v>Cost of Reliability (N-0)</v>
      </c>
      <c r="C63" s="72" t="str">
        <f>'Baseline System Analysis'!C20</f>
        <v>$/kWh</v>
      </c>
      <c r="D63" s="4">
        <f>'Baseline System Analysis'!D20</f>
        <v>153.83719106445315</v>
      </c>
      <c r="E63" s="4">
        <f>'Baseline System Analysis'!E20</f>
        <v>157.68312084106446</v>
      </c>
      <c r="F63" s="4">
        <f>'Baseline System Analysis'!F20</f>
        <v>161.62519886209105</v>
      </c>
      <c r="G63" s="4">
        <f>'Baseline System Analysis'!G20</f>
        <v>165.6658288336433</v>
      </c>
      <c r="H63" s="4">
        <f>'Baseline System Analysis'!H20</f>
        <v>169.80747455448437</v>
      </c>
      <c r="I63" s="4">
        <f>'Baseline System Analysis'!I20</f>
        <v>174.05266141834647</v>
      </c>
      <c r="J63" s="4">
        <f>'Baseline System Analysis'!J20</f>
        <v>178.40397795380511</v>
      </c>
      <c r="K63" s="4">
        <f>'Baseline System Analysis'!K20</f>
        <v>182.86407740265022</v>
      </c>
      <c r="L63" s="4">
        <f>'Baseline System Analysis'!L20</f>
        <v>187.43567933771646</v>
      </c>
      <c r="M63" s="4">
        <f>'Baseline System Analysis'!M20</f>
        <v>192.12157132115937</v>
      </c>
      <c r="N63" s="4">
        <f>'Baseline System Analysis'!N20</f>
        <v>196.92461060418833</v>
      </c>
      <c r="O63" s="4">
        <f>'Baseline System Analysis'!O20</f>
        <v>201.84772586929301</v>
      </c>
      <c r="P63" s="4">
        <f>'Baseline System Analysis'!P20</f>
        <v>206.89391901602534</v>
      </c>
      <c r="Q63" s="4">
        <f>'Baseline System Analysis'!Q20</f>
        <v>212.06626699142595</v>
      </c>
      <c r="R63" s="4">
        <f>'Baseline System Analysis'!R20</f>
        <v>217.36792366621157</v>
      </c>
      <c r="S63" s="4">
        <f>'Baseline System Analysis'!S20</f>
        <v>222.80212175786684</v>
      </c>
      <c r="T63" s="4">
        <f>'Baseline System Analysis'!T20</f>
        <v>228.37217480181349</v>
      </c>
      <c r="U63" s="4">
        <f>'Baseline System Analysis'!U20</f>
        <v>234.0814791718588</v>
      </c>
      <c r="V63" s="4">
        <f>'Baseline System Analysis'!V20</f>
        <v>239.93351615115526</v>
      </c>
      <c r="W63" s="4">
        <f>'Baseline System Analysis'!W20</f>
        <v>245.93185405493412</v>
      </c>
      <c r="X63" s="4">
        <f>'Baseline System Analysis'!X20</f>
        <v>252.08015040630744</v>
      </c>
      <c r="Y63" s="4">
        <f>'Baseline System Analysis'!Y20</f>
        <v>258.38215416646511</v>
      </c>
      <c r="Z63" s="4">
        <f>'Baseline System Analysis'!Z20</f>
        <v>264.8417080206267</v>
      </c>
      <c r="AA63" s="4">
        <f>'Baseline System Analysis'!AA20</f>
        <v>271.46275072114236</v>
      </c>
      <c r="AB63" s="4">
        <f>'Baseline System Analysis'!AB20</f>
        <v>278.24931948917089</v>
      </c>
      <c r="AC63" s="4">
        <f>'Baseline System Analysis'!AC20</f>
        <v>285.20555247640016</v>
      </c>
      <c r="AD63" s="4">
        <f>'Baseline System Analysis'!AD20</f>
        <v>292.33569128831016</v>
      </c>
    </row>
    <row r="65" spans="1:30" x14ac:dyDescent="0.35">
      <c r="A65" s="72" t="s">
        <v>117</v>
      </c>
      <c r="B65" s="72" t="s">
        <v>31</v>
      </c>
      <c r="C65" s="18">
        <f>NPV('Cost Assumptions'!$B$3,D65:AD65)</f>
        <v>355030.5479033211</v>
      </c>
      <c r="D65" s="4">
        <f>'Baseline System Analysis'!D24-D34</f>
        <v>1354.9655166582397</v>
      </c>
      <c r="E65" s="4">
        <f>'Baseline System Analysis'!E24-E34</f>
        <v>3468.8297365152371</v>
      </c>
      <c r="F65" s="4">
        <f>'Baseline System Analysis'!F24-F34</f>
        <v>5582.6939563722344</v>
      </c>
      <c r="G65" s="4">
        <f>'Baseline System Analysis'!G24-G34</f>
        <v>7696.5581762292313</v>
      </c>
      <c r="H65" s="4">
        <f>'Baseline System Analysis'!H24-H34</f>
        <v>9810.4223960862291</v>
      </c>
      <c r="I65" s="4">
        <f>'Baseline System Analysis'!I24-I34</f>
        <v>11924.286615943227</v>
      </c>
      <c r="J65" s="4">
        <f>'Baseline System Analysis'!J24-J34</f>
        <v>14038.150835800225</v>
      </c>
      <c r="K65" s="4">
        <f>'Baseline System Analysis'!K24-K34</f>
        <v>12087.145216369783</v>
      </c>
      <c r="L65" s="4">
        <f>'Baseline System Analysis'!L24-L34</f>
        <v>10461.587725478241</v>
      </c>
      <c r="M65" s="4">
        <f>'Baseline System Analysis'!M24-M34</f>
        <v>8610.5229271837234</v>
      </c>
      <c r="N65" s="4">
        <f>'Baseline System Analysis'!N24-N34</f>
        <v>12532.452943108336</v>
      </c>
      <c r="O65" s="4">
        <f>'Baseline System Analysis'!O24-O34</f>
        <v>19218.807474313555</v>
      </c>
      <c r="P65" s="4">
        <f>'Baseline System Analysis'!P24-P34</f>
        <v>25905.162005518774</v>
      </c>
      <c r="Q65" s="4">
        <f>'Baseline System Analysis'!Q24-Q34</f>
        <v>32591.516536723993</v>
      </c>
      <c r="R65" s="4">
        <f>'Baseline System Analysis'!R24-R34</f>
        <v>39277.871067929213</v>
      </c>
      <c r="S65" s="4">
        <f>'Baseline System Analysis'!S24-S34</f>
        <v>45964.225599134428</v>
      </c>
      <c r="T65" s="4">
        <f>'Baseline System Analysis'!T24-T34</f>
        <v>52650.580130339644</v>
      </c>
      <c r="U65" s="4">
        <f>'Baseline System Analysis'!U24-U34</f>
        <v>81297.38310850531</v>
      </c>
      <c r="V65" s="4">
        <f>'Baseline System Analysis'!V24-V34</f>
        <v>109944.18608667096</v>
      </c>
      <c r="W65" s="4">
        <f>'Baseline System Analysis'!W24-W34</f>
        <v>138590.98906483661</v>
      </c>
      <c r="X65" s="4">
        <f>'Baseline System Analysis'!X24-X34</f>
        <v>167237.79204300226</v>
      </c>
      <c r="Y65" s="4">
        <f>'Baseline System Analysis'!Y24-Y34</f>
        <v>195884.59502116792</v>
      </c>
      <c r="Z65" s="4">
        <f>'Baseline System Analysis'!Z24-Z34</f>
        <v>242156.07270348849</v>
      </c>
      <c r="AA65" s="4">
        <f>'Baseline System Analysis'!AA24-AA34</f>
        <v>288427.55038580904</v>
      </c>
      <c r="AB65" s="4">
        <f>'Baseline System Analysis'!AB24-AB34</f>
        <v>334699.02806812961</v>
      </c>
      <c r="AC65" s="4">
        <f>'Baseline System Analysis'!AC24-AC34</f>
        <v>380970.50575045019</v>
      </c>
      <c r="AD65" s="4">
        <f>'Baseline System Analysis'!AD24-AD34</f>
        <v>427241.98343277076</v>
      </c>
    </row>
    <row r="66" spans="1:30" x14ac:dyDescent="0.35">
      <c r="A66" s="72" t="s">
        <v>119</v>
      </c>
      <c r="B66" s="72" t="s">
        <v>31</v>
      </c>
      <c r="C66" s="18">
        <f>NPV('Cost Assumptions'!$B$3,D66:AD66)</f>
        <v>1473194.2273670784</v>
      </c>
      <c r="D66" s="4">
        <f>'Baseline System Analysis'!D25-D35</f>
        <v>5622.4102100812415</v>
      </c>
      <c r="E66" s="4">
        <f>'Baseline System Analysis'!E25-E35</f>
        <v>14393.85983468976</v>
      </c>
      <c r="F66" s="4">
        <f>'Baseline System Analysis'!F25-F35</f>
        <v>23165.309459298278</v>
      </c>
      <c r="G66" s="4">
        <f>'Baseline System Analysis'!G25-G35</f>
        <v>31936.759083906796</v>
      </c>
      <c r="H66" s="4">
        <f>'Baseline System Analysis'!H25-H35</f>
        <v>40708.208708515318</v>
      </c>
      <c r="I66" s="4">
        <f>'Baseline System Analysis'!I25-I35</f>
        <v>49479.658333123836</v>
      </c>
      <c r="J66" s="4">
        <f>'Baseline System Analysis'!J25-J35</f>
        <v>58251.107957732347</v>
      </c>
      <c r="K66" s="4">
        <f>'Baseline System Analysis'!K25-K35</f>
        <v>50155.437787715477</v>
      </c>
      <c r="L66" s="4">
        <f>'Baseline System Analysis'!L25-L35</f>
        <v>43410.210015127152</v>
      </c>
      <c r="M66" s="4">
        <f>'Baseline System Analysis'!M25-M35</f>
        <v>35729.242866146844</v>
      </c>
      <c r="N66" s="4">
        <f>'Baseline System Analysis'!N25-N35</f>
        <v>52003.235889336414</v>
      </c>
      <c r="O66" s="4">
        <f>'Baseline System Analysis'!O25-O35</f>
        <v>79748.169263868404</v>
      </c>
      <c r="P66" s="4">
        <f>'Baseline System Analysis'!P25-P35</f>
        <v>107493.10263840039</v>
      </c>
      <c r="Q66" s="4">
        <f>'Baseline System Analysis'!Q25-Q35</f>
        <v>135238.03601293237</v>
      </c>
      <c r="R66" s="4">
        <f>'Baseline System Analysis'!R25-R35</f>
        <v>162982.96938746434</v>
      </c>
      <c r="S66" s="4">
        <f>'Baseline System Analysis'!S25-S35</f>
        <v>190727.90276199632</v>
      </c>
      <c r="T66" s="4">
        <f>'Baseline System Analysis'!T25-T35</f>
        <v>218472.83613652832</v>
      </c>
      <c r="U66" s="4">
        <f>'Baseline System Analysis'!U25-U35</f>
        <v>337342.33913897944</v>
      </c>
      <c r="V66" s="4">
        <f>'Baseline System Analysis'!V25-V35</f>
        <v>456211.84214143053</v>
      </c>
      <c r="W66" s="4">
        <f>'Baseline System Analysis'!W25-W35</f>
        <v>575081.34514388163</v>
      </c>
      <c r="X66" s="4">
        <f>'Baseline System Analysis'!X25-X35</f>
        <v>693950.84814633278</v>
      </c>
      <c r="Y66" s="4">
        <f>'Baseline System Analysis'!Y25-Y35</f>
        <v>812820.35114878381</v>
      </c>
      <c r="Z66" s="4">
        <f>'Baseline System Analysis'!Z25-Z35</f>
        <v>1004823.1920758745</v>
      </c>
      <c r="AA66" s="4">
        <f>'Baseline System Analysis'!AA25-AA35</f>
        <v>1196826.0330029654</v>
      </c>
      <c r="AB66" s="4">
        <f>'Baseline System Analysis'!AB25-AB35</f>
        <v>1388828.8739300561</v>
      </c>
      <c r="AC66" s="4">
        <f>'Baseline System Analysis'!AC25-AC35</f>
        <v>1580831.7148571468</v>
      </c>
      <c r="AD66" s="4">
        <f>'Baseline System Analysis'!AD25-AD35</f>
        <v>1772834.5557842376</v>
      </c>
    </row>
    <row r="67" spans="1:30" x14ac:dyDescent="0.35">
      <c r="A67" s="72" t="s">
        <v>24</v>
      </c>
      <c r="B67" s="72" t="s">
        <v>31</v>
      </c>
      <c r="C67" s="18">
        <f>NPV('Cost Assumptions'!$B$3,D67:AD67)</f>
        <v>1828224.7752703994</v>
      </c>
      <c r="D67" s="4">
        <f>SUM(D65:D66)</f>
        <v>6977.3757267394813</v>
      </c>
      <c r="E67" s="4">
        <f t="shared" ref="E67:AD67" si="15">SUM(E65:E66)</f>
        <v>17862.689571204995</v>
      </c>
      <c r="F67" s="4">
        <f t="shared" si="15"/>
        <v>28748.003415670511</v>
      </c>
      <c r="G67" s="4">
        <f t="shared" si="15"/>
        <v>39633.317260136027</v>
      </c>
      <c r="H67" s="4">
        <f t="shared" si="15"/>
        <v>50518.631104601547</v>
      </c>
      <c r="I67" s="4">
        <f t="shared" si="15"/>
        <v>61403.944949067067</v>
      </c>
      <c r="J67" s="4">
        <f t="shared" si="15"/>
        <v>72289.258793532572</v>
      </c>
      <c r="K67" s="4">
        <f t="shared" si="15"/>
        <v>62242.58300408526</v>
      </c>
      <c r="L67" s="4">
        <f t="shared" si="15"/>
        <v>53871.797740605391</v>
      </c>
      <c r="M67" s="4">
        <f t="shared" si="15"/>
        <v>44339.765793330567</v>
      </c>
      <c r="N67" s="4">
        <f t="shared" si="15"/>
        <v>64535.68883244475</v>
      </c>
      <c r="O67" s="4">
        <f t="shared" si="15"/>
        <v>98966.976738181955</v>
      </c>
      <c r="P67" s="4">
        <f t="shared" si="15"/>
        <v>133398.26464391916</v>
      </c>
      <c r="Q67" s="4">
        <f t="shared" si="15"/>
        <v>167829.55254965636</v>
      </c>
      <c r="R67" s="4">
        <f t="shared" si="15"/>
        <v>202260.84045539354</v>
      </c>
      <c r="S67" s="4">
        <f t="shared" si="15"/>
        <v>236692.12836113074</v>
      </c>
      <c r="T67" s="4">
        <f t="shared" si="15"/>
        <v>271123.41626686795</v>
      </c>
      <c r="U67" s="4">
        <f t="shared" si="15"/>
        <v>418639.72224748472</v>
      </c>
      <c r="V67" s="4">
        <f t="shared" si="15"/>
        <v>566156.02822810155</v>
      </c>
      <c r="W67" s="4">
        <f t="shared" si="15"/>
        <v>713672.33420871827</v>
      </c>
      <c r="X67" s="4">
        <f t="shared" si="15"/>
        <v>861188.64018933498</v>
      </c>
      <c r="Y67" s="4">
        <f t="shared" si="15"/>
        <v>1008704.9461699517</v>
      </c>
      <c r="Z67" s="4">
        <f t="shared" si="15"/>
        <v>1246979.2647793631</v>
      </c>
      <c r="AA67" s="4">
        <f t="shared" si="15"/>
        <v>1485253.5833887744</v>
      </c>
      <c r="AB67" s="4">
        <f t="shared" si="15"/>
        <v>1723527.9019981858</v>
      </c>
      <c r="AC67" s="4">
        <f t="shared" si="15"/>
        <v>1961802.2206075969</v>
      </c>
      <c r="AD67" s="4">
        <f t="shared" si="15"/>
        <v>2200076.5392170083</v>
      </c>
    </row>
    <row r="68" spans="1:30" x14ac:dyDescent="0.35">
      <c r="A68" s="72"/>
      <c r="B68" s="72"/>
      <c r="C68" s="72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</row>
    <row r="69" spans="1:30" x14ac:dyDescent="0.35">
      <c r="A69" s="72" t="s">
        <v>120</v>
      </c>
      <c r="B69" s="72" t="s">
        <v>31</v>
      </c>
      <c r="C69" s="18">
        <f>NPV('Cost Assumptions'!$B$3,D69:AD69)</f>
        <v>24322736.867207415</v>
      </c>
      <c r="D69" s="4">
        <f>'Baseline System Analysis'!D28-D32</f>
        <v>160311.2620318876</v>
      </c>
      <c r="E69" s="4">
        <f>'Baseline System Analysis'!E28-E32</f>
        <v>426681.41358302307</v>
      </c>
      <c r="F69" s="4">
        <f>'Baseline System Analysis'!F28-F32</f>
        <v>622797.58403751405</v>
      </c>
      <c r="G69" s="4">
        <f>'Baseline System Analysis'!G28-G32</f>
        <v>833710.68965832237</v>
      </c>
      <c r="H69" s="4">
        <f>'Baseline System Analysis'!H28-H32</f>
        <v>1064544.9637495263</v>
      </c>
      <c r="I69" s="4">
        <f>'Baseline System Analysis'!I28-I32</f>
        <v>1155248.1483230039</v>
      </c>
      <c r="J69" s="4">
        <f>'Baseline System Analysis'!J28-J32</f>
        <v>1567795.6535710837</v>
      </c>
      <c r="K69" s="4">
        <f>'Baseline System Analysis'!K28-K32</f>
        <v>1347745.4554885479</v>
      </c>
      <c r="L69" s="4">
        <f>'Baseline System Analysis'!L28-L32</f>
        <v>1143199.8672408643</v>
      </c>
      <c r="M69" s="4">
        <f>'Baseline System Analysis'!M28-M32</f>
        <v>1340230.0479167867</v>
      </c>
      <c r="N69" s="4">
        <f>'Baseline System Analysis'!N28-N32</f>
        <v>1211871.2277846751</v>
      </c>
      <c r="O69" s="4">
        <f>'Baseline System Analysis'!O28-O32</f>
        <v>1844840.0090543826</v>
      </c>
      <c r="P69" s="4">
        <f>'Baseline System Analysis'!P28-P32</f>
        <v>2356895.0256503327</v>
      </c>
      <c r="Q69" s="4">
        <f>'Baseline System Analysis'!Q28-Q32</f>
        <v>2752240.7792296447</v>
      </c>
      <c r="R69" s="4">
        <f>'Baseline System Analysis'!R28-R32</f>
        <v>3112959.3920374792</v>
      </c>
      <c r="S69" s="4">
        <f>'Baseline System Analysis'!S28-S32</f>
        <v>3866030.048087935</v>
      </c>
      <c r="T69" s="4">
        <f>'Baseline System Analysis'!T28-T32</f>
        <v>4800043.3764840001</v>
      </c>
      <c r="U69" s="4">
        <f>'Baseline System Analysis'!U28-U32</f>
        <v>5605356.4974824116</v>
      </c>
      <c r="V69" s="4">
        <f>'Baseline System Analysis'!V28-V32</f>
        <v>6874181.4866932966</v>
      </c>
      <c r="W69" s="4">
        <f>'Baseline System Analysis'!W28-W32</f>
        <v>7999576.6636784412</v>
      </c>
      <c r="X69" s="4">
        <f>'Baseline System Analysis'!X28-X32</f>
        <v>9754283.3840660583</v>
      </c>
      <c r="Y69" s="4">
        <f>'Baseline System Analysis'!Y28-Y32</f>
        <v>11535617.976796627</v>
      </c>
      <c r="Z69" s="4">
        <f>'Baseline System Analysis'!Z28-Z32</f>
        <v>13419029.134060645</v>
      </c>
      <c r="AA69" s="4">
        <f>'Baseline System Analysis'!AA28-AA32</f>
        <v>15550241.498579893</v>
      </c>
      <c r="AB69" s="4">
        <f>'Baseline System Analysis'!AB28-AB32</f>
        <v>17751814.256896835</v>
      </c>
      <c r="AC69" s="4">
        <f>'Baseline System Analysis'!AC28-AC32</f>
        <v>19753092.153455924</v>
      </c>
      <c r="AD69" s="4">
        <f>'Baseline System Analysis'!AD28-AD32</f>
        <v>21673528.399512697</v>
      </c>
    </row>
    <row r="70" spans="1:30" x14ac:dyDescent="0.35">
      <c r="A70" s="72" t="s">
        <v>121</v>
      </c>
      <c r="B70" s="72" t="s">
        <v>31</v>
      </c>
      <c r="C70" s="18">
        <f>NPV('Cost Assumptions'!$B$3,D70:AD70)</f>
        <v>111616614.01387709</v>
      </c>
      <c r="D70" s="4">
        <f>'Baseline System Analysis'!D29-D33</f>
        <v>903346.68264248176</v>
      </c>
      <c r="E70" s="4">
        <f>'Baseline System Analysis'!E29-E33</f>
        <v>2253380.2014470203</v>
      </c>
      <c r="F70" s="4">
        <f>'Baseline System Analysis'!F29-F33</f>
        <v>3310518.2522157584</v>
      </c>
      <c r="G70" s="4">
        <f>'Baseline System Analysis'!G29-G33</f>
        <v>4447479.3478986584</v>
      </c>
      <c r="H70" s="4">
        <f>'Baseline System Analysis'!H29-H33</f>
        <v>5587189.795765399</v>
      </c>
      <c r="I70" s="4">
        <f>'Baseline System Analysis'!I29-I33</f>
        <v>5454549.1605001325</v>
      </c>
      <c r="J70" s="4">
        <f>'Baseline System Analysis'!J29-J33</f>
        <v>7543147.8061243081</v>
      </c>
      <c r="K70" s="4">
        <f>'Baseline System Analysis'!K29-K33</f>
        <v>6412592.364404032</v>
      </c>
      <c r="L70" s="4">
        <f>'Baseline System Analysis'!L29-L33</f>
        <v>5385232.8797742622</v>
      </c>
      <c r="M70" s="4">
        <f>'Baseline System Analysis'!M29-M33</f>
        <v>6340117.1212563487</v>
      </c>
      <c r="N70" s="4">
        <f>'Baseline System Analysis'!N29-N33</f>
        <v>6361112.9189538537</v>
      </c>
      <c r="O70" s="4">
        <f>'Baseline System Analysis'!O29-O33</f>
        <v>8895771.1264487375</v>
      </c>
      <c r="P70" s="4">
        <f>'Baseline System Analysis'!P29-P33</f>
        <v>11481103.835917845</v>
      </c>
      <c r="Q70" s="4">
        <f>'Baseline System Analysis'!Q29-Q33</f>
        <v>12843987.910857875</v>
      </c>
      <c r="R70" s="4">
        <f>'Baseline System Analysis'!R29-R33</f>
        <v>13698596.18827603</v>
      </c>
      <c r="S70" s="4">
        <f>'Baseline System Analysis'!S29-S33</f>
        <v>17199347.660875205</v>
      </c>
      <c r="T70" s="4">
        <f>'Baseline System Analysis'!T29-T33</f>
        <v>21372792.810114369</v>
      </c>
      <c r="U70" s="4">
        <f>'Baseline System Analysis'!U29-U33</f>
        <v>24257449.061312743</v>
      </c>
      <c r="V70" s="4">
        <f>'Baseline System Analysis'!V29-V33</f>
        <v>29703520.689742472</v>
      </c>
      <c r="W70" s="4">
        <f>'Baseline System Analysis'!W29-W33</f>
        <v>34774447.076135397</v>
      </c>
      <c r="X70" s="4">
        <f>'Baseline System Analysis'!X29-X33</f>
        <v>42273498.74532187</v>
      </c>
      <c r="Y70" s="4">
        <f>'Baseline System Analysis'!Y29-Y33</f>
        <v>50410415.488010727</v>
      </c>
      <c r="Z70" s="4">
        <f>'Baseline System Analysis'!Z29-Z33</f>
        <v>59093268.855131164</v>
      </c>
      <c r="AA70" s="4">
        <f>'Baseline System Analysis'!AA29-AA33</f>
        <v>69213486.158677086</v>
      </c>
      <c r="AB70" s="4">
        <f>'Baseline System Analysis'!AB29-AB33</f>
        <v>79553492.093079031</v>
      </c>
      <c r="AC70" s="4">
        <f>'Baseline System Analysis'!AC29-AC33</f>
        <v>89158920.062468082</v>
      </c>
      <c r="AD70" s="4">
        <f>'Baseline System Analysis'!AD29-AD33</f>
        <v>98364469.734937131</v>
      </c>
    </row>
    <row r="71" spans="1:30" x14ac:dyDescent="0.35">
      <c r="A71" s="72" t="s">
        <v>24</v>
      </c>
      <c r="B71" s="72" t="s">
        <v>31</v>
      </c>
      <c r="C71" s="18">
        <f>NPV('Cost Assumptions'!$B$3,D71:AD71)</f>
        <v>135939350.88108453</v>
      </c>
      <c r="D71" s="4">
        <f>SUM(D69:D70)</f>
        <v>1063657.9446743694</v>
      </c>
      <c r="E71" s="4">
        <f t="shared" ref="E71:AD71" si="16">SUM(E69:E70)</f>
        <v>2680061.6150300433</v>
      </c>
      <c r="F71" s="4">
        <f t="shared" si="16"/>
        <v>3933315.8362532724</v>
      </c>
      <c r="G71" s="4">
        <f t="shared" si="16"/>
        <v>5281190.0375569807</v>
      </c>
      <c r="H71" s="4">
        <f t="shared" si="16"/>
        <v>6651734.7595149251</v>
      </c>
      <c r="I71" s="4">
        <f t="shared" si="16"/>
        <v>6609797.3088231366</v>
      </c>
      <c r="J71" s="4">
        <f t="shared" si="16"/>
        <v>9110943.4596953914</v>
      </c>
      <c r="K71" s="4">
        <f t="shared" si="16"/>
        <v>7760337.8198925797</v>
      </c>
      <c r="L71" s="4">
        <f t="shared" si="16"/>
        <v>6528432.747015126</v>
      </c>
      <c r="M71" s="4">
        <f t="shared" si="16"/>
        <v>7680347.1691731354</v>
      </c>
      <c r="N71" s="4">
        <f t="shared" si="16"/>
        <v>7572984.1467385292</v>
      </c>
      <c r="O71" s="4">
        <f t="shared" si="16"/>
        <v>10740611.135503121</v>
      </c>
      <c r="P71" s="4">
        <f t="shared" si="16"/>
        <v>13837998.861568179</v>
      </c>
      <c r="Q71" s="4">
        <f t="shared" si="16"/>
        <v>15596228.69008752</v>
      </c>
      <c r="R71" s="4">
        <f t="shared" si="16"/>
        <v>16811555.580313511</v>
      </c>
      <c r="S71" s="4">
        <f t="shared" si="16"/>
        <v>21065377.708963141</v>
      </c>
      <c r="T71" s="4">
        <f t="shared" si="16"/>
        <v>26172836.186598368</v>
      </c>
      <c r="U71" s="4">
        <f t="shared" si="16"/>
        <v>29862805.558795154</v>
      </c>
      <c r="V71" s="4">
        <f t="shared" si="16"/>
        <v>36577702.176435769</v>
      </c>
      <c r="W71" s="4">
        <f t="shared" si="16"/>
        <v>42774023.739813834</v>
      </c>
      <c r="X71" s="4">
        <f t="shared" si="16"/>
        <v>52027782.12938793</v>
      </c>
      <c r="Y71" s="4">
        <f t="shared" si="16"/>
        <v>61946033.464807354</v>
      </c>
      <c r="Z71" s="4">
        <f t="shared" si="16"/>
        <v>72512297.989191815</v>
      </c>
      <c r="AA71" s="4">
        <f t="shared" si="16"/>
        <v>84763727.657256976</v>
      </c>
      <c r="AB71" s="4">
        <f t="shared" si="16"/>
        <v>97305306.349975869</v>
      </c>
      <c r="AC71" s="4">
        <f t="shared" si="16"/>
        <v>108912012.21592401</v>
      </c>
      <c r="AD71" s="4">
        <f t="shared" si="16"/>
        <v>120037998.13444982</v>
      </c>
    </row>
    <row r="73" spans="1:30" x14ac:dyDescent="0.35">
      <c r="A73" s="72" t="s">
        <v>117</v>
      </c>
      <c r="B73" s="72" t="s">
        <v>144</v>
      </c>
      <c r="C73" s="18">
        <f>NPV('Cost Assumptions'!$B$3,D73:AD73)</f>
        <v>432939381.83637893</v>
      </c>
      <c r="D73" s="53">
        <f>ABS((D49*D60*1000*'Cost Assumptions'!$B$6)/'Cost Assumptions'!$B$14)</f>
        <v>14468227.097277695</v>
      </c>
      <c r="E73" s="53">
        <f>ABS((E49*E60*1000*'Cost Assumptions'!$B$6)/'Cost Assumptions'!$B$14)</f>
        <v>19719304.846050847</v>
      </c>
      <c r="F73" s="53">
        <f>ABS((F49*F60*1000*'Cost Assumptions'!$B$6)/'Cost Assumptions'!$B$14)</f>
        <v>25223893.840326857</v>
      </c>
      <c r="G73" s="53">
        <f>ABS((G49*G60*1000*'Cost Assumptions'!$B$6)/'Cost Assumptions'!$B$14)</f>
        <v>30991387.71878789</v>
      </c>
      <c r="H73" s="53">
        <f>ABS((H49*H60*1000*'Cost Assumptions'!$B$6)/'Cost Assumptions'!$B$14)</f>
        <v>37031491.357521757</v>
      </c>
      <c r="I73" s="53">
        <f>ABS((I49*I60*1000*'Cost Assumptions'!$B$6)/'Cost Assumptions'!$B$14)</f>
        <v>43354230.560868092</v>
      </c>
      <c r="J73" s="53">
        <f>ABS((J49*J60*1000*'Cost Assumptions'!$B$6)/'Cost Assumptions'!$B$14)</f>
        <v>49969962.042283267</v>
      </c>
      <c r="K73" s="53">
        <f>ABS((K49*K60*1000*'Cost Assumptions'!$B$6)/'Cost Assumptions'!$B$14)</f>
        <v>48642055.426413499</v>
      </c>
      <c r="L73" s="53">
        <f>ABS((L49*L60*1000*'Cost Assumptions'!$B$6)/'Cost Assumptions'!$B$14)</f>
        <v>47216522.253473811</v>
      </c>
      <c r="M73" s="53">
        <f>ABS((M49*M60*1000*'Cost Assumptions'!$B$6)/'Cost Assumptions'!$B$14)</f>
        <v>41155401.250800632</v>
      </c>
      <c r="N73" s="53">
        <f>ABS((N49*N60*1000*'Cost Assumptions'!$B$6)/'Cost Assumptions'!$B$14)</f>
        <v>46670115.426247634</v>
      </c>
      <c r="O73" s="53">
        <f>ABS((O49*O60*1000*'Cost Assumptions'!$B$6)/'Cost Assumptions'!$B$14)</f>
        <v>53255557.212892473</v>
      </c>
      <c r="P73" s="53">
        <f>ABS((P49*P60*1000*'Cost Assumptions'!$B$6)/'Cost Assumptions'!$B$14)</f>
        <v>57104138.659561567</v>
      </c>
      <c r="Q73" s="53">
        <f>ABS((Q49*Q60*1000*'Cost Assumptions'!$B$6)/'Cost Assumptions'!$B$14)</f>
        <v>61111864.455306076</v>
      </c>
      <c r="R73" s="53">
        <f>ABS((R49*R60*1000*'Cost Assumptions'!$B$6)/'Cost Assumptions'!$B$14)</f>
        <v>65284286.454175569</v>
      </c>
      <c r="S73" s="53">
        <f>ABS((S49*S60*1000*'Cost Assumptions'!$B$6)/'Cost Assumptions'!$B$14)</f>
        <v>69627134.637703985</v>
      </c>
      <c r="T73" s="53">
        <f>ABS((T49*T60*1000*'Cost Assumptions'!$B$6)/'Cost Assumptions'!$B$14)</f>
        <v>74146322.551374957</v>
      </c>
      <c r="U73" s="53">
        <f>ABS((U49*U60*1000*'Cost Assumptions'!$B$6)/'Cost Assumptions'!$B$14)</f>
        <v>78847952.9015809</v>
      </c>
      <c r="V73" s="53">
        <f>ABS((V49*V60*1000*'Cost Assumptions'!$B$6)/'Cost Assumptions'!$B$14)</f>
        <v>83738323.317702547</v>
      </c>
      <c r="W73" s="53">
        <f>ABS((W49*W60*1000*'Cost Assumptions'!$B$6)/'Cost Assumptions'!$B$14)</f>
        <v>88823932.284066781</v>
      </c>
      <c r="X73" s="53">
        <f>ABS((X49*X60*1000*'Cost Assumptions'!$B$6)/'Cost Assumptions'!$B$14)</f>
        <v>94111485.246675655</v>
      </c>
      <c r="Y73" s="53">
        <f>ABS((Y49*Y60*1000*'Cost Assumptions'!$B$6)/'Cost Assumptions'!$B$14)</f>
        <v>99607900.899737433</v>
      </c>
      <c r="Z73" s="53">
        <f>ABS((Z49*Z60*1000*'Cost Assumptions'!$B$6)/'Cost Assumptions'!$B$14)</f>
        <v>105320317.65717313</v>
      </c>
      <c r="AA73" s="53">
        <f>ABS((AA49*AA60*1000*'Cost Assumptions'!$B$6)/'Cost Assumptions'!$B$14)</f>
        <v>111256100.31441827</v>
      </c>
      <c r="AB73" s="53">
        <f>ABS((AB49*AB60*1000*'Cost Assumptions'!$B$6)/'Cost Assumptions'!$B$14)</f>
        <v>117422846.90598996</v>
      </c>
      <c r="AC73" s="53">
        <f>ABS((AC49*AC60*1000*'Cost Assumptions'!$B$6)/'Cost Assumptions'!$B$14)</f>
        <v>123828395.76444368</v>
      </c>
      <c r="AD73" s="53">
        <f>ABS((AD49*AD60*1000*'Cost Assumptions'!$B$6)/'Cost Assumptions'!$B$14)</f>
        <v>130480832.7865039</v>
      </c>
    </row>
    <row r="74" spans="1:30" x14ac:dyDescent="0.35">
      <c r="A74" s="72" t="s">
        <v>119</v>
      </c>
      <c r="B74" s="72" t="s">
        <v>144</v>
      </c>
      <c r="C74" s="18">
        <f>NPV('Cost Assumptions'!$B$3,D74:AD74)</f>
        <v>1783551154.2118998</v>
      </c>
      <c r="D74" s="53">
        <f>ABS((D49*D62*1000*'Cost Assumptions'!$B$7)/'Cost Assumptions'!$B$14)</f>
        <v>59603778.776821814</v>
      </c>
      <c r="E74" s="53">
        <f>ABS((E49*E62*1000*'Cost Assumptions'!$B$7)/'Cost Assumptions'!$B$14)</f>
        <v>81236289.4067287</v>
      </c>
      <c r="F74" s="53">
        <f>ABS((F49*F62*1000*'Cost Assumptions'!$B$7)/'Cost Assumptions'!$B$14)</f>
        <v>103913173.2063954</v>
      </c>
      <c r="G74" s="53">
        <f>ABS((G49*G62*1000*'Cost Assumptions'!$B$7)/'Cost Assumptions'!$B$14)</f>
        <v>127673128.51516622</v>
      </c>
      <c r="H74" s="53">
        <f>ABS((H49*H62*1000*'Cost Assumptions'!$B$7)/'Cost Assumptions'!$B$14)</f>
        <v>152556135.8561216</v>
      </c>
      <c r="I74" s="53">
        <f>ABS((I49*I62*1000*'Cost Assumptions'!$B$7)/'Cost Assumptions'!$B$14)</f>
        <v>178603497.85880277</v>
      </c>
      <c r="J74" s="53">
        <f>ABS((J49*J62*1000*'Cost Assumptions'!$B$7)/'Cost Assumptions'!$B$14)</f>
        <v>205857880.37670788</v>
      </c>
      <c r="K74" s="53">
        <f>ABS((K49*K62*1000*'Cost Assumptions'!$B$7)/'Cost Assumptions'!$B$14)</f>
        <v>200387393.10577804</v>
      </c>
      <c r="L74" s="53">
        <f>ABS((L49*L62*1000*'Cost Assumptions'!$B$7)/'Cost Assumptions'!$B$14)</f>
        <v>194514720.29606625</v>
      </c>
      <c r="M74" s="53">
        <f>ABS((M49*M62*1000*'Cost Assumptions'!$B$7)/'Cost Assumptions'!$B$14)</f>
        <v>169545129.13925791</v>
      </c>
      <c r="N74" s="53">
        <f>ABS((N49*N62*1000*'Cost Assumptions'!$B$7)/'Cost Assumptions'!$B$14)</f>
        <v>192263724.96449158</v>
      </c>
      <c r="O74" s="53">
        <f>ABS((O49*O62*1000*'Cost Assumptions'!$B$7)/'Cost Assumptions'!$B$14)</f>
        <v>219393325.07096714</v>
      </c>
      <c r="P74" s="53">
        <f>ABS((P49*P62*1000*'Cost Assumptions'!$B$7)/'Cost Assumptions'!$B$14)</f>
        <v>235248066.33328861</v>
      </c>
      <c r="Q74" s="53">
        <f>ABS((Q49*Q62*1000*'Cost Assumptions'!$B$7)/'Cost Assumptions'!$B$14)</f>
        <v>251758423.83055678</v>
      </c>
      <c r="R74" s="53">
        <f>ABS((R49*R62*1000*'Cost Assumptions'!$B$7)/'Cost Assumptions'!$B$14)</f>
        <v>268947269.16123003</v>
      </c>
      <c r="S74" s="53">
        <f>ABS((S49*S62*1000*'Cost Assumptions'!$B$7)/'Cost Assumptions'!$B$14)</f>
        <v>286838207.74354291</v>
      </c>
      <c r="T74" s="53">
        <f>ABS((T49*T62*1000*'Cost Assumptions'!$B$7)/'Cost Assumptions'!$B$14)</f>
        <v>305455601.21174562</v>
      </c>
      <c r="U74" s="53">
        <f>ABS((U49*U62*1000*'Cost Assumptions'!$B$7)/'Cost Assumptions'!$B$14)</f>
        <v>324824590.47351879</v>
      </c>
      <c r="V74" s="53">
        <f>ABS((V49*V62*1000*'Cost Assumptions'!$B$7)/'Cost Assumptions'!$B$14)</f>
        <v>344971119.44762325</v>
      </c>
      <c r="W74" s="53">
        <f>ABS((W49*W62*1000*'Cost Assumptions'!$B$7)/'Cost Assumptions'!$B$14)</f>
        <v>365921959.501387</v>
      </c>
      <c r="X74" s="53">
        <f>ABS((X49*X62*1000*'Cost Assumptions'!$B$7)/'Cost Assumptions'!$B$14)</f>
        <v>387704734.6081841</v>
      </c>
      <c r="Y74" s="53">
        <f>ABS((Y49*Y62*1000*'Cost Assumptions'!$B$7)/'Cost Assumptions'!$B$14)</f>
        <v>410347947.24563277</v>
      </c>
      <c r="Z74" s="53">
        <f>ABS((Z49*Z62*1000*'Cost Assumptions'!$B$7)/'Cost Assumptions'!$B$14)</f>
        <v>433881005.05582362</v>
      </c>
      <c r="AA74" s="53">
        <f>ABS((AA49*AA62*1000*'Cost Assumptions'!$B$7)/'Cost Assumptions'!$B$14)</f>
        <v>458334248.28949553</v>
      </c>
      <c r="AB74" s="53">
        <f>ABS((AB49*AB62*1000*'Cost Assumptions'!$B$7)/'Cost Assumptions'!$B$14)</f>
        <v>483738978.05669123</v>
      </c>
      <c r="AC74" s="53">
        <f>ABS((AC49*AC62*1000*'Cost Assumptions'!$B$7)/'Cost Assumptions'!$B$14)</f>
        <v>510127485.40706587</v>
      </c>
      <c r="AD74" s="53">
        <f>ABS((AD49*AD62*1000*'Cost Assumptions'!$B$7)/'Cost Assumptions'!$B$14)</f>
        <v>537533081.26367354</v>
      </c>
    </row>
    <row r="75" spans="1:30" x14ac:dyDescent="0.35">
      <c r="A75" s="72" t="s">
        <v>24</v>
      </c>
      <c r="B75" s="72" t="s">
        <v>144</v>
      </c>
      <c r="C75" s="18">
        <f>NPV('Cost Assumptions'!$B$3,D75:AD75)</f>
        <v>2216490536.0482788</v>
      </c>
      <c r="D75" s="53">
        <f>SUM(D73:D74)</f>
        <v>74072005.874099508</v>
      </c>
      <c r="E75" s="53">
        <f t="shared" ref="E75:AD75" si="17">SUM(E73:E74)</f>
        <v>100955594.25277954</v>
      </c>
      <c r="F75" s="53">
        <f t="shared" si="17"/>
        <v>129137067.04672226</v>
      </c>
      <c r="G75" s="53">
        <f t="shared" si="17"/>
        <v>158664516.2339541</v>
      </c>
      <c r="H75" s="53">
        <f t="shared" si="17"/>
        <v>189587627.21364337</v>
      </c>
      <c r="I75" s="53">
        <f t="shared" si="17"/>
        <v>221957728.41967085</v>
      </c>
      <c r="J75" s="53">
        <f t="shared" si="17"/>
        <v>255827842.41899115</v>
      </c>
      <c r="K75" s="53">
        <f t="shared" si="17"/>
        <v>249029448.53219154</v>
      </c>
      <c r="L75" s="53">
        <f t="shared" si="17"/>
        <v>241731242.54954007</v>
      </c>
      <c r="M75" s="53">
        <f t="shared" si="17"/>
        <v>210700530.39005855</v>
      </c>
      <c r="N75" s="53">
        <f t="shared" si="17"/>
        <v>238933840.3907392</v>
      </c>
      <c r="O75" s="53">
        <f t="shared" si="17"/>
        <v>272648882.28385961</v>
      </c>
      <c r="P75" s="53">
        <f t="shared" si="17"/>
        <v>292352204.99285018</v>
      </c>
      <c r="Q75" s="53">
        <f t="shared" si="17"/>
        <v>312870288.28586286</v>
      </c>
      <c r="R75" s="53">
        <f t="shared" si="17"/>
        <v>334231555.61540562</v>
      </c>
      <c r="S75" s="53">
        <f t="shared" si="17"/>
        <v>356465342.38124692</v>
      </c>
      <c r="T75" s="53">
        <f t="shared" si="17"/>
        <v>379601923.76312059</v>
      </c>
      <c r="U75" s="53">
        <f t="shared" si="17"/>
        <v>403672543.37509966</v>
      </c>
      <c r="V75" s="53">
        <f t="shared" si="17"/>
        <v>428709442.76532578</v>
      </c>
      <c r="W75" s="53">
        <f t="shared" si="17"/>
        <v>454745891.7854538</v>
      </c>
      <c r="X75" s="53">
        <f t="shared" si="17"/>
        <v>481816219.85485977</v>
      </c>
      <c r="Y75" s="53">
        <f t="shared" si="17"/>
        <v>509955848.14537019</v>
      </c>
      <c r="Z75" s="53">
        <f t="shared" si="17"/>
        <v>539201322.71299672</v>
      </c>
      <c r="AA75" s="53">
        <f t="shared" si="17"/>
        <v>569590348.60391378</v>
      </c>
      <c r="AB75" s="53">
        <f t="shared" si="17"/>
        <v>601161824.96268117</v>
      </c>
      <c r="AC75" s="53">
        <f t="shared" si="17"/>
        <v>633955881.1715095</v>
      </c>
      <c r="AD75" s="53">
        <f t="shared" si="17"/>
        <v>668013914.05017745</v>
      </c>
    </row>
    <row r="76" spans="1:30" x14ac:dyDescent="0.35">
      <c r="A76" s="72"/>
      <c r="B76" s="72"/>
      <c r="C76" s="18"/>
      <c r="D76" s="53"/>
      <c r="E76" s="53"/>
      <c r="F76" s="53"/>
      <c r="G76" s="53"/>
      <c r="H76" s="53"/>
      <c r="I76" s="53"/>
      <c r="J76" s="53"/>
      <c r="K76" s="53"/>
      <c r="L76" s="53"/>
      <c r="M76" s="53"/>
      <c r="N76" s="53"/>
      <c r="O76" s="53"/>
      <c r="P76" s="53"/>
      <c r="Q76" s="53"/>
      <c r="R76" s="53"/>
      <c r="S76" s="53"/>
      <c r="T76" s="53"/>
      <c r="U76" s="53"/>
      <c r="V76" s="53"/>
      <c r="W76" s="53"/>
      <c r="X76" s="53"/>
      <c r="Y76" s="53"/>
      <c r="Z76" s="53"/>
      <c r="AA76" s="53"/>
      <c r="AB76" s="53"/>
      <c r="AC76" s="53"/>
      <c r="AD76" s="53"/>
    </row>
    <row r="77" spans="1:30" x14ac:dyDescent="0.35">
      <c r="A77" s="72" t="s">
        <v>117</v>
      </c>
      <c r="B77" s="72" t="s">
        <v>152</v>
      </c>
      <c r="C77" s="18">
        <f>NPV('Cost Assumptions'!$B$3,D77:AD77)</f>
        <v>8.2450283956822421</v>
      </c>
      <c r="D77" s="53">
        <f>ABS(((MIN(ABS(D50),'Baseline System Analysis'!D14)*D61*1000*'Cost Assumptions'!$B$6)*'Cost Assumptions'!$B$13))</f>
        <v>2.2011377637331964</v>
      </c>
      <c r="E77" s="53">
        <f>ABS(((MIN(ABS(E50),'Baseline System Analysis'!E14)*E61*1000*'Cost Assumptions'!$B$6)*'Cost Assumptions'!$B$13))</f>
        <v>2.6500184943648684</v>
      </c>
      <c r="F77" s="53">
        <f>ABS(((MIN(ABS(F50),'Baseline System Analysis'!F14)*F61*1000*'Cost Assumptions'!$B$6)*'Cost Assumptions'!$B$13))</f>
        <v>0.35287884824637994</v>
      </c>
      <c r="G77" s="53">
        <f>ABS(((MIN(ABS(G50),'Baseline System Analysis'!G14)*G61*1000*'Cost Assumptions'!$B$6)*'Cost Assumptions'!$B$13))</f>
        <v>1.5806257543857691</v>
      </c>
      <c r="H77" s="53">
        <f>ABS(((MIN(ABS(H50),'Baseline System Analysis'!H14)*H61*1000*'Cost Assumptions'!$B$6)*'Cost Assumptions'!$B$13))</f>
        <v>1.7625723655041734</v>
      </c>
      <c r="I77" s="53">
        <f>ABS(((MIN(ABS(I50),'Baseline System Analysis'!I14)*I61*1000*'Cost Assumptions'!$B$6)*'Cost Assumptions'!$B$13))</f>
        <v>0.35371305085548216</v>
      </c>
      <c r="J77" s="53">
        <f>ABS(((MIN(ABS(J50),'Baseline System Analysis'!J14)*J61*1000*'Cost Assumptions'!$B$6)*'Cost Assumptions'!$B$13))</f>
        <v>2.757637002428984</v>
      </c>
      <c r="K77" s="53">
        <f>ABS(((MIN(ABS(K50),'Baseline System Analysis'!K14)*K61*1000*'Cost Assumptions'!$B$6)*'Cost Assumptions'!$B$13))</f>
        <v>0</v>
      </c>
      <c r="L77" s="53">
        <f>ABS(((MIN(ABS(L50),'Baseline System Analysis'!L14)*L61*1000*'Cost Assumptions'!$B$6)*'Cost Assumptions'!$B$13))</f>
        <v>0</v>
      </c>
      <c r="M77" s="53">
        <f>ABS(((MIN(ABS(M50),'Baseline System Analysis'!M14)*M61*1000*'Cost Assumptions'!$B$6)*'Cost Assumptions'!$B$13))</f>
        <v>0</v>
      </c>
      <c r="N77" s="53">
        <f>ABS(((MIN(ABS(N50),'Baseline System Analysis'!N14)*N61*1000*'Cost Assumptions'!$B$6)*'Cost Assumptions'!$B$13))</f>
        <v>0</v>
      </c>
      <c r="O77" s="53">
        <f>ABS(((MIN(ABS(O50),'Baseline System Analysis'!O14)*O61*1000*'Cost Assumptions'!$B$6)*'Cost Assumptions'!$B$13))</f>
        <v>0</v>
      </c>
      <c r="P77" s="53">
        <f>ABS(((MIN(ABS(P50),'Baseline System Analysis'!P14)*P61*1000*'Cost Assumptions'!$B$6)*'Cost Assumptions'!$B$13))</f>
        <v>0</v>
      </c>
      <c r="Q77" s="53">
        <f>ABS(((MIN(ABS(Q50),'Baseline System Analysis'!Q14)*Q61*1000*'Cost Assumptions'!$B$6)*'Cost Assumptions'!$B$13))</f>
        <v>0</v>
      </c>
      <c r="R77" s="53">
        <f>ABS(((MIN(ABS(R50),'Baseline System Analysis'!R14)*R61*1000*'Cost Assumptions'!$B$6)*'Cost Assumptions'!$B$13))</f>
        <v>0</v>
      </c>
      <c r="S77" s="53">
        <f>ABS(((MIN(ABS(S50),'Baseline System Analysis'!S14)*S61*1000*'Cost Assumptions'!$B$6)*'Cost Assumptions'!$B$13))</f>
        <v>0</v>
      </c>
      <c r="T77" s="53">
        <f>ABS(((MIN(ABS(T50),'Baseline System Analysis'!T14)*T61*1000*'Cost Assumptions'!$B$6)*'Cost Assumptions'!$B$13))</f>
        <v>0</v>
      </c>
      <c r="U77" s="53">
        <f>ABS(((MIN(ABS(U50),'Baseline System Analysis'!U14)*U61*1000*'Cost Assumptions'!$B$6)*'Cost Assumptions'!$B$13))</f>
        <v>0</v>
      </c>
      <c r="V77" s="53">
        <f>ABS(((MIN(ABS(V50),'Baseline System Analysis'!V14)*V61*1000*'Cost Assumptions'!$B$6)*'Cost Assumptions'!$B$13))</f>
        <v>0</v>
      </c>
      <c r="W77" s="53">
        <f>ABS(((MIN(ABS(W50),'Baseline System Analysis'!W14)*W61*1000*'Cost Assumptions'!$B$6)*'Cost Assumptions'!$B$13))</f>
        <v>0</v>
      </c>
      <c r="X77" s="53">
        <f>ABS(((MIN(ABS(X50),'Baseline System Analysis'!X14)*X61*1000*'Cost Assumptions'!$B$6)*'Cost Assumptions'!$B$13))</f>
        <v>0</v>
      </c>
      <c r="Y77" s="53">
        <f>ABS(((MIN(ABS(Y50),'Baseline System Analysis'!Y14)*Y61*1000*'Cost Assumptions'!$B$6)*'Cost Assumptions'!$B$13))</f>
        <v>0</v>
      </c>
      <c r="Z77" s="53">
        <f>ABS(((MIN(ABS(Z50),'Baseline System Analysis'!Z14)*Z61*1000*'Cost Assumptions'!$B$6)*'Cost Assumptions'!$B$13))</f>
        <v>0</v>
      </c>
      <c r="AA77" s="53">
        <f>ABS(((MIN(ABS(AA50),'Baseline System Analysis'!AA14)*AA61*1000*'Cost Assumptions'!$B$6)*'Cost Assumptions'!$B$13))</f>
        <v>0</v>
      </c>
      <c r="AB77" s="53">
        <f>ABS(((MIN(ABS(AB50),'Baseline System Analysis'!AB14)*AB61*1000*'Cost Assumptions'!$B$6)*'Cost Assumptions'!$B$13))</f>
        <v>0</v>
      </c>
      <c r="AC77" s="53">
        <f>ABS(((MIN(ABS(AC50),'Baseline System Analysis'!AC14)*AC61*1000*'Cost Assumptions'!$B$6)*'Cost Assumptions'!$B$13))</f>
        <v>0</v>
      </c>
      <c r="AD77" s="53">
        <f>ABS(((MIN(ABS(AD50),'Baseline System Analysis'!AD14)*AD61*1000*'Cost Assumptions'!$B$6)*'Cost Assumptions'!$B$13))</f>
        <v>0</v>
      </c>
    </row>
    <row r="78" spans="1:30" x14ac:dyDescent="0.35">
      <c r="A78" s="72" t="s">
        <v>119</v>
      </c>
      <c r="B78" s="72" t="s">
        <v>152</v>
      </c>
      <c r="C78" s="18">
        <f>NPV('Cost Assumptions'!$B$3,D78:AD78)</f>
        <v>334.49146525720835</v>
      </c>
      <c r="D78" s="53">
        <f>ABS(((MIN(ABS(D50),'Baseline System Analysis'!D14)*D63*1000*'Cost Assumptions'!$B$6)*'Cost Assumptions'!$B$13))</f>
        <v>89.297666483435947</v>
      </c>
      <c r="E78" s="53">
        <f>ABS(((MIN(ABS(E50),'Baseline System Analysis'!E14)*E63*1000*'Cost Assumptions'!$B$6)*'Cost Assumptions'!$B$13))</f>
        <v>107.50824940797057</v>
      </c>
      <c r="F78" s="53">
        <f>ABS(((MIN(ABS(F50),'Baseline System Analysis'!F14)*F63*1000*'Cost Assumptions'!$B$6)*'Cost Assumptions'!$B$13))</f>
        <v>14.315895269690069</v>
      </c>
      <c r="G78" s="53">
        <f>ABS(((MIN(ABS(G50),'Baseline System Analysis'!G14)*G63*1000*'Cost Assumptions'!$B$6)*'Cost Assumptions'!$B$13))</f>
        <v>64.124196938442182</v>
      </c>
      <c r="H78" s="53">
        <f>ABS(((MIN(ABS(H50),'Baseline System Analysis'!H14)*H63*1000*'Cost Assumptions'!$B$6)*'Cost Assumptions'!$B$13))</f>
        <v>71.505564913287444</v>
      </c>
      <c r="I78" s="53">
        <f>ABS(((MIN(ABS(I50),'Baseline System Analysis'!I14)*I63*1000*'Cost Assumptions'!$B$6)*'Cost Assumptions'!$B$13))</f>
        <v>14.349737924881666</v>
      </c>
      <c r="J78" s="53">
        <f>ABS(((MIN(ABS(J50),'Baseline System Analysis'!J14)*J63*1000*'Cost Assumptions'!$B$6)*'Cost Assumptions'!$B$13))</f>
        <v>111.87421041181767</v>
      </c>
      <c r="K78" s="53">
        <f>ABS(((MIN(ABS(K50),'Baseline System Analysis'!K14)*K63*1000*'Cost Assumptions'!$B$6)*'Cost Assumptions'!$B$13))</f>
        <v>0</v>
      </c>
      <c r="L78" s="53">
        <f>ABS(((MIN(ABS(L50),'Baseline System Analysis'!L14)*L63*1000*'Cost Assumptions'!$B$6)*'Cost Assumptions'!$B$13))</f>
        <v>0</v>
      </c>
      <c r="M78" s="53">
        <f>ABS(((MIN(ABS(M50),'Baseline System Analysis'!M14)*M63*1000*'Cost Assumptions'!$B$6)*'Cost Assumptions'!$B$13))</f>
        <v>0</v>
      </c>
      <c r="N78" s="53">
        <f>ABS(((MIN(ABS(N50),'Baseline System Analysis'!N14)*N63*1000*'Cost Assumptions'!$B$6)*'Cost Assumptions'!$B$13))</f>
        <v>0</v>
      </c>
      <c r="O78" s="53">
        <f>ABS(((MIN(ABS(O50),'Baseline System Analysis'!O14)*O63*1000*'Cost Assumptions'!$B$6)*'Cost Assumptions'!$B$13))</f>
        <v>0</v>
      </c>
      <c r="P78" s="53">
        <f>ABS(((MIN(ABS(P50),'Baseline System Analysis'!P14)*P63*1000*'Cost Assumptions'!$B$6)*'Cost Assumptions'!$B$13))</f>
        <v>0</v>
      </c>
      <c r="Q78" s="53">
        <f>ABS(((MIN(ABS(Q50),'Baseline System Analysis'!Q14)*Q63*1000*'Cost Assumptions'!$B$6)*'Cost Assumptions'!$B$13))</f>
        <v>0</v>
      </c>
      <c r="R78" s="53">
        <f>ABS(((MIN(ABS(R50),'Baseline System Analysis'!R14)*R63*1000*'Cost Assumptions'!$B$6)*'Cost Assumptions'!$B$13))</f>
        <v>0</v>
      </c>
      <c r="S78" s="53">
        <f>ABS(((MIN(ABS(S50),'Baseline System Analysis'!S14)*S63*1000*'Cost Assumptions'!$B$6)*'Cost Assumptions'!$B$13))</f>
        <v>0</v>
      </c>
      <c r="T78" s="53">
        <f>ABS(((MIN(ABS(T50),'Baseline System Analysis'!T14)*T63*1000*'Cost Assumptions'!$B$6)*'Cost Assumptions'!$B$13))</f>
        <v>0</v>
      </c>
      <c r="U78" s="53">
        <f>ABS(((MIN(ABS(U50),'Baseline System Analysis'!U14)*U63*1000*'Cost Assumptions'!$B$6)*'Cost Assumptions'!$B$13))</f>
        <v>0</v>
      </c>
      <c r="V78" s="53">
        <f>ABS(((MIN(ABS(V50),'Baseline System Analysis'!V14)*V63*1000*'Cost Assumptions'!$B$6)*'Cost Assumptions'!$B$13))</f>
        <v>0</v>
      </c>
      <c r="W78" s="53">
        <f>ABS(((MIN(ABS(W50),'Baseline System Analysis'!W14)*W63*1000*'Cost Assumptions'!$B$6)*'Cost Assumptions'!$B$13))</f>
        <v>0</v>
      </c>
      <c r="X78" s="53">
        <f>ABS(((MIN(ABS(X50),'Baseline System Analysis'!X14)*X63*1000*'Cost Assumptions'!$B$6)*'Cost Assumptions'!$B$13))</f>
        <v>0</v>
      </c>
      <c r="Y78" s="53">
        <f>ABS(((MIN(ABS(Y50),'Baseline System Analysis'!Y14)*Y63*1000*'Cost Assumptions'!$B$6)*'Cost Assumptions'!$B$13))</f>
        <v>0</v>
      </c>
      <c r="Z78" s="53">
        <f>ABS(((MIN(ABS(Z50),'Baseline System Analysis'!Z14)*Z63*1000*'Cost Assumptions'!$B$6)*'Cost Assumptions'!$B$13))</f>
        <v>0</v>
      </c>
      <c r="AA78" s="53">
        <f>ABS(((MIN(ABS(AA50),'Baseline System Analysis'!AA14)*AA63*1000*'Cost Assumptions'!$B$6)*'Cost Assumptions'!$B$13))</f>
        <v>0</v>
      </c>
      <c r="AB78" s="53">
        <f>ABS(((MIN(ABS(AB50),'Baseline System Analysis'!AB14)*AB63*1000*'Cost Assumptions'!$B$6)*'Cost Assumptions'!$B$13))</f>
        <v>0</v>
      </c>
      <c r="AC78" s="53">
        <f>ABS(((MIN(ABS(AC50),'Baseline System Analysis'!AC14)*AC63*1000*'Cost Assumptions'!$B$6)*'Cost Assumptions'!$B$13))</f>
        <v>0</v>
      </c>
      <c r="AD78" s="53">
        <f>ABS(((MIN(ABS(AD50),'Baseline System Analysis'!AD14)*AD63*1000*'Cost Assumptions'!$B$6)*'Cost Assumptions'!$B$13))</f>
        <v>0</v>
      </c>
    </row>
    <row r="79" spans="1:30" ht="29" x14ac:dyDescent="0.35">
      <c r="A79" s="3" t="s">
        <v>146</v>
      </c>
      <c r="B79" s="72" t="s">
        <v>152</v>
      </c>
      <c r="C79" s="18">
        <f>NPV('Cost Assumptions'!$B$3,D79:AD79)</f>
        <v>342.73649365289066</v>
      </c>
      <c r="D79" s="53">
        <f>SUM(D77:D78)</f>
        <v>91.498804247169147</v>
      </c>
      <c r="E79" s="53">
        <f t="shared" ref="E79:AD79" si="18">SUM(E77:E78)</f>
        <v>110.15826790233544</v>
      </c>
      <c r="F79" s="53">
        <f t="shared" si="18"/>
        <v>14.668774117936449</v>
      </c>
      <c r="G79" s="53">
        <f t="shared" si="18"/>
        <v>65.704822692827946</v>
      </c>
      <c r="H79" s="53">
        <f t="shared" si="18"/>
        <v>73.268137278791613</v>
      </c>
      <c r="I79" s="53">
        <f t="shared" si="18"/>
        <v>14.703450975737148</v>
      </c>
      <c r="J79" s="53">
        <f t="shared" si="18"/>
        <v>114.63184741424665</v>
      </c>
      <c r="K79" s="53">
        <f t="shared" si="18"/>
        <v>0</v>
      </c>
      <c r="L79" s="53">
        <f t="shared" si="18"/>
        <v>0</v>
      </c>
      <c r="M79" s="53">
        <f t="shared" si="18"/>
        <v>0</v>
      </c>
      <c r="N79" s="53">
        <f t="shared" si="18"/>
        <v>0</v>
      </c>
      <c r="O79" s="53">
        <f t="shared" si="18"/>
        <v>0</v>
      </c>
      <c r="P79" s="53">
        <f t="shared" si="18"/>
        <v>0</v>
      </c>
      <c r="Q79" s="53">
        <f t="shared" si="18"/>
        <v>0</v>
      </c>
      <c r="R79" s="53">
        <f t="shared" si="18"/>
        <v>0</v>
      </c>
      <c r="S79" s="53">
        <f t="shared" si="18"/>
        <v>0</v>
      </c>
      <c r="T79" s="53">
        <f t="shared" si="18"/>
        <v>0</v>
      </c>
      <c r="U79" s="53">
        <f t="shared" si="18"/>
        <v>0</v>
      </c>
      <c r="V79" s="53">
        <f t="shared" si="18"/>
        <v>0</v>
      </c>
      <c r="W79" s="53">
        <f t="shared" si="18"/>
        <v>0</v>
      </c>
      <c r="X79" s="53">
        <f t="shared" si="18"/>
        <v>0</v>
      </c>
      <c r="Y79" s="53">
        <f t="shared" si="18"/>
        <v>0</v>
      </c>
      <c r="Z79" s="53">
        <f t="shared" si="18"/>
        <v>0</v>
      </c>
      <c r="AA79" s="53">
        <f t="shared" si="18"/>
        <v>0</v>
      </c>
      <c r="AB79" s="53">
        <f t="shared" si="18"/>
        <v>0</v>
      </c>
      <c r="AC79" s="53">
        <f t="shared" si="18"/>
        <v>0</v>
      </c>
      <c r="AD79" s="53">
        <f t="shared" si="18"/>
        <v>0</v>
      </c>
    </row>
    <row r="80" spans="1:30" s="52" customFormat="1" x14ac:dyDescent="0.35">
      <c r="A80" s="3"/>
      <c r="B80" s="72"/>
      <c r="C80" s="18"/>
      <c r="D80" s="53"/>
      <c r="E80" s="53"/>
      <c r="F80" s="53"/>
      <c r="G80" s="53"/>
      <c r="H80" s="53"/>
      <c r="I80" s="53"/>
      <c r="J80" s="53"/>
      <c r="K80" s="53"/>
      <c r="L80" s="53"/>
      <c r="M80" s="53"/>
      <c r="N80" s="53"/>
      <c r="O80" s="53"/>
      <c r="P80" s="53"/>
      <c r="Q80" s="53"/>
      <c r="R80" s="53"/>
      <c r="S80" s="53"/>
      <c r="T80" s="53"/>
      <c r="U80" s="53"/>
      <c r="V80" s="53"/>
      <c r="W80" s="53"/>
      <c r="X80" s="53"/>
      <c r="Y80" s="53"/>
      <c r="Z80" s="53"/>
      <c r="AA80" s="53"/>
      <c r="AB80" s="53"/>
      <c r="AC80" s="53"/>
      <c r="AD80" s="53"/>
    </row>
    <row r="81" spans="1:30" s="52" customFormat="1" ht="29" x14ac:dyDescent="0.35">
      <c r="A81" s="3" t="s">
        <v>147</v>
      </c>
      <c r="B81" s="72" t="s">
        <v>148</v>
      </c>
      <c r="C81" s="18">
        <f>NPV('Cost Assumptions'!$B$3,D81:AD81)</f>
        <v>1267956.9556291802</v>
      </c>
      <c r="D81" s="53">
        <f>('Baseline System Analysis'!D42-D36)</f>
        <v>5288.5835884381086</v>
      </c>
      <c r="E81" s="53">
        <f>('Baseline System Analysis'!E42-E36)</f>
        <v>16547.019940726459</v>
      </c>
      <c r="F81" s="53">
        <f>('Baseline System Analysis'!F42-F36)</f>
        <v>23772.405096843839</v>
      </c>
      <c r="G81" s="53">
        <f>('Baseline System Analysis'!G42-G36)</f>
        <v>31541.84132931754</v>
      </c>
      <c r="H81" s="53">
        <f>('Baseline System Analysis'!H42-H36)</f>
        <v>41755.747928064317</v>
      </c>
      <c r="I81" s="53">
        <f>('Baseline System Analysis'!I42-I36)</f>
        <v>55450.436909973621</v>
      </c>
      <c r="J81" s="53">
        <f>('Baseline System Analysis'!J42-J36)</f>
        <v>72889.092396698892</v>
      </c>
      <c r="K81" s="53">
        <f>('Baseline System Analysis'!K42-K36)</f>
        <v>63864.642666000873</v>
      </c>
      <c r="L81" s="53">
        <f>('Baseline System Analysis'!L42-L36)</f>
        <v>55089.330958455801</v>
      </c>
      <c r="M81" s="53">
        <f>('Baseline System Analysis'!M42-M36)</f>
        <v>47521.573985967785</v>
      </c>
      <c r="N81" s="53">
        <f>('Baseline System Analysis'!N42-N36)</f>
        <v>64125.012294080108</v>
      </c>
      <c r="O81" s="53">
        <f>('Baseline System Analysis'!O42-O36)</f>
        <v>85438.887876722962</v>
      </c>
      <c r="P81" s="53">
        <f>('Baseline System Analysis'!P42-P36)</f>
        <v>111001.83922342584</v>
      </c>
      <c r="Q81" s="53">
        <f>('Baseline System Analysis'!Q42-Q36)</f>
        <v>139210.08255233243</v>
      </c>
      <c r="R81" s="53">
        <f>('Baseline System Analysis'!R42-R36)</f>
        <v>171523.34916345403</v>
      </c>
      <c r="S81" s="53">
        <f>('Baseline System Analysis'!S42-S36)</f>
        <v>208837.75595133007</v>
      </c>
      <c r="T81" s="53">
        <f>('Baseline System Analysis'!T42-T36)</f>
        <v>258958.26115134358</v>
      </c>
      <c r="U81" s="53">
        <f>('Baseline System Analysis'!U42-U36)</f>
        <v>314389.32819056511</v>
      </c>
      <c r="V81" s="53">
        <f>('Baseline System Analysis'!V42-V36)</f>
        <v>384457.02263949066</v>
      </c>
      <c r="W81" s="53">
        <f>('Baseline System Analysis'!W42-W36)</f>
        <v>472683.66454783082</v>
      </c>
      <c r="X81" s="53">
        <f>('Baseline System Analysis'!X42-X36)</f>
        <v>571163.17507382482</v>
      </c>
      <c r="Y81" s="53">
        <f>('Baseline System Analysis'!Y42-Y36)</f>
        <v>666153.33691696078</v>
      </c>
      <c r="Z81" s="53">
        <f>('Baseline System Analysis'!Z42-Z36)</f>
        <v>765156.99846190214</v>
      </c>
      <c r="AA81" s="53">
        <f>('Baseline System Analysis'!AA42-AA36)</f>
        <v>854079.38757219911</v>
      </c>
      <c r="AB81" s="53">
        <f>('Baseline System Analysis'!AB42-AB36)</f>
        <v>968851.04255510867</v>
      </c>
      <c r="AC81" s="53">
        <f>('Baseline System Analysis'!AC42-AC36)</f>
        <v>1065551.5907581076</v>
      </c>
      <c r="AD81" s="53">
        <f>('Baseline System Analysis'!AD42-AD36)</f>
        <v>1154105.024949789</v>
      </c>
    </row>
    <row r="83" spans="1:30" ht="20" thickBot="1" x14ac:dyDescent="0.5">
      <c r="A83" s="134" t="s">
        <v>61</v>
      </c>
      <c r="B83" s="134"/>
      <c r="C83" s="18">
        <f>NPV('Cost Assumptions'!$B$3,D83:AD83)/1000000</f>
        <v>2355.5264113967564</v>
      </c>
      <c r="D83" s="53">
        <f>SUM(D67,D71,D75,D79,D81)</f>
        <v>75148021.276893288</v>
      </c>
      <c r="E83" s="53">
        <f t="shared" ref="E83:AD83" si="19">SUM(E67,E71,E75,E79,E81)</f>
        <v>103670175.73558941</v>
      </c>
      <c r="F83" s="53">
        <f t="shared" si="19"/>
        <v>133122917.96026216</v>
      </c>
      <c r="G83" s="53">
        <f t="shared" si="19"/>
        <v>164016947.13492322</v>
      </c>
      <c r="H83" s="53">
        <f t="shared" si="19"/>
        <v>196331709.62032822</v>
      </c>
      <c r="I83" s="53">
        <f t="shared" si="19"/>
        <v>228684394.813804</v>
      </c>
      <c r="J83" s="53">
        <f t="shared" si="19"/>
        <v>265084078.8617242</v>
      </c>
      <c r="K83" s="53">
        <f t="shared" si="19"/>
        <v>256915893.57775423</v>
      </c>
      <c r="L83" s="53">
        <f t="shared" si="19"/>
        <v>248368636.42525426</v>
      </c>
      <c r="M83" s="53">
        <f t="shared" si="19"/>
        <v>218472738.89901099</v>
      </c>
      <c r="N83" s="53">
        <f t="shared" si="19"/>
        <v>246635485.23860425</v>
      </c>
      <c r="O83" s="53">
        <f t="shared" si="19"/>
        <v>283573899.28397769</v>
      </c>
      <c r="P83" s="53">
        <f t="shared" si="19"/>
        <v>306434603.95828575</v>
      </c>
      <c r="Q83" s="53">
        <f t="shared" si="19"/>
        <v>328773556.61105233</v>
      </c>
      <c r="R83" s="53">
        <f t="shared" si="19"/>
        <v>351416895.38533801</v>
      </c>
      <c r="S83" s="53">
        <f t="shared" si="19"/>
        <v>377976249.97452253</v>
      </c>
      <c r="T83" s="53">
        <f t="shared" si="19"/>
        <v>406304841.62713718</v>
      </c>
      <c r="U83" s="53">
        <f t="shared" si="19"/>
        <v>434268377.98433286</v>
      </c>
      <c r="V83" s="53">
        <f t="shared" si="19"/>
        <v>466237757.99262917</v>
      </c>
      <c r="W83" s="53">
        <f t="shared" si="19"/>
        <v>498706271.52402413</v>
      </c>
      <c r="X83" s="53">
        <f t="shared" si="19"/>
        <v>535276353.79951084</v>
      </c>
      <c r="Y83" s="53">
        <f t="shared" si="19"/>
        <v>573576739.89326441</v>
      </c>
      <c r="Z83" s="53">
        <f t="shared" si="19"/>
        <v>613725756.96542978</v>
      </c>
      <c r="AA83" s="53">
        <f t="shared" si="19"/>
        <v>656693409.23213172</v>
      </c>
      <c r="AB83" s="53">
        <f t="shared" si="19"/>
        <v>701159510.25721037</v>
      </c>
      <c r="AC83" s="53">
        <f t="shared" si="19"/>
        <v>745895247.19879913</v>
      </c>
      <c r="AD83" s="53">
        <f t="shared" si="19"/>
        <v>791406093.74879408</v>
      </c>
    </row>
    <row r="84" spans="1:30" s="52" customFormat="1" ht="20.5" thickTop="1" thickBot="1" x14ac:dyDescent="0.5">
      <c r="A84" s="134" t="s">
        <v>149</v>
      </c>
      <c r="B84" s="134"/>
      <c r="C84" s="18">
        <f>NPV('Cost Assumptions'!$B$3,D84:AD84)/1000000</f>
        <v>2356.3325899386791</v>
      </c>
      <c r="D84" s="53">
        <f>D83+D43</f>
        <v>75193443.276893288</v>
      </c>
      <c r="E84" s="53">
        <f t="shared" ref="E84:AD84" si="20">E83+E43</f>
        <v>103719085.3452048</v>
      </c>
      <c r="F84" s="53">
        <f t="shared" si="20"/>
        <v>133175461.1712237</v>
      </c>
      <c r="G84" s="53">
        <f t="shared" si="20"/>
        <v>164073275.0587922</v>
      </c>
      <c r="H84" s="53">
        <f t="shared" si="20"/>
        <v>196391978.65324318</v>
      </c>
      <c r="I84" s="53">
        <f t="shared" si="20"/>
        <v>228748766.80626482</v>
      </c>
      <c r="J84" s="53">
        <f t="shared" si="20"/>
        <v>265152721.29356259</v>
      </c>
      <c r="K84" s="53">
        <f t="shared" si="20"/>
        <v>256986217.87281382</v>
      </c>
      <c r="L84" s="53">
        <f t="shared" si="20"/>
        <v>248464671.12908259</v>
      </c>
      <c r="M84" s="53">
        <f t="shared" si="20"/>
        <v>218595852.96338502</v>
      </c>
      <c r="N84" s="53">
        <f t="shared" si="20"/>
        <v>246759888.58107525</v>
      </c>
      <c r="O84" s="53">
        <f t="shared" si="20"/>
        <v>283700043.40880466</v>
      </c>
      <c r="P84" s="53">
        <f t="shared" si="20"/>
        <v>306562498.15249741</v>
      </c>
      <c r="Q84" s="53">
        <f t="shared" si="20"/>
        <v>328903209.53803992</v>
      </c>
      <c r="R84" s="53">
        <f t="shared" si="20"/>
        <v>351548315.04786897</v>
      </c>
      <c r="S84" s="53">
        <f t="shared" si="20"/>
        <v>378109443.67629462</v>
      </c>
      <c r="T84" s="53">
        <f t="shared" si="20"/>
        <v>406439815.93282342</v>
      </c>
      <c r="U84" s="53">
        <f t="shared" si="20"/>
        <v>434405138.6780653</v>
      </c>
      <c r="V84" s="53">
        <f t="shared" si="20"/>
        <v>466376310.03486913</v>
      </c>
      <c r="W84" s="53">
        <f t="shared" si="20"/>
        <v>498846619.00676334</v>
      </c>
      <c r="X84" s="53">
        <f t="shared" si="20"/>
        <v>535418499.89974791</v>
      </c>
      <c r="Y84" s="53">
        <f t="shared" si="20"/>
        <v>573720686.82469749</v>
      </c>
      <c r="Z84" s="53">
        <f t="shared" si="20"/>
        <v>613871505.92830598</v>
      </c>
      <c r="AA84" s="53">
        <f t="shared" si="20"/>
        <v>656840960.36119115</v>
      </c>
      <c r="AB84" s="53">
        <f t="shared" si="20"/>
        <v>701308862.56766033</v>
      </c>
      <c r="AC84" s="53">
        <f t="shared" si="20"/>
        <v>746046398.53025353</v>
      </c>
      <c r="AD84" s="53">
        <f t="shared" si="20"/>
        <v>791559040.70710897</v>
      </c>
    </row>
    <row r="85" spans="1:30" ht="15" thickTop="1" x14ac:dyDescent="0.35">
      <c r="A85" s="72"/>
      <c r="B85" s="72"/>
      <c r="C85" s="72"/>
      <c r="D85" s="72"/>
      <c r="E85" s="72"/>
      <c r="F85" s="72"/>
      <c r="G85" s="72"/>
      <c r="H85" s="72"/>
      <c r="I85" s="72"/>
      <c r="J85" s="72"/>
      <c r="K85" s="72"/>
      <c r="L85" s="72"/>
      <c r="M85" s="72"/>
      <c r="N85" s="72"/>
      <c r="O85" s="72"/>
      <c r="P85" s="72"/>
      <c r="Q85" s="72"/>
      <c r="R85" s="72"/>
      <c r="S85" s="72"/>
      <c r="T85" s="72"/>
      <c r="U85" s="72"/>
      <c r="V85" s="72"/>
      <c r="W85" s="72"/>
      <c r="X85" s="72"/>
      <c r="Y85" s="72"/>
      <c r="Z85" s="72"/>
      <c r="AA85" s="72"/>
      <c r="AB85" s="72"/>
      <c r="AC85" s="72"/>
      <c r="AD85" s="72"/>
    </row>
    <row r="86" spans="1:30" ht="20" thickBot="1" x14ac:dyDescent="0.5">
      <c r="A86" s="134" t="s">
        <v>150</v>
      </c>
      <c r="B86" s="134"/>
      <c r="C86" s="18">
        <f>Summary!$D$10</f>
        <v>417</v>
      </c>
      <c r="D86" s="72"/>
      <c r="E86" s="72"/>
      <c r="F86" s="72"/>
      <c r="G86" s="72"/>
      <c r="H86" s="72"/>
      <c r="I86" s="72"/>
      <c r="J86" s="72"/>
      <c r="K86" s="72"/>
      <c r="L86" s="72"/>
      <c r="M86" s="72"/>
      <c r="N86" s="72"/>
      <c r="O86" s="72"/>
      <c r="P86" s="72"/>
      <c r="Q86" s="72"/>
      <c r="R86" s="72"/>
      <c r="S86" s="72"/>
      <c r="T86" s="72"/>
      <c r="U86" s="72"/>
      <c r="V86" s="72"/>
      <c r="W86" s="72"/>
      <c r="X86" s="72"/>
      <c r="Y86" s="72"/>
      <c r="Z86" s="72"/>
      <c r="AA86" s="72"/>
      <c r="AB86" s="72"/>
      <c r="AC86" s="72"/>
      <c r="AD86" s="72"/>
    </row>
    <row r="87" spans="1:30" ht="15" thickTop="1" x14ac:dyDescent="0.35">
      <c r="A87" s="72"/>
      <c r="B87" s="72"/>
      <c r="C87" s="72"/>
      <c r="D87" s="72"/>
      <c r="E87" s="72"/>
      <c r="F87" s="72"/>
      <c r="G87" s="72"/>
      <c r="H87" s="72"/>
      <c r="I87" s="72"/>
      <c r="J87" s="72"/>
      <c r="K87" s="72"/>
      <c r="L87" s="72"/>
      <c r="M87" s="72"/>
      <c r="N87" s="72"/>
      <c r="O87" s="72"/>
      <c r="P87" s="72"/>
      <c r="Q87" s="72"/>
      <c r="R87" s="72"/>
      <c r="S87" s="72"/>
      <c r="T87" s="72"/>
      <c r="U87" s="72"/>
      <c r="V87" s="72"/>
      <c r="W87" s="72"/>
      <c r="X87" s="72"/>
      <c r="Y87" s="72"/>
      <c r="Z87" s="72"/>
      <c r="AA87" s="72"/>
      <c r="AB87" s="72"/>
      <c r="AC87" s="72"/>
      <c r="AD87" s="72"/>
    </row>
    <row r="88" spans="1:30" ht="20" thickBot="1" x14ac:dyDescent="0.5">
      <c r="A88" s="134" t="s">
        <v>7</v>
      </c>
      <c r="B88" s="134"/>
      <c r="C88" s="46">
        <f>C84/C86</f>
        <v>5.6506776737138589</v>
      </c>
      <c r="D88" s="72"/>
      <c r="E88" s="72"/>
      <c r="F88" s="72"/>
      <c r="G88" s="72"/>
      <c r="H88" s="72"/>
      <c r="I88" s="72"/>
      <c r="J88" s="72"/>
      <c r="K88" s="72"/>
      <c r="L88" s="72"/>
      <c r="M88" s="72"/>
      <c r="N88" s="72"/>
      <c r="O88" s="72"/>
      <c r="P88" s="72"/>
      <c r="Q88" s="72"/>
      <c r="R88" s="72"/>
      <c r="S88" s="72"/>
      <c r="T88" s="72"/>
      <c r="U88" s="72"/>
      <c r="V88" s="72"/>
      <c r="W88" s="72"/>
      <c r="X88" s="72"/>
      <c r="Y88" s="72"/>
      <c r="Z88" s="72"/>
      <c r="AA88" s="72"/>
      <c r="AB88" s="72"/>
      <c r="AC88" s="72"/>
      <c r="AD88" s="72"/>
    </row>
    <row r="89" spans="1:30" ht="15" thickTop="1" x14ac:dyDescent="0.35">
      <c r="A89" s="72"/>
      <c r="B89" s="72"/>
      <c r="C89" s="72"/>
      <c r="D89" s="72"/>
      <c r="E89" s="72"/>
      <c r="F89" s="72"/>
      <c r="G89" s="72"/>
      <c r="H89" s="72"/>
      <c r="I89" s="72"/>
      <c r="J89" s="72"/>
      <c r="K89" s="72"/>
      <c r="L89" s="72"/>
      <c r="M89" s="72"/>
      <c r="N89" s="72"/>
      <c r="O89" s="72"/>
      <c r="P89" s="72"/>
      <c r="Q89" s="72"/>
      <c r="R89" s="72"/>
      <c r="S89" s="72"/>
      <c r="T89" s="72"/>
      <c r="U89" s="72"/>
      <c r="V89" s="72"/>
      <c r="W89" s="72"/>
      <c r="X89" s="72"/>
      <c r="Y89" s="72"/>
      <c r="Z89" s="72"/>
      <c r="AA89" s="72"/>
      <c r="AB89" s="72"/>
      <c r="AC89" s="72"/>
      <c r="AD89" s="72"/>
    </row>
    <row r="90" spans="1:30" ht="42.65" customHeight="1" thickBot="1" x14ac:dyDescent="0.5">
      <c r="A90" s="181" t="s">
        <v>156</v>
      </c>
      <c r="B90" s="181"/>
      <c r="C90" s="72"/>
      <c r="D90" s="53">
        <v>2973.7374355479856</v>
      </c>
      <c r="E90" s="53">
        <v>3059.1176959031318</v>
      </c>
      <c r="F90" s="53">
        <v>3144.497956258278</v>
      </c>
      <c r="G90" s="53">
        <v>3229.8782166134242</v>
      </c>
      <c r="H90" s="53">
        <v>3315.2584769685704</v>
      </c>
      <c r="I90" s="53">
        <v>3400.6387373237158</v>
      </c>
      <c r="J90" s="53">
        <v>4101.6105903486778</v>
      </c>
      <c r="K90" s="53">
        <v>4802.5824433736398</v>
      </c>
      <c r="L90" s="53">
        <v>5503.5542963986018</v>
      </c>
      <c r="M90" s="53">
        <v>6204.5261494235638</v>
      </c>
      <c r="N90" s="53">
        <v>6905.4980024485249</v>
      </c>
      <c r="O90" s="53">
        <v>7680.9369744050337</v>
      </c>
      <c r="P90" s="53">
        <v>8456.3759463615424</v>
      </c>
      <c r="Q90" s="53">
        <v>9231.8149183180522</v>
      </c>
      <c r="R90" s="53">
        <v>10007.253890274562</v>
      </c>
      <c r="S90" s="53">
        <v>10782.69286223107</v>
      </c>
      <c r="T90" s="53">
        <v>11558.629999040744</v>
      </c>
      <c r="U90" s="53">
        <v>12334.567135850419</v>
      </c>
      <c r="V90" s="53">
        <v>13110.504272660093</v>
      </c>
      <c r="W90" s="53">
        <v>13886.441409469768</v>
      </c>
      <c r="X90" s="53">
        <v>14662.378546279444</v>
      </c>
      <c r="Y90" s="53">
        <v>14830.025824039756</v>
      </c>
      <c r="Z90" s="53">
        <v>14997.673101800068</v>
      </c>
      <c r="AA90" s="53">
        <v>15165.32037956038</v>
      </c>
      <c r="AB90" s="53">
        <v>15332.967657320693</v>
      </c>
      <c r="AC90" s="53">
        <v>15500.614935081005</v>
      </c>
      <c r="AD90" s="53">
        <v>15668.26221284132</v>
      </c>
    </row>
    <row r="91" spans="1:30" ht="15" thickTop="1" x14ac:dyDescent="0.35">
      <c r="A91" s="72"/>
      <c r="B91" s="72"/>
      <c r="C91" s="72"/>
      <c r="D91" s="72"/>
      <c r="E91" s="72"/>
      <c r="F91" s="72"/>
      <c r="G91" s="72"/>
      <c r="H91" s="72"/>
      <c r="I91" s="72"/>
      <c r="J91" s="72"/>
      <c r="K91" s="72"/>
      <c r="L91" s="72"/>
      <c r="M91" s="72"/>
      <c r="N91" s="72"/>
      <c r="O91" s="72"/>
      <c r="P91" s="72"/>
      <c r="Q91" s="72"/>
      <c r="R91" s="72"/>
      <c r="S91" s="72"/>
      <c r="T91" s="72"/>
      <c r="U91" s="72"/>
      <c r="V91" s="72"/>
      <c r="W91" s="72"/>
      <c r="X91" s="72"/>
      <c r="Y91" s="72"/>
      <c r="Z91" s="72"/>
      <c r="AA91" s="72"/>
      <c r="AB91" s="72"/>
      <c r="AC91" s="72"/>
      <c r="AD91" s="72"/>
    </row>
  </sheetData>
  <mergeCells count="9">
    <mergeCell ref="B18:B31"/>
    <mergeCell ref="B2:B15"/>
    <mergeCell ref="A90:B90"/>
    <mergeCell ref="B40:AD40"/>
    <mergeCell ref="A58:AD59"/>
    <mergeCell ref="A83:B83"/>
    <mergeCell ref="A86:B86"/>
    <mergeCell ref="A88:B88"/>
    <mergeCell ref="A84:B84"/>
  </mergeCells>
  <pageMargins left="0.7" right="0.7" top="0.75" bottom="0.75" header="0.3" footer="0.3"/>
  <pageSetup orientation="portrait" horizontalDpi="1200" verticalDpi="12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D91"/>
  <sheetViews>
    <sheetView zoomScale="70" zoomScaleNormal="70" workbookViewId="0"/>
  </sheetViews>
  <sheetFormatPr defaultRowHeight="14.5" x14ac:dyDescent="0.35"/>
  <cols>
    <col min="1" max="1" width="18.1796875" customWidth="1"/>
    <col min="2" max="2" width="26.7265625" bestFit="1" customWidth="1"/>
    <col min="3" max="3" width="22.81640625" customWidth="1"/>
    <col min="4" max="4" width="14" bestFit="1" customWidth="1"/>
    <col min="5" max="10" width="14.81640625" bestFit="1" customWidth="1"/>
    <col min="11" max="11" width="13" bestFit="1" customWidth="1"/>
    <col min="12" max="15" width="13.81640625" bestFit="1" customWidth="1"/>
    <col min="16" max="18" width="15.453125" bestFit="1" customWidth="1"/>
    <col min="19" max="28" width="13.81640625" bestFit="1" customWidth="1"/>
    <col min="29" max="30" width="14" bestFit="1" customWidth="1"/>
  </cols>
  <sheetData>
    <row r="1" spans="1:30" ht="20" thickBot="1" x14ac:dyDescent="0.5">
      <c r="A1" s="113"/>
      <c r="B1" s="122"/>
      <c r="C1" s="113" t="s">
        <v>105</v>
      </c>
      <c r="D1" s="113">
        <v>2022</v>
      </c>
      <c r="E1" s="113">
        <v>2023</v>
      </c>
      <c r="F1" s="113">
        <v>2024</v>
      </c>
      <c r="G1" s="113">
        <v>2025</v>
      </c>
      <c r="H1" s="113">
        <v>2026</v>
      </c>
      <c r="I1" s="113">
        <v>2027</v>
      </c>
      <c r="J1" s="113">
        <v>2028</v>
      </c>
      <c r="K1" s="113">
        <v>2029</v>
      </c>
      <c r="L1" s="113">
        <v>2030</v>
      </c>
      <c r="M1" s="113">
        <v>2031</v>
      </c>
      <c r="N1" s="113">
        <v>2032</v>
      </c>
      <c r="O1" s="113">
        <v>2033</v>
      </c>
      <c r="P1" s="113">
        <v>2034</v>
      </c>
      <c r="Q1" s="113">
        <v>2035</v>
      </c>
      <c r="R1" s="113">
        <v>2036</v>
      </c>
      <c r="S1" s="113">
        <v>2037</v>
      </c>
      <c r="T1" s="113">
        <v>2038</v>
      </c>
      <c r="U1" s="113">
        <v>2039</v>
      </c>
      <c r="V1" s="113">
        <v>2040</v>
      </c>
      <c r="W1" s="113">
        <v>2041</v>
      </c>
      <c r="X1" s="113">
        <v>2042</v>
      </c>
      <c r="Y1" s="113">
        <v>2043</v>
      </c>
      <c r="Z1" s="113">
        <v>2044</v>
      </c>
      <c r="AA1" s="113">
        <v>2045</v>
      </c>
      <c r="AB1" s="113">
        <v>2046</v>
      </c>
      <c r="AC1" s="113">
        <v>2047</v>
      </c>
      <c r="AD1" s="113">
        <v>2048</v>
      </c>
    </row>
    <row r="2" spans="1:30" ht="15" thickTop="1" x14ac:dyDescent="0.35">
      <c r="A2" s="72"/>
      <c r="B2" s="179" t="s">
        <v>26</v>
      </c>
      <c r="C2" s="72" t="s">
        <v>107</v>
      </c>
      <c r="D2" s="53">
        <f>'Baseline System Analysis'!D2</f>
        <v>49666.999999999534</v>
      </c>
      <c r="E2" s="53">
        <f>'Baseline System Analysis'!E2</f>
        <v>50103.790384614935</v>
      </c>
      <c r="F2" s="53">
        <f>'Baseline System Analysis'!F2</f>
        <v>50540.580769230335</v>
      </c>
      <c r="G2" s="53">
        <f>'Baseline System Analysis'!G2</f>
        <v>50977.371153845736</v>
      </c>
      <c r="H2" s="53">
        <f>'Baseline System Analysis'!H2</f>
        <v>51414.161538461136</v>
      </c>
      <c r="I2" s="53">
        <f>'Baseline System Analysis'!I2</f>
        <v>51850.951923076536</v>
      </c>
      <c r="J2" s="53">
        <f>'Baseline System Analysis'!J2</f>
        <v>52287.742307691937</v>
      </c>
      <c r="K2" s="53">
        <f>'Baseline System Analysis'!K2</f>
        <v>51698.184615384183</v>
      </c>
      <c r="L2" s="53">
        <f>'Baseline System Analysis'!L2</f>
        <v>51988.353846153419</v>
      </c>
      <c r="M2" s="53">
        <f>'Baseline System Analysis'!M2</f>
        <v>52278.523076922655</v>
      </c>
      <c r="N2" s="53">
        <f>'Baseline System Analysis'!N2</f>
        <v>52568.69230769189</v>
      </c>
      <c r="O2" s="53">
        <f>'Baseline System Analysis'!O2</f>
        <v>52858.861538461126</v>
      </c>
      <c r="P2" s="53">
        <f>'Baseline System Analysis'!P2</f>
        <v>53149.030769230361</v>
      </c>
      <c r="Q2" s="53">
        <f>'Baseline System Analysis'!Q2</f>
        <v>53439.199999999597</v>
      </c>
      <c r="R2" s="53">
        <f>'Baseline System Analysis'!R2</f>
        <v>53729.369230768832</v>
      </c>
      <c r="S2" s="53">
        <f>'Baseline System Analysis'!S2</f>
        <v>54019.538461538068</v>
      </c>
      <c r="T2" s="53">
        <f>'Baseline System Analysis'!T2</f>
        <v>54309.707692307304</v>
      </c>
      <c r="U2" s="53">
        <f>'Baseline System Analysis'!U2</f>
        <v>54599.876923076539</v>
      </c>
      <c r="V2" s="53">
        <f>'Baseline System Analysis'!V2</f>
        <v>54890.046153845775</v>
      </c>
      <c r="W2" s="53">
        <f>'Baseline System Analysis'!W2</f>
        <v>55180.21538461501</v>
      </c>
      <c r="X2" s="53">
        <f>'Baseline System Analysis'!X2</f>
        <v>55470.384615384246</v>
      </c>
      <c r="Y2" s="53">
        <f>'Baseline System Analysis'!Y2</f>
        <v>55760.553846153482</v>
      </c>
      <c r="Z2" s="53">
        <f>'Baseline System Analysis'!Z2</f>
        <v>56050.723076922717</v>
      </c>
      <c r="AA2" s="53">
        <f>'Baseline System Analysis'!AA2</f>
        <v>56340.892307691953</v>
      </c>
      <c r="AB2" s="53">
        <f>'Baseline System Analysis'!AB2</f>
        <v>56631.061538461188</v>
      </c>
      <c r="AC2" s="53">
        <f>'Baseline System Analysis'!AC2</f>
        <v>56921.230769230424</v>
      </c>
      <c r="AD2" s="53">
        <f>'Baseline System Analysis'!AD2</f>
        <v>57211.399999999638</v>
      </c>
    </row>
    <row r="3" spans="1:30" x14ac:dyDescent="0.35">
      <c r="A3" s="72" t="s">
        <v>30</v>
      </c>
      <c r="B3" s="180"/>
      <c r="C3" s="72" t="s">
        <v>31</v>
      </c>
      <c r="D3" s="53">
        <f>'Baseline System Analysis'!D3</f>
        <v>10</v>
      </c>
      <c r="E3" s="53">
        <f>'Baseline System Analysis'!E3</f>
        <v>20.5</v>
      </c>
      <c r="F3" s="53">
        <f>'Baseline System Analysis'!F3</f>
        <v>29.879999999999995</v>
      </c>
      <c r="G3" s="53">
        <f>'Baseline System Analysis'!G3</f>
        <v>39.259999999999991</v>
      </c>
      <c r="H3" s="53">
        <f>'Baseline System Analysis'!H3</f>
        <v>48.639999999999986</v>
      </c>
      <c r="I3" s="53">
        <f>'Baseline System Analysis'!I3</f>
        <v>58.019999999999982</v>
      </c>
      <c r="J3" s="53">
        <f>'Baseline System Analysis'!J3</f>
        <v>67.399999999999977</v>
      </c>
      <c r="K3" s="53">
        <f>'Baseline System Analysis'!K3</f>
        <v>57.599999999999966</v>
      </c>
      <c r="L3" s="53">
        <f>'Baseline System Analysis'!L3</f>
        <v>49.800000000000011</v>
      </c>
      <c r="M3" s="53">
        <f>'Baseline System Analysis'!M3</f>
        <v>41.5</v>
      </c>
      <c r="N3" s="53">
        <f>'Baseline System Analysis'!N3</f>
        <v>53.700000000000017</v>
      </c>
      <c r="O3" s="53">
        <f>'Baseline System Analysis'!O3</f>
        <v>75.066666666666691</v>
      </c>
      <c r="P3" s="53">
        <f>'Baseline System Analysis'!P3</f>
        <v>96.433333333333366</v>
      </c>
      <c r="Q3" s="53">
        <f>'Baseline System Analysis'!Q3</f>
        <v>117.80000000000004</v>
      </c>
      <c r="R3" s="53">
        <f>'Baseline System Analysis'!R3</f>
        <v>139.16666666666671</v>
      </c>
      <c r="S3" s="53">
        <f>'Baseline System Analysis'!S3</f>
        <v>160.53333333333339</v>
      </c>
      <c r="T3" s="53">
        <f>'Baseline System Analysis'!T3</f>
        <v>181.90000000000003</v>
      </c>
      <c r="U3" s="53">
        <f>'Baseline System Analysis'!U3</f>
        <v>244.23000000000002</v>
      </c>
      <c r="V3" s="53">
        <f>'Baseline System Analysis'!V3</f>
        <v>306.56</v>
      </c>
      <c r="W3" s="53">
        <f>'Baseline System Analysis'!W3</f>
        <v>368.89</v>
      </c>
      <c r="X3" s="53">
        <f>'Baseline System Analysis'!X3</f>
        <v>431.21999999999997</v>
      </c>
      <c r="Y3" s="53">
        <f>'Baseline System Analysis'!Y3</f>
        <v>453.7000000000001</v>
      </c>
      <c r="Z3" s="53">
        <f>'Baseline System Analysis'!Z3</f>
        <v>524.00000000000011</v>
      </c>
      <c r="AA3" s="53">
        <f>'Baseline System Analysis'!AA3</f>
        <v>594.30000000000007</v>
      </c>
      <c r="AB3" s="53">
        <f>'Baseline System Analysis'!AB3</f>
        <v>664.6</v>
      </c>
      <c r="AC3" s="53">
        <f>'Baseline System Analysis'!AC3</f>
        <v>734.9</v>
      </c>
      <c r="AD3" s="53">
        <f>'Baseline System Analysis'!AD3</f>
        <v>805.2</v>
      </c>
    </row>
    <row r="4" spans="1:30" x14ac:dyDescent="0.35">
      <c r="A4" s="72" t="s">
        <v>30</v>
      </c>
      <c r="B4" s="180"/>
      <c r="C4" s="72" t="s">
        <v>32</v>
      </c>
      <c r="D4" s="53">
        <f>'Baseline System Analysis'!D4</f>
        <v>2</v>
      </c>
      <c r="E4" s="53">
        <f>'Baseline System Analysis'!E4</f>
        <v>3</v>
      </c>
      <c r="F4" s="53">
        <f>'Baseline System Analysis'!F4</f>
        <v>4.6799999999999953</v>
      </c>
      <c r="G4" s="53">
        <f>'Baseline System Analysis'!G4</f>
        <v>6.3599999999999905</v>
      </c>
      <c r="H4" s="53">
        <f>'Baseline System Analysis'!H4</f>
        <v>8.0399999999999867</v>
      </c>
      <c r="I4" s="53">
        <f>'Baseline System Analysis'!I4</f>
        <v>9.7199999999999829</v>
      </c>
      <c r="J4" s="53">
        <f>'Baseline System Analysis'!J4</f>
        <v>11.399999999999977</v>
      </c>
      <c r="K4" s="53">
        <f>'Baseline System Analysis'!K4</f>
        <v>10.199999999999989</v>
      </c>
      <c r="L4" s="53">
        <f>'Baseline System Analysis'!L4</f>
        <v>8.5999999999999943</v>
      </c>
      <c r="M4" s="53">
        <f>'Baseline System Analysis'!M4</f>
        <v>6.8000000000000114</v>
      </c>
      <c r="N4" s="53">
        <f>'Baseline System Analysis'!N4</f>
        <v>9.6000000000000227</v>
      </c>
      <c r="O4" s="53">
        <f>'Baseline System Analysis'!O4</f>
        <v>11.333333333333352</v>
      </c>
      <c r="P4" s="53">
        <f>'Baseline System Analysis'!P4</f>
        <v>13.066666666666681</v>
      </c>
      <c r="Q4" s="53">
        <f>'Baseline System Analysis'!Q4</f>
        <v>14.80000000000001</v>
      </c>
      <c r="R4" s="53">
        <f>'Baseline System Analysis'!R4</f>
        <v>16.533333333333339</v>
      </c>
      <c r="S4" s="53">
        <f>'Baseline System Analysis'!S4</f>
        <v>18.266666666666669</v>
      </c>
      <c r="T4" s="53">
        <f>'Baseline System Analysis'!T4</f>
        <v>20</v>
      </c>
      <c r="U4" s="53">
        <f>'Baseline System Analysis'!U4</f>
        <v>21.860000000000003</v>
      </c>
      <c r="V4" s="53">
        <f>'Baseline System Analysis'!V4</f>
        <v>23.720000000000006</v>
      </c>
      <c r="W4" s="53">
        <f>'Baseline System Analysis'!W4</f>
        <v>25.580000000000009</v>
      </c>
      <c r="X4" s="53">
        <f>'Baseline System Analysis'!X4</f>
        <v>27.440000000000012</v>
      </c>
      <c r="Y4" s="53">
        <f>'Baseline System Analysis'!Y4</f>
        <v>29.300000000000011</v>
      </c>
      <c r="Z4" s="53">
        <f>'Baseline System Analysis'!Z4</f>
        <v>30.480000000000008</v>
      </c>
      <c r="AA4" s="53">
        <f>'Baseline System Analysis'!AA4</f>
        <v>31.660000000000004</v>
      </c>
      <c r="AB4" s="53">
        <f>'Baseline System Analysis'!AB4</f>
        <v>32.839999999999996</v>
      </c>
      <c r="AC4" s="53">
        <f>'Baseline System Analysis'!AC4</f>
        <v>34.019999999999989</v>
      </c>
      <c r="AD4" s="53">
        <f>'Baseline System Analysis'!AD4</f>
        <v>35.199999999999989</v>
      </c>
    </row>
    <row r="5" spans="1:30" x14ac:dyDescent="0.35">
      <c r="A5" s="72" t="s">
        <v>30</v>
      </c>
      <c r="B5" s="180"/>
      <c r="C5" s="72" t="s">
        <v>33</v>
      </c>
      <c r="D5" s="53">
        <f>'Baseline System Analysis'!D5</f>
        <v>8.4812112193331513E-2</v>
      </c>
      <c r="E5" s="53">
        <f>'Baseline System Analysis'!E5</f>
        <v>0.24283371212350299</v>
      </c>
      <c r="F5" s="53">
        <f>'Baseline System Analysis'!F5</f>
        <v>0.34046276046663143</v>
      </c>
      <c r="G5" s="53">
        <f>'Baseline System Analysis'!G5</f>
        <v>0.43809180880975984</v>
      </c>
      <c r="H5" s="53">
        <f>'Baseline System Analysis'!H5</f>
        <v>0.53572085715288831</v>
      </c>
      <c r="I5" s="53">
        <f>'Baseline System Analysis'!I5</f>
        <v>0.63334990549601677</v>
      </c>
      <c r="J5" s="53">
        <f>'Baseline System Analysis'!J5</f>
        <v>0.73097895383914513</v>
      </c>
      <c r="K5" s="53">
        <f>'Baseline System Analysis'!K5</f>
        <v>0.61764830497225676</v>
      </c>
      <c r="L5" s="53">
        <f>'Baseline System Analysis'!L5</f>
        <v>0.52957812632109091</v>
      </c>
      <c r="M5" s="53">
        <f>'Baseline System Analysis'!M5</f>
        <v>0.48185121670948772</v>
      </c>
      <c r="N5" s="53">
        <f>'Baseline System Analysis'!N5</f>
        <v>0.56680711827214547</v>
      </c>
      <c r="O5" s="53">
        <f>'Baseline System Analysis'!O5</f>
        <v>0.96980348799493798</v>
      </c>
      <c r="P5" s="53">
        <f>'Baseline System Analysis'!P5</f>
        <v>1.3727998577177305</v>
      </c>
      <c r="Q5" s="53">
        <f>'Baseline System Analysis'!Q5</f>
        <v>1.775796227440523</v>
      </c>
      <c r="R5" s="53">
        <f>'Baseline System Analysis'!R5</f>
        <v>2.1787925971633153</v>
      </c>
      <c r="S5" s="53">
        <f>'Baseline System Analysis'!S5</f>
        <v>2.5817889668861076</v>
      </c>
      <c r="T5" s="53">
        <f>'Baseline System Analysis'!T5</f>
        <v>2.9847853366089003</v>
      </c>
      <c r="U5" s="53">
        <f>'Baseline System Analysis'!U5</f>
        <v>21.070525908414965</v>
      </c>
      <c r="V5" s="53">
        <f>'Baseline System Analysis'!V5</f>
        <v>39.156266480221028</v>
      </c>
      <c r="W5" s="53">
        <f>'Baseline System Analysis'!W5</f>
        <v>57.242007052027091</v>
      </c>
      <c r="X5" s="53">
        <f>'Baseline System Analysis'!X5</f>
        <v>75.327747623833147</v>
      </c>
      <c r="Y5" s="53">
        <f>'Baseline System Analysis'!Y5</f>
        <v>93.413488195639218</v>
      </c>
      <c r="Z5" s="53">
        <f>'Baseline System Analysis'!Z5</f>
        <v>81.062212021092932</v>
      </c>
      <c r="AA5" s="53">
        <f>'Baseline System Analysis'!AA5</f>
        <v>68.710935846546647</v>
      </c>
      <c r="AB5" s="53">
        <f>'Baseline System Analysis'!AB5</f>
        <v>56.359659672000362</v>
      </c>
      <c r="AC5" s="53">
        <f>'Baseline System Analysis'!AC5</f>
        <v>44.008383497454076</v>
      </c>
      <c r="AD5" s="53">
        <f>'Baseline System Analysis'!AD5</f>
        <v>31.657107322907791</v>
      </c>
    </row>
    <row r="6" spans="1:30" x14ac:dyDescent="0.35">
      <c r="A6" s="72" t="s">
        <v>30</v>
      </c>
      <c r="B6" s="180"/>
      <c r="C6" s="72" t="s">
        <v>34</v>
      </c>
      <c r="D6" s="53">
        <f>'Baseline System Analysis'!D6</f>
        <v>6.0580080138093939E-3</v>
      </c>
      <c r="E6" s="53">
        <f>'Baseline System Analysis'!E6</f>
        <v>1.7771756236396739E-2</v>
      </c>
      <c r="F6" s="53">
        <f>'Baseline System Analysis'!F6</f>
        <v>2.504677784712513E-2</v>
      </c>
      <c r="G6" s="53">
        <f>'Baseline System Analysis'!G6</f>
        <v>3.2321799457853517E-2</v>
      </c>
      <c r="H6" s="53">
        <f>'Baseline System Analysis'!H6</f>
        <v>3.9596821068581908E-2</v>
      </c>
      <c r="I6" s="53">
        <f>'Baseline System Analysis'!I6</f>
        <v>4.6871842679310299E-2</v>
      </c>
      <c r="J6" s="53">
        <f>'Baseline System Analysis'!J6</f>
        <v>5.414686429003869E-2</v>
      </c>
      <c r="K6" s="53">
        <f>'Baseline System Analysis'!K6</f>
        <v>4.57170533491131E-2</v>
      </c>
      <c r="L6" s="53">
        <f>'Baseline System Analysis'!L6</f>
        <v>3.8991796004088156E-2</v>
      </c>
      <c r="M6" s="53">
        <f>'Baseline System Analysis'!M6</f>
        <v>3.1792887361975948E-2</v>
      </c>
      <c r="N6" s="53">
        <f>'Baseline System Analysis'!N6</f>
        <v>4.2212624824281168E-2</v>
      </c>
      <c r="O6" s="53">
        <f>'Baseline System Analysis'!O6</f>
        <v>5.9766414638595444E-2</v>
      </c>
      <c r="P6" s="53">
        <f>'Baseline System Analysis'!P6</f>
        <v>7.7320204452909727E-2</v>
      </c>
      <c r="Q6" s="53">
        <f>'Baseline System Analysis'!Q6</f>
        <v>9.487399426722401E-2</v>
      </c>
      <c r="R6" s="53">
        <f>'Baseline System Analysis'!R6</f>
        <v>0.11242778408153829</v>
      </c>
      <c r="S6" s="53">
        <f>'Baseline System Analysis'!S6</f>
        <v>0.12998157389585258</v>
      </c>
      <c r="T6" s="53">
        <f>'Baseline System Analysis'!T6</f>
        <v>0.14753536371016684</v>
      </c>
      <c r="U6" s="53">
        <f>'Baseline System Analysis'!U6</f>
        <v>0.40051087482777559</v>
      </c>
      <c r="V6" s="53">
        <f>'Baseline System Analysis'!V6</f>
        <v>0.65348638594538433</v>
      </c>
      <c r="W6" s="53">
        <f>'Baseline System Analysis'!W6</f>
        <v>0.90646189706299307</v>
      </c>
      <c r="X6" s="53">
        <f>'Baseline System Analysis'!X6</f>
        <v>1.1594374081806018</v>
      </c>
      <c r="Y6" s="53">
        <f>'Baseline System Analysis'!Y6</f>
        <v>1.4124129192982104</v>
      </c>
      <c r="Z6" s="53">
        <f>'Baseline System Analysis'!Z6</f>
        <v>1.2710233198999881</v>
      </c>
      <c r="AA6" s="53">
        <f>'Baseline System Analysis'!AA6</f>
        <v>1.1296337205017657</v>
      </c>
      <c r="AB6" s="53">
        <f>'Baseline System Analysis'!AB6</f>
        <v>0.98824412110354332</v>
      </c>
      <c r="AC6" s="53">
        <f>'Baseline System Analysis'!AC6</f>
        <v>0.84685452170532094</v>
      </c>
      <c r="AD6" s="53">
        <f>'Baseline System Analysis'!AD6</f>
        <v>0.70546492230709823</v>
      </c>
    </row>
    <row r="7" spans="1:30" x14ac:dyDescent="0.35">
      <c r="A7" s="72" t="s">
        <v>30</v>
      </c>
      <c r="B7" s="180"/>
      <c r="C7" s="72" t="s">
        <v>35</v>
      </c>
      <c r="D7" s="53">
        <f>'Baseline System Analysis'!D7</f>
        <v>14</v>
      </c>
      <c r="E7" s="53">
        <f>'Baseline System Analysis'!E7</f>
        <v>21</v>
      </c>
      <c r="F7" s="53">
        <f>'Baseline System Analysis'!F7</f>
        <v>23.2</v>
      </c>
      <c r="G7" s="53">
        <f>'Baseline System Analysis'!G7</f>
        <v>25.4</v>
      </c>
      <c r="H7" s="53">
        <f>'Baseline System Analysis'!H7</f>
        <v>27.599999999999998</v>
      </c>
      <c r="I7" s="53">
        <f>'Baseline System Analysis'!I7</f>
        <v>29.799999999999997</v>
      </c>
      <c r="J7" s="53">
        <f>'Baseline System Analysis'!J7</f>
        <v>32</v>
      </c>
      <c r="K7" s="53">
        <f>'Baseline System Analysis'!K7</f>
        <v>30</v>
      </c>
      <c r="L7" s="53">
        <f>'Baseline System Analysis'!L7</f>
        <v>29</v>
      </c>
      <c r="M7" s="53">
        <f>'Baseline System Analysis'!M7</f>
        <v>29</v>
      </c>
      <c r="N7" s="53">
        <f>'Baseline System Analysis'!N7</f>
        <v>29</v>
      </c>
      <c r="O7" s="53">
        <f>'Baseline System Analysis'!O7</f>
        <v>32.666666666666664</v>
      </c>
      <c r="P7" s="53">
        <f>'Baseline System Analysis'!P7</f>
        <v>36.333333333333329</v>
      </c>
      <c r="Q7" s="53">
        <f>'Baseline System Analysis'!Q7</f>
        <v>39.999999999999993</v>
      </c>
      <c r="R7" s="53">
        <f>'Baseline System Analysis'!R7</f>
        <v>43.666666666666657</v>
      </c>
      <c r="S7" s="53">
        <f>'Baseline System Analysis'!S7</f>
        <v>47.333333333333321</v>
      </c>
      <c r="T7" s="53">
        <f>'Baseline System Analysis'!T7</f>
        <v>51</v>
      </c>
      <c r="U7" s="53">
        <f>'Baseline System Analysis'!U7</f>
        <v>56.6</v>
      </c>
      <c r="V7" s="53">
        <f>'Baseline System Analysis'!V7</f>
        <v>62.2</v>
      </c>
      <c r="W7" s="53">
        <f>'Baseline System Analysis'!W7</f>
        <v>67.8</v>
      </c>
      <c r="X7" s="53">
        <f>'Baseline System Analysis'!X7</f>
        <v>73.399999999999991</v>
      </c>
      <c r="Y7" s="53">
        <f>'Baseline System Analysis'!Y7</f>
        <v>79</v>
      </c>
      <c r="Z7" s="53">
        <f>'Baseline System Analysis'!Z7</f>
        <v>82</v>
      </c>
      <c r="AA7" s="53">
        <f>'Baseline System Analysis'!AA7</f>
        <v>85</v>
      </c>
      <c r="AB7" s="53">
        <f>'Baseline System Analysis'!AB7</f>
        <v>88</v>
      </c>
      <c r="AC7" s="53">
        <f>'Baseline System Analysis'!AC7</f>
        <v>91</v>
      </c>
      <c r="AD7" s="53">
        <f>'Baseline System Analysis'!AD7</f>
        <v>94</v>
      </c>
    </row>
    <row r="8" spans="1:30" x14ac:dyDescent="0.35">
      <c r="A8" s="72" t="s">
        <v>39</v>
      </c>
      <c r="B8" s="180"/>
      <c r="C8" s="72" t="s">
        <v>31</v>
      </c>
      <c r="D8" s="53">
        <f>'Baseline System Analysis'!D8</f>
        <v>22.2</v>
      </c>
      <c r="E8" s="53">
        <f>'Baseline System Analysis'!E8</f>
        <v>65.8</v>
      </c>
      <c r="F8" s="53">
        <f>'Baseline System Analysis'!F8</f>
        <v>102.72</v>
      </c>
      <c r="G8" s="53">
        <f>'Baseline System Analysis'!G8</f>
        <v>139.63999999999999</v>
      </c>
      <c r="H8" s="53">
        <f>'Baseline System Analysis'!H8</f>
        <v>176.56</v>
      </c>
      <c r="I8" s="53">
        <f>'Baseline System Analysis'!I8</f>
        <v>213.48000000000002</v>
      </c>
      <c r="J8" s="53">
        <f>'Baseline System Analysis'!J8</f>
        <v>250.4</v>
      </c>
      <c r="K8" s="53">
        <f>'Baseline System Analysis'!K8</f>
        <v>216.60000000000014</v>
      </c>
      <c r="L8" s="53">
        <f>'Baseline System Analysis'!L8</f>
        <v>182.59999999999991</v>
      </c>
      <c r="M8" s="53">
        <f>'Baseline System Analysis'!M8</f>
        <v>151.20000000000005</v>
      </c>
      <c r="N8" s="53">
        <f>'Baseline System Analysis'!N8</f>
        <v>202.60000000000014</v>
      </c>
      <c r="O8" s="53">
        <f>'Baseline System Analysis'!O8</f>
        <v>292.1666666666668</v>
      </c>
      <c r="P8" s="53">
        <f>'Baseline System Analysis'!P8</f>
        <v>381.73333333333346</v>
      </c>
      <c r="Q8" s="53">
        <f>'Baseline System Analysis'!Q8</f>
        <v>471.30000000000013</v>
      </c>
      <c r="R8" s="53">
        <f>'Baseline System Analysis'!R8</f>
        <v>560.86666666666679</v>
      </c>
      <c r="S8" s="53">
        <f>'Baseline System Analysis'!S8</f>
        <v>650.43333333333339</v>
      </c>
      <c r="T8" s="53">
        <f>'Baseline System Analysis'!T8</f>
        <v>740</v>
      </c>
      <c r="U8" s="53">
        <f>'Baseline System Analysis'!U8</f>
        <v>930.87999999999988</v>
      </c>
      <c r="V8" s="53">
        <f>'Baseline System Analysis'!V8</f>
        <v>1121.7599999999998</v>
      </c>
      <c r="W8" s="53">
        <f>'Baseline System Analysis'!W8</f>
        <v>1312.6399999999996</v>
      </c>
      <c r="X8" s="53">
        <f>'Baseline System Analysis'!X8</f>
        <v>1503.5199999999995</v>
      </c>
      <c r="Y8" s="53">
        <f>'Baseline System Analysis'!Y8</f>
        <v>1694.3999999999994</v>
      </c>
      <c r="Z8" s="53">
        <f>'Baseline System Analysis'!Z8</f>
        <v>1887.3999999999994</v>
      </c>
      <c r="AA8" s="53">
        <f>'Baseline System Analysis'!AA8</f>
        <v>2080.3999999999996</v>
      </c>
      <c r="AB8" s="53">
        <f>'Baseline System Analysis'!AB8</f>
        <v>2273.3999999999996</v>
      </c>
      <c r="AC8" s="53">
        <f>'Baseline System Analysis'!AC8</f>
        <v>2466.3999999999996</v>
      </c>
      <c r="AD8" s="53">
        <f>'Baseline System Analysis'!AD8</f>
        <v>2659.3999999999996</v>
      </c>
    </row>
    <row r="9" spans="1:30" x14ac:dyDescent="0.35">
      <c r="A9" s="72" t="s">
        <v>39</v>
      </c>
      <c r="B9" s="180"/>
      <c r="C9" s="72" t="s">
        <v>32</v>
      </c>
      <c r="D9" s="53">
        <f>'Baseline System Analysis'!D9</f>
        <v>13</v>
      </c>
      <c r="E9" s="53">
        <f>'Baseline System Analysis'!E9</f>
        <v>27</v>
      </c>
      <c r="F9" s="53">
        <f>'Baseline System Analysis'!F9</f>
        <v>34.519999999999982</v>
      </c>
      <c r="G9" s="53">
        <f>'Baseline System Analysis'!G9</f>
        <v>42.039999999999964</v>
      </c>
      <c r="H9" s="53">
        <f>'Baseline System Analysis'!H9</f>
        <v>49.559999999999945</v>
      </c>
      <c r="I9" s="53">
        <f>'Baseline System Analysis'!I9</f>
        <v>57.079999999999927</v>
      </c>
      <c r="J9" s="53">
        <f>'Baseline System Analysis'!J9</f>
        <v>64.599999999999909</v>
      </c>
      <c r="K9" s="53">
        <f>'Baseline System Analysis'!K9</f>
        <v>59.799999999999955</v>
      </c>
      <c r="L9" s="53">
        <f>'Baseline System Analysis'!L9</f>
        <v>52.799999999999955</v>
      </c>
      <c r="M9" s="53">
        <f>'Baseline System Analysis'!M9</f>
        <v>46</v>
      </c>
      <c r="N9" s="53">
        <f>'Baseline System Analysis'!N9</f>
        <v>57.400000000000091</v>
      </c>
      <c r="O9" s="53">
        <f>'Baseline System Analysis'!O9</f>
        <v>67.333333333333414</v>
      </c>
      <c r="P9" s="53">
        <f>'Baseline System Analysis'!P9</f>
        <v>77.266666666666737</v>
      </c>
      <c r="Q9" s="53">
        <f>'Baseline System Analysis'!Q9</f>
        <v>87.20000000000006</v>
      </c>
      <c r="R9" s="53">
        <f>'Baseline System Analysis'!R9</f>
        <v>97.133333333333383</v>
      </c>
      <c r="S9" s="53">
        <f>'Baseline System Analysis'!S9</f>
        <v>107.06666666666671</v>
      </c>
      <c r="T9" s="53">
        <f>'Baseline System Analysis'!T9</f>
        <v>117</v>
      </c>
      <c r="U9" s="53">
        <f>'Baseline System Analysis'!U9</f>
        <v>126.6</v>
      </c>
      <c r="V9" s="53">
        <f>'Baseline System Analysis'!V9</f>
        <v>136.19999999999999</v>
      </c>
      <c r="W9" s="53">
        <f>'Baseline System Analysis'!W9</f>
        <v>145.79999999999998</v>
      </c>
      <c r="X9" s="53">
        <f>'Baseline System Analysis'!X9</f>
        <v>155.39999999999998</v>
      </c>
      <c r="Y9" s="53">
        <f>'Baseline System Analysis'!Y9</f>
        <v>165</v>
      </c>
      <c r="Z9" s="53">
        <f>'Baseline System Analysis'!Z9</f>
        <v>171.84</v>
      </c>
      <c r="AA9" s="53">
        <f>'Baseline System Analysis'!AA9</f>
        <v>178.68</v>
      </c>
      <c r="AB9" s="53">
        <f>'Baseline System Analysis'!AB9</f>
        <v>185.52</v>
      </c>
      <c r="AC9" s="53">
        <f>'Baseline System Analysis'!AC9</f>
        <v>192.36</v>
      </c>
      <c r="AD9" s="53">
        <f>'Baseline System Analysis'!AD9</f>
        <v>199.20000000000005</v>
      </c>
    </row>
    <row r="10" spans="1:30" x14ac:dyDescent="0.35">
      <c r="A10" s="72" t="s">
        <v>39</v>
      </c>
      <c r="B10" s="180"/>
      <c r="C10" s="72" t="s">
        <v>33</v>
      </c>
      <c r="D10" s="53">
        <f>'Baseline System Analysis'!D10</f>
        <v>4.7253529883901121E-2</v>
      </c>
      <c r="E10" s="53">
        <f>'Baseline System Analysis'!E10</f>
        <v>0.28011551949195379</v>
      </c>
      <c r="F10" s="53">
        <f>'Baseline System Analysis'!F10</f>
        <v>0.59718244793816533</v>
      </c>
      <c r="G10" s="53">
        <f>'Baseline System Analysis'!G10</f>
        <v>0.91424937638437687</v>
      </c>
      <c r="H10" s="53">
        <f>'Baseline System Analysis'!H10</f>
        <v>1.2313163048305884</v>
      </c>
      <c r="I10" s="53">
        <f>'Baseline System Analysis'!I10</f>
        <v>1.5483832332767999</v>
      </c>
      <c r="J10" s="53">
        <f>'Baseline System Analysis'!J10</f>
        <v>1.8654501617230115</v>
      </c>
      <c r="K10" s="53">
        <f>'Baseline System Analysis'!K10</f>
        <v>1.6136441894137561</v>
      </c>
      <c r="L10" s="53">
        <f>'Baseline System Analysis'!L10</f>
        <v>1.1660127779459895</v>
      </c>
      <c r="M10" s="53">
        <f>'Baseline System Analysis'!M10</f>
        <v>0.80458713045561225</v>
      </c>
      <c r="N10" s="53">
        <f>'Baseline System Analysis'!N10</f>
        <v>0.56680711827214547</v>
      </c>
      <c r="O10" s="53">
        <f>'Baseline System Analysis'!O10</f>
        <v>3.0445179689462347</v>
      </c>
      <c r="P10" s="53">
        <f>'Baseline System Analysis'!P10</f>
        <v>4.5886299372095039</v>
      </c>
      <c r="Q10" s="53">
        <f>'Baseline System Analysis'!Q10</f>
        <v>6.1327419054727734</v>
      </c>
      <c r="R10" s="53">
        <f>'Baseline System Analysis'!R10</f>
        <v>7.676853873736043</v>
      </c>
      <c r="S10" s="53">
        <f>'Baseline System Analysis'!S10</f>
        <v>9.2209658419993126</v>
      </c>
      <c r="T10" s="53">
        <f>'Baseline System Analysis'!T10</f>
        <v>10.765077810262582</v>
      </c>
      <c r="U10" s="53">
        <f>'Baseline System Analysis'!U10</f>
        <v>11.285969377257926</v>
      </c>
      <c r="V10" s="53">
        <f>'Baseline System Analysis'!V10</f>
        <v>11.80686094425327</v>
      </c>
      <c r="W10" s="53">
        <f>'Baseline System Analysis'!W10</f>
        <v>12.327752511248613</v>
      </c>
      <c r="X10" s="53">
        <f>'Baseline System Analysis'!X10</f>
        <v>12.848644078243957</v>
      </c>
      <c r="Y10" s="53">
        <f>'Baseline System Analysis'!Y10</f>
        <v>13.369535645239303</v>
      </c>
      <c r="Z10" s="53">
        <f>'Baseline System Analysis'!Z10</f>
        <v>31.024884631077057</v>
      </c>
      <c r="AA10" s="53">
        <f>'Baseline System Analysis'!AA10</f>
        <v>48.680233616914812</v>
      </c>
      <c r="AB10" s="53">
        <f>'Baseline System Analysis'!AB10</f>
        <v>66.335582602752567</v>
      </c>
      <c r="AC10" s="53">
        <f>'Baseline System Analysis'!AC10</f>
        <v>83.990931588590314</v>
      </c>
      <c r="AD10" s="53">
        <f>'Baseline System Analysis'!AD10</f>
        <v>101.64628057442808</v>
      </c>
    </row>
    <row r="11" spans="1:30" x14ac:dyDescent="0.35">
      <c r="A11" s="72" t="s">
        <v>39</v>
      </c>
      <c r="B11" s="180"/>
      <c r="C11" s="72" t="s">
        <v>34</v>
      </c>
      <c r="D11" s="53">
        <f>'Baseline System Analysis'!D11</f>
        <v>2.3626764941950561E-2</v>
      </c>
      <c r="E11" s="53">
        <f>'Baseline System Analysis'!E11</f>
        <v>7.0028879872988448E-2</v>
      </c>
      <c r="F11" s="53">
        <f>'Baseline System Analysis'!F11</f>
        <v>0.10932167994761965</v>
      </c>
      <c r="G11" s="53">
        <f>'Baseline System Analysis'!G11</f>
        <v>0.14861448002225086</v>
      </c>
      <c r="H11" s="53">
        <f>'Baseline System Analysis'!H11</f>
        <v>0.18790728009688207</v>
      </c>
      <c r="I11" s="53">
        <f>'Baseline System Analysis'!I11</f>
        <v>0.22720008017151327</v>
      </c>
      <c r="J11" s="53">
        <f>'Baseline System Analysis'!J11</f>
        <v>0.26649288024614448</v>
      </c>
      <c r="K11" s="53">
        <f>'Baseline System Analysis'!K11</f>
        <v>0.23052059848767945</v>
      </c>
      <c r="L11" s="53">
        <f>'Baseline System Analysis'!L11</f>
        <v>0.19433546299099821</v>
      </c>
      <c r="M11" s="53">
        <f>'Baseline System Analysis'!M11</f>
        <v>0.16091742609112245</v>
      </c>
      <c r="N11" s="53">
        <f>'Baseline System Analysis'!N11</f>
        <v>4.2212624824281168E-2</v>
      </c>
      <c r="O11" s="53">
        <f>'Baseline System Analysis'!O11</f>
        <v>0.30677545020347896</v>
      </c>
      <c r="P11" s="53">
        <f>'Baseline System Analysis'!P11</f>
        <v>0.39920718602367722</v>
      </c>
      <c r="Q11" s="53">
        <f>'Baseline System Analysis'!Q11</f>
        <v>0.49163892184387548</v>
      </c>
      <c r="R11" s="53">
        <f>'Baseline System Analysis'!R11</f>
        <v>0.58407065766407373</v>
      </c>
      <c r="S11" s="53">
        <f>'Baseline System Analysis'!S11</f>
        <v>0.67650239348427199</v>
      </c>
      <c r="T11" s="53">
        <f>'Baseline System Analysis'!T11</f>
        <v>0.76893412930447014</v>
      </c>
      <c r="U11" s="53">
        <f>'Baseline System Analysis'!U11</f>
        <v>0.69278283231502535</v>
      </c>
      <c r="V11" s="53">
        <f>'Baseline System Analysis'!V11</f>
        <v>0.61663153532558057</v>
      </c>
      <c r="W11" s="53">
        <f>'Baseline System Analysis'!W11</f>
        <v>0.54048023833613579</v>
      </c>
      <c r="X11" s="53">
        <f>'Baseline System Analysis'!X11</f>
        <v>0.464328941346691</v>
      </c>
      <c r="Y11" s="53">
        <f>'Baseline System Analysis'!Y11</f>
        <v>0.38817764435724611</v>
      </c>
      <c r="Z11" s="53">
        <f>'Baseline System Analysis'!Z11</f>
        <v>0.85998146994216484</v>
      </c>
      <c r="AA11" s="53">
        <f>'Baseline System Analysis'!AA11</f>
        <v>1.3317852955270837</v>
      </c>
      <c r="AB11" s="53">
        <f>'Baseline System Analysis'!AB11</f>
        <v>1.8035891211120025</v>
      </c>
      <c r="AC11" s="53">
        <f>'Baseline System Analysis'!AC11</f>
        <v>2.2753929466969214</v>
      </c>
      <c r="AD11" s="53">
        <f>'Baseline System Analysis'!AD11</f>
        <v>2.74719677228184</v>
      </c>
    </row>
    <row r="12" spans="1:30" x14ac:dyDescent="0.35">
      <c r="A12" s="72" t="s">
        <v>39</v>
      </c>
      <c r="B12" s="180"/>
      <c r="C12" s="72" t="s">
        <v>35</v>
      </c>
      <c r="D12" s="53">
        <f>'Baseline System Analysis'!D12</f>
        <v>2</v>
      </c>
      <c r="E12" s="53">
        <f>'Baseline System Analysis'!E12</f>
        <v>4</v>
      </c>
      <c r="F12" s="53">
        <f>'Baseline System Analysis'!F12</f>
        <v>4.5999999999999996</v>
      </c>
      <c r="G12" s="53">
        <f>'Baseline System Analysis'!G12</f>
        <v>5.1999999999999993</v>
      </c>
      <c r="H12" s="53">
        <f>'Baseline System Analysis'!H12</f>
        <v>5.7999999999999989</v>
      </c>
      <c r="I12" s="53">
        <f>'Baseline System Analysis'!I12</f>
        <v>6.3999999999999986</v>
      </c>
      <c r="J12" s="53">
        <f>'Baseline System Analysis'!J12</f>
        <v>7</v>
      </c>
      <c r="K12" s="53">
        <f>'Baseline System Analysis'!K12</f>
        <v>7</v>
      </c>
      <c r="L12" s="53">
        <f>'Baseline System Analysis'!L12</f>
        <v>6</v>
      </c>
      <c r="M12" s="53">
        <f>'Baseline System Analysis'!M12</f>
        <v>5</v>
      </c>
      <c r="N12" s="53">
        <f>'Baseline System Analysis'!N12</f>
        <v>7</v>
      </c>
      <c r="O12" s="53">
        <f>'Baseline System Analysis'!O12</f>
        <v>8.1666666666666661</v>
      </c>
      <c r="P12" s="53">
        <f>'Baseline System Analysis'!P12</f>
        <v>9.3333333333333321</v>
      </c>
      <c r="Q12" s="53">
        <f>'Baseline System Analysis'!Q12</f>
        <v>10.499999999999998</v>
      </c>
      <c r="R12" s="53">
        <f>'Baseline System Analysis'!R12</f>
        <v>11.666666666666664</v>
      </c>
      <c r="S12" s="53">
        <f>'Baseline System Analysis'!S12</f>
        <v>12.83333333333333</v>
      </c>
      <c r="T12" s="53">
        <f>'Baseline System Analysis'!T12</f>
        <v>14</v>
      </c>
      <c r="U12" s="53">
        <f>'Baseline System Analysis'!U12</f>
        <v>17</v>
      </c>
      <c r="V12" s="53">
        <f>'Baseline System Analysis'!V12</f>
        <v>20</v>
      </c>
      <c r="W12" s="53">
        <f>'Baseline System Analysis'!W12</f>
        <v>23</v>
      </c>
      <c r="X12" s="53">
        <f>'Baseline System Analysis'!X12</f>
        <v>26</v>
      </c>
      <c r="Y12" s="53">
        <f>'Baseline System Analysis'!Y12</f>
        <v>29</v>
      </c>
      <c r="Z12" s="53">
        <f>'Baseline System Analysis'!Z12</f>
        <v>30.6</v>
      </c>
      <c r="AA12" s="53">
        <f>'Baseline System Analysis'!AA12</f>
        <v>32.200000000000003</v>
      </c>
      <c r="AB12" s="53">
        <f>'Baseline System Analysis'!AB12</f>
        <v>33.800000000000004</v>
      </c>
      <c r="AC12" s="53">
        <f>'Baseline System Analysis'!AC12</f>
        <v>35.400000000000006</v>
      </c>
      <c r="AD12" s="53">
        <f>'Baseline System Analysis'!AD12</f>
        <v>37</v>
      </c>
    </row>
    <row r="13" spans="1:30" s="52" customFormat="1" x14ac:dyDescent="0.35">
      <c r="A13" s="72" t="s">
        <v>30</v>
      </c>
      <c r="B13" s="180"/>
      <c r="C13" s="72" t="s">
        <v>108</v>
      </c>
      <c r="D13" s="53">
        <f>'Baseline System Analysis'!D13</f>
        <v>5445.825674993449</v>
      </c>
      <c r="E13" s="53">
        <f>'Baseline System Analysis'!E13</f>
        <v>7241.293555071361</v>
      </c>
      <c r="F13" s="53">
        <f>'Baseline System Analysis'!F13</f>
        <v>9036.7614351492721</v>
      </c>
      <c r="G13" s="53">
        <f>'Baseline System Analysis'!G13</f>
        <v>10832.229315227183</v>
      </c>
      <c r="H13" s="53">
        <f>'Baseline System Analysis'!H13</f>
        <v>12627.697195305094</v>
      </c>
      <c r="I13" s="53">
        <f>'Baseline System Analysis'!I13</f>
        <v>14423.165075383005</v>
      </c>
      <c r="J13" s="53">
        <f>'Baseline System Analysis'!J13</f>
        <v>16218.632955460916</v>
      </c>
      <c r="K13" s="53">
        <f>'Baseline System Analysis'!K13</f>
        <v>15620.143662101613</v>
      </c>
      <c r="L13" s="53">
        <f>'Baseline System Analysis'!L13</f>
        <v>15021.654368742309</v>
      </c>
      <c r="M13" s="53">
        <f>'Baseline System Analysis'!M13</f>
        <v>13525.43113534405</v>
      </c>
      <c r="N13" s="53">
        <f>'Baseline System Analysis'!N13</f>
        <v>14423.165075383005</v>
      </c>
      <c r="O13" s="53">
        <f>'Baseline System Analysis'!O13</f>
        <v>16913.232955460899</v>
      </c>
      <c r="P13" s="53">
        <f>'Baseline System Analysis'!P13</f>
        <v>17831.369243247562</v>
      </c>
      <c r="Q13" s="53">
        <f>'Baseline System Analysis'!Q13</f>
        <v>18749.505531034225</v>
      </c>
      <c r="R13" s="53">
        <f>'Baseline System Analysis'!R13</f>
        <v>19667.641818820888</v>
      </c>
      <c r="S13" s="53">
        <f>'Baseline System Analysis'!S13</f>
        <v>20585.778106607551</v>
      </c>
      <c r="T13" s="53">
        <f>'Baseline System Analysis'!T13</f>
        <v>21503.914394394214</v>
      </c>
      <c r="U13" s="53">
        <f>'Baseline System Analysis'!U13</f>
        <v>22422.050682180878</v>
      </c>
      <c r="V13" s="53">
        <f>'Baseline System Analysis'!V13</f>
        <v>23340.186969967541</v>
      </c>
      <c r="W13" s="53">
        <f>'Baseline System Analysis'!W13</f>
        <v>24258.323257754204</v>
      </c>
      <c r="X13" s="53">
        <f>'Baseline System Analysis'!X13</f>
        <v>25176.459545540867</v>
      </c>
      <c r="Y13" s="53">
        <f>'Baseline System Analysis'!Y13</f>
        <v>26094.59583332753</v>
      </c>
      <c r="Z13" s="53">
        <f>'Baseline System Analysis'!Z13</f>
        <v>27012.732121114193</v>
      </c>
      <c r="AA13" s="53">
        <f>'Baseline System Analysis'!AA13</f>
        <v>27930.868408900857</v>
      </c>
      <c r="AB13" s="53">
        <f>'Baseline System Analysis'!AB13</f>
        <v>28849.00469668752</v>
      </c>
      <c r="AC13" s="53">
        <f>'Baseline System Analysis'!AC13</f>
        <v>29767.140984474183</v>
      </c>
      <c r="AD13" s="53">
        <f>'Baseline System Analysis'!AD13</f>
        <v>30685.277272260842</v>
      </c>
    </row>
    <row r="14" spans="1:30" s="52" customFormat="1" x14ac:dyDescent="0.35">
      <c r="A14" s="72" t="s">
        <v>30</v>
      </c>
      <c r="B14" s="180"/>
      <c r="C14" s="72" t="s">
        <v>109</v>
      </c>
      <c r="D14" s="53">
        <f>'Baseline System Analysis'!D14</f>
        <v>192864.66620394157</v>
      </c>
      <c r="E14" s="53">
        <f>'Baseline System Analysis'!E14</f>
        <v>195239.2419650236</v>
      </c>
      <c r="F14" s="53">
        <f>'Baseline System Analysis'!F14</f>
        <v>196366.76544203321</v>
      </c>
      <c r="G14" s="53">
        <f>'Baseline System Analysis'!G14</f>
        <v>197525.37556068008</v>
      </c>
      <c r="H14" s="53">
        <f>'Baseline System Analysis'!H14</f>
        <v>198743.92387830256</v>
      </c>
      <c r="I14" s="53">
        <f>'Baseline System Analysis'!I14</f>
        <v>200140.93841202525</v>
      </c>
      <c r="J14" s="53">
        <f>'Baseline System Analysis'!J14</f>
        <v>201537.7102617296</v>
      </c>
      <c r="K14" s="53">
        <f>'Baseline System Analysis'!K14</f>
        <v>200616.89493678272</v>
      </c>
      <c r="L14" s="53">
        <f>'Baseline System Analysis'!L14</f>
        <v>199696.14928779242</v>
      </c>
      <c r="M14" s="53">
        <f>'Baseline System Analysis'!M14</f>
        <v>198775.23322502323</v>
      </c>
      <c r="N14" s="53">
        <f>'Baseline System Analysis'!N14</f>
        <v>200250.33489773443</v>
      </c>
      <c r="O14" s="53">
        <f>'Baseline System Analysis'!O14</f>
        <v>201766.1654636735</v>
      </c>
      <c r="P14" s="53">
        <f>'Baseline System Analysis'!P14</f>
        <v>203325.96278464468</v>
      </c>
      <c r="Q14" s="53">
        <f>'Baseline System Analysis'!Q14</f>
        <v>204856.96017693213</v>
      </c>
      <c r="R14" s="53">
        <f>'Baseline System Analysis'!R14</f>
        <v>206421.18825616254</v>
      </c>
      <c r="S14" s="53">
        <f>'Baseline System Analysis'!S14</f>
        <v>208013.70502273936</v>
      </c>
      <c r="T14" s="53">
        <f>'Baseline System Analysis'!T14</f>
        <v>209643.37199318074</v>
      </c>
      <c r="U14" s="53">
        <f>'Baseline System Analysis'!U14</f>
        <v>211125.2902170599</v>
      </c>
      <c r="V14" s="53">
        <f>'Baseline System Analysis'!V14</f>
        <v>212613.854578328</v>
      </c>
      <c r="W14" s="53">
        <f>'Baseline System Analysis'!W14</f>
        <v>214101.90769825791</v>
      </c>
      <c r="X14" s="53">
        <f>'Baseline System Analysis'!X14</f>
        <v>215599.50398982322</v>
      </c>
      <c r="Y14" s="53">
        <f>'Baseline System Analysis'!Y14</f>
        <v>216849.14823265999</v>
      </c>
      <c r="Z14" s="53">
        <f>'Baseline System Analysis'!Z14</f>
        <v>218069.3108916957</v>
      </c>
      <c r="AA14" s="53">
        <f>'Baseline System Analysis'!AA14</f>
        <v>219248.74465750376</v>
      </c>
      <c r="AB14" s="53">
        <f>'Baseline System Analysis'!AB14</f>
        <v>220395.79980526475</v>
      </c>
      <c r="AC14" s="53">
        <f>'Baseline System Analysis'!AC14</f>
        <v>221214.46760051764</v>
      </c>
      <c r="AD14" s="53">
        <f>'Baseline System Analysis'!AD14</f>
        <v>221946.05395460132</v>
      </c>
    </row>
    <row r="15" spans="1:30" s="52" customFormat="1" x14ac:dyDescent="0.35">
      <c r="A15" s="72" t="s">
        <v>30</v>
      </c>
      <c r="B15" s="180"/>
      <c r="C15" s="72" t="s">
        <v>110</v>
      </c>
      <c r="D15" s="53">
        <f>'Baseline System Analysis'!D15</f>
        <v>57814.1637958055</v>
      </c>
      <c r="E15" s="53">
        <f>'Baseline System Analysis'!E15</f>
        <v>62191.746894023359</v>
      </c>
      <c r="F15" s="53">
        <f>'Baseline System Analysis'!F15</f>
        <v>64361.105239567863</v>
      </c>
      <c r="G15" s="53">
        <f>'Baseline System Analysis'!G15</f>
        <v>66628.501001105484</v>
      </c>
      <c r="H15" s="53">
        <f>'Baseline System Analysis'!H15</f>
        <v>69068.22672153436</v>
      </c>
      <c r="I15" s="53">
        <f>'Baseline System Analysis'!I15</f>
        <v>71918.961016641551</v>
      </c>
      <c r="J15" s="53">
        <f>'Baseline System Analysis'!J15</f>
        <v>74820.679205256296</v>
      </c>
      <c r="K15" s="53">
        <f>'Baseline System Analysis'!K15</f>
        <v>72899.28225345345</v>
      </c>
      <c r="L15" s="53">
        <f>'Baseline System Analysis'!L15</f>
        <v>71006.352594376862</v>
      </c>
      <c r="M15" s="53">
        <f>'Baseline System Analysis'!M15</f>
        <v>69131.616141376318</v>
      </c>
      <c r="N15" s="53">
        <f>'Baseline System Analysis'!N15</f>
        <v>72143.764963991809</v>
      </c>
      <c r="O15" s="53">
        <f>'Baseline System Analysis'!O15</f>
        <v>75301.925896232133</v>
      </c>
      <c r="P15" s="53">
        <f>'Baseline System Analysis'!P15</f>
        <v>78629.627518656707</v>
      </c>
      <c r="Q15" s="53">
        <f>'Baseline System Analysis'!Q15</f>
        <v>81951.057574073071</v>
      </c>
      <c r="R15" s="53">
        <f>'Baseline System Analysis'!R15</f>
        <v>85383.424638269789</v>
      </c>
      <c r="S15" s="53">
        <f>'Baseline System Analysis'!S15</f>
        <v>88945.971119594135</v>
      </c>
      <c r="T15" s="53">
        <f>'Baseline System Analysis'!T15</f>
        <v>92676.895920951385</v>
      </c>
      <c r="U15" s="53">
        <f>'Baseline System Analysis'!U15</f>
        <v>96145.729908431153</v>
      </c>
      <c r="V15" s="53">
        <f>'Baseline System Analysis'!V15</f>
        <v>99700.858162341799</v>
      </c>
      <c r="W15" s="53">
        <f>'Baseline System Analysis'!W15</f>
        <v>103340.20977892888</v>
      </c>
      <c r="X15" s="53">
        <f>'Baseline System Analysis'!X15</f>
        <v>107065.51818072386</v>
      </c>
      <c r="Y15" s="53">
        <f>'Baseline System Analysis'!Y15</f>
        <v>110237.64392344528</v>
      </c>
      <c r="Z15" s="53">
        <f>'Baseline System Analysis'!Z15</f>
        <v>113355.67104643886</v>
      </c>
      <c r="AA15" s="53">
        <f>'Baseline System Analysis'!AA15</f>
        <v>116394.79841235251</v>
      </c>
      <c r="AB15" s="53">
        <f>'Baseline System Analysis'!AB15</f>
        <v>119393.94598127359</v>
      </c>
      <c r="AC15" s="53">
        <f>'Baseline System Analysis'!AC15</f>
        <v>121552.79504833522</v>
      </c>
      <c r="AD15" s="53">
        <f>'Baseline System Analysis'!AD15</f>
        <v>123501.36707164065</v>
      </c>
    </row>
    <row r="16" spans="1:30" s="52" customFormat="1" x14ac:dyDescent="0.35">
      <c r="A16" s="72"/>
      <c r="B16" s="72"/>
      <c r="C16" s="72"/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3"/>
      <c r="R16" s="53"/>
      <c r="S16" s="53"/>
      <c r="T16" s="53"/>
      <c r="U16" s="53"/>
      <c r="V16" s="53"/>
      <c r="W16" s="53"/>
      <c r="X16" s="53"/>
      <c r="Y16" s="53"/>
      <c r="Z16" s="53"/>
      <c r="AA16" s="53"/>
      <c r="AB16" s="53"/>
      <c r="AC16" s="53"/>
      <c r="AD16" s="53"/>
    </row>
    <row r="17" spans="1:30" ht="15" customHeight="1" thickBot="1" x14ac:dyDescent="0.5">
      <c r="A17" s="113"/>
      <c r="B17" s="122"/>
      <c r="C17" s="113" t="s">
        <v>105</v>
      </c>
      <c r="D17" s="113">
        <v>2022</v>
      </c>
      <c r="E17" s="113">
        <v>2023</v>
      </c>
      <c r="F17" s="113">
        <v>2024</v>
      </c>
      <c r="G17" s="113">
        <v>2025</v>
      </c>
      <c r="H17" s="113">
        <v>2026</v>
      </c>
      <c r="I17" s="113">
        <v>2027</v>
      </c>
      <c r="J17" s="113">
        <v>2028</v>
      </c>
      <c r="K17" s="113">
        <v>2029</v>
      </c>
      <c r="L17" s="113">
        <v>2030</v>
      </c>
      <c r="M17" s="113">
        <v>2031</v>
      </c>
      <c r="N17" s="113">
        <v>2032</v>
      </c>
      <c r="O17" s="113">
        <v>2033</v>
      </c>
      <c r="P17" s="113">
        <v>2034</v>
      </c>
      <c r="Q17" s="113">
        <v>2035</v>
      </c>
      <c r="R17" s="113">
        <v>2036</v>
      </c>
      <c r="S17" s="113">
        <v>2037</v>
      </c>
      <c r="T17" s="113">
        <v>2038</v>
      </c>
      <c r="U17" s="113">
        <v>2039</v>
      </c>
      <c r="V17" s="113">
        <v>2040</v>
      </c>
      <c r="W17" s="113">
        <v>2041</v>
      </c>
      <c r="X17" s="113">
        <v>2042</v>
      </c>
      <c r="Y17" s="113">
        <v>2043</v>
      </c>
      <c r="Z17" s="113">
        <v>2044</v>
      </c>
      <c r="AA17" s="113">
        <v>2045</v>
      </c>
      <c r="AB17" s="113">
        <v>2046</v>
      </c>
      <c r="AC17" s="113">
        <v>2047</v>
      </c>
      <c r="AD17" s="113">
        <v>2048</v>
      </c>
    </row>
    <row r="18" spans="1:30" ht="49.75" customHeight="1" thickTop="1" x14ac:dyDescent="0.35">
      <c r="A18" s="72"/>
      <c r="B18" s="179" t="s">
        <v>16</v>
      </c>
      <c r="C18" s="72" t="s">
        <v>107</v>
      </c>
      <c r="D18" s="53">
        <v>48453.299999999697</v>
      </c>
      <c r="E18" s="53">
        <v>48868.542307692027</v>
      </c>
      <c r="F18" s="53">
        <v>49283.784615384357</v>
      </c>
      <c r="G18" s="53">
        <v>49699.026923076686</v>
      </c>
      <c r="H18" s="53">
        <v>50114.269230769016</v>
      </c>
      <c r="I18" s="53">
        <v>50529.511538461345</v>
      </c>
      <c r="J18" s="53">
        <v>50805.914423076749</v>
      </c>
      <c r="K18" s="53">
        <v>50242.599999999642</v>
      </c>
      <c r="L18" s="53">
        <v>50024.199999999473</v>
      </c>
      <c r="M18" s="53">
        <v>49809.374999999534</v>
      </c>
      <c r="N18" s="53">
        <v>50154.999999999709</v>
      </c>
      <c r="O18" s="53">
        <v>50497.79843749974</v>
      </c>
      <c r="P18" s="53">
        <v>50840.59687499977</v>
      </c>
      <c r="Q18" s="53">
        <v>51183.395312499801</v>
      </c>
      <c r="R18" s="53">
        <v>51510.809134615214</v>
      </c>
      <c r="S18" s="53">
        <v>51838.222956730628</v>
      </c>
      <c r="T18" s="53">
        <v>52165.636778846041</v>
      </c>
      <c r="U18" s="53">
        <v>52493.050600961455</v>
      </c>
      <c r="V18" s="53">
        <v>52820.464423076868</v>
      </c>
      <c r="W18" s="53">
        <v>53147.878245192282</v>
      </c>
      <c r="X18" s="53">
        <v>53475.292067307695</v>
      </c>
      <c r="Y18" s="53">
        <v>53802.705889423109</v>
      </c>
      <c r="Z18" s="53">
        <v>54130.119711538522</v>
      </c>
      <c r="AA18" s="53">
        <v>54457.533533653936</v>
      </c>
      <c r="AB18" s="53">
        <v>54784.947355769349</v>
      </c>
      <c r="AC18" s="53">
        <v>55112.361177884763</v>
      </c>
      <c r="AD18" s="53">
        <v>55439.775000000198</v>
      </c>
    </row>
    <row r="19" spans="1:30" x14ac:dyDescent="0.35">
      <c r="A19" s="72" t="s">
        <v>30</v>
      </c>
      <c r="B19" s="180"/>
      <c r="C19" s="72" t="s">
        <v>31</v>
      </c>
      <c r="D19" s="53">
        <v>0</v>
      </c>
      <c r="E19" s="53">
        <v>0</v>
      </c>
      <c r="F19" s="53">
        <v>0</v>
      </c>
      <c r="G19" s="53">
        <v>0</v>
      </c>
      <c r="H19" s="53">
        <v>0</v>
      </c>
      <c r="I19" s="53">
        <v>0</v>
      </c>
      <c r="J19" s="53">
        <v>29.400000000000006</v>
      </c>
      <c r="K19" s="53">
        <v>22.700000000000017</v>
      </c>
      <c r="L19" s="53">
        <v>17.299999999999983</v>
      </c>
      <c r="M19" s="53">
        <v>15.000000000000028</v>
      </c>
      <c r="N19" s="53">
        <v>20.500000000000028</v>
      </c>
      <c r="O19" s="53">
        <v>26.599999999999966</v>
      </c>
      <c r="P19" s="53">
        <v>44.466666666666683</v>
      </c>
      <c r="Q19" s="53">
        <v>56.45000000000001</v>
      </c>
      <c r="R19" s="53">
        <v>53.839999999999961</v>
      </c>
      <c r="S19" s="53">
        <v>62.919999999999959</v>
      </c>
      <c r="T19" s="53">
        <v>71.999999999999972</v>
      </c>
      <c r="U19" s="53">
        <v>78.879999999999981</v>
      </c>
      <c r="V19" s="53">
        <v>85.759999999999991</v>
      </c>
      <c r="W19" s="53">
        <v>92.64</v>
      </c>
      <c r="X19" s="53">
        <v>99.52000000000001</v>
      </c>
      <c r="Y19" s="53">
        <v>106.4</v>
      </c>
      <c r="Z19" s="53">
        <v>117.25999999999999</v>
      </c>
      <c r="AA19" s="53">
        <v>128.11999999999998</v>
      </c>
      <c r="AB19" s="53">
        <v>138.97999999999996</v>
      </c>
      <c r="AC19" s="53">
        <v>149.83999999999995</v>
      </c>
      <c r="AD19" s="53">
        <v>160.69999999999996</v>
      </c>
    </row>
    <row r="20" spans="1:30" x14ac:dyDescent="0.35">
      <c r="A20" s="72" t="s">
        <v>30</v>
      </c>
      <c r="B20" s="180"/>
      <c r="C20" s="72" t="s">
        <v>32</v>
      </c>
      <c r="D20" s="53">
        <v>0</v>
      </c>
      <c r="E20" s="53">
        <v>0</v>
      </c>
      <c r="F20" s="53">
        <v>0</v>
      </c>
      <c r="G20" s="53">
        <v>0</v>
      </c>
      <c r="H20" s="53">
        <v>0</v>
      </c>
      <c r="I20" s="53">
        <v>0</v>
      </c>
      <c r="J20" s="53">
        <v>10</v>
      </c>
      <c r="K20" s="53">
        <v>8.8000000000000114</v>
      </c>
      <c r="L20" s="53">
        <v>7.1999999999999886</v>
      </c>
      <c r="M20" s="53">
        <v>5.5</v>
      </c>
      <c r="N20" s="53">
        <v>8.3000000000000114</v>
      </c>
      <c r="O20" s="53">
        <v>10.5</v>
      </c>
      <c r="P20" s="53">
        <v>12.233333333333348</v>
      </c>
      <c r="Q20" s="53">
        <v>14.200000000000017</v>
      </c>
      <c r="R20" s="53">
        <v>13.260000000000016</v>
      </c>
      <c r="S20" s="53">
        <v>14.180000000000021</v>
      </c>
      <c r="T20" s="53">
        <v>15.100000000000023</v>
      </c>
      <c r="U20" s="53">
        <v>14.860000000000014</v>
      </c>
      <c r="V20" s="53">
        <v>14.620000000000005</v>
      </c>
      <c r="W20" s="53">
        <v>14.379999999999995</v>
      </c>
      <c r="X20" s="53">
        <v>14.139999999999986</v>
      </c>
      <c r="Y20" s="53">
        <v>13.899999999999977</v>
      </c>
      <c r="Z20" s="53">
        <v>15.439999999999975</v>
      </c>
      <c r="AA20" s="53">
        <v>16.979999999999972</v>
      </c>
      <c r="AB20" s="53">
        <v>18.519999999999971</v>
      </c>
      <c r="AC20" s="53">
        <v>20.05999999999997</v>
      </c>
      <c r="AD20" s="53">
        <v>21.599999999999966</v>
      </c>
    </row>
    <row r="21" spans="1:30" x14ac:dyDescent="0.35">
      <c r="A21" s="72" t="s">
        <v>30</v>
      </c>
      <c r="B21" s="180"/>
      <c r="C21" s="72" t="s">
        <v>33</v>
      </c>
      <c r="D21" s="53">
        <v>0</v>
      </c>
      <c r="E21" s="53">
        <v>0</v>
      </c>
      <c r="F21" s="53">
        <v>0</v>
      </c>
      <c r="G21" s="53">
        <v>0</v>
      </c>
      <c r="H21" s="53">
        <v>0</v>
      </c>
      <c r="I21" s="53">
        <v>0</v>
      </c>
      <c r="J21" s="53">
        <v>0.15145853601155324</v>
      </c>
      <c r="K21" s="53">
        <v>9.3553980067000275E-2</v>
      </c>
      <c r="L21" s="53">
        <v>7.1298848244894353E-2</v>
      </c>
      <c r="M21" s="53">
        <v>6.1819810616960603E-2</v>
      </c>
      <c r="N21" s="53">
        <v>8.4487074509846119E-2</v>
      </c>
      <c r="O21" s="53">
        <v>0.13703391353426222</v>
      </c>
      <c r="P21" s="53">
        <v>0.36345057084668292</v>
      </c>
      <c r="Q21" s="53">
        <v>0.50293231901510138</v>
      </c>
      <c r="R21" s="53">
        <v>0.4999162018558202</v>
      </c>
      <c r="S21" s="53">
        <v>0.6208769646296729</v>
      </c>
      <c r="T21" s="53">
        <v>0.74183772740352549</v>
      </c>
      <c r="U21" s="53">
        <v>1.119680409894388</v>
      </c>
      <c r="V21" s="53">
        <v>1.4975230923852505</v>
      </c>
      <c r="W21" s="53">
        <v>1.875365774876113</v>
      </c>
      <c r="X21" s="53">
        <v>2.2532084573669753</v>
      </c>
      <c r="Y21" s="53">
        <v>2.631051139857838</v>
      </c>
      <c r="Z21" s="53">
        <v>3.1645148922751289</v>
      </c>
      <c r="AA21" s="53">
        <v>3.6979786446924194</v>
      </c>
      <c r="AB21" s="53">
        <v>4.2314423971097099</v>
      </c>
      <c r="AC21" s="53">
        <v>4.7649061495270004</v>
      </c>
      <c r="AD21" s="53">
        <v>5.2983699019442918</v>
      </c>
    </row>
    <row r="22" spans="1:30" x14ac:dyDescent="0.35">
      <c r="A22" s="72" t="s">
        <v>30</v>
      </c>
      <c r="B22" s="180"/>
      <c r="C22" s="72" t="s">
        <v>34</v>
      </c>
      <c r="D22" s="53">
        <v>0</v>
      </c>
      <c r="E22" s="53">
        <v>0</v>
      </c>
      <c r="F22" s="53">
        <v>0</v>
      </c>
      <c r="G22" s="53">
        <v>0</v>
      </c>
      <c r="H22" s="53">
        <v>0</v>
      </c>
      <c r="I22" s="53">
        <v>0</v>
      </c>
      <c r="J22" s="53">
        <v>3.0291707202310645E-2</v>
      </c>
      <c r="K22" s="53">
        <v>2.3388495016750069E-2</v>
      </c>
      <c r="L22" s="53">
        <v>1.7824712061223588E-2</v>
      </c>
      <c r="M22" s="53">
        <v>1.5454952654240151E-2</v>
      </c>
      <c r="N22" s="53">
        <v>2.112176862746153E-2</v>
      </c>
      <c r="O22" s="53">
        <v>2.7406782706852446E-2</v>
      </c>
      <c r="P22" s="53">
        <v>4.5790390744491677E-2</v>
      </c>
      <c r="Q22" s="53">
        <v>5.8124701803006752E-2</v>
      </c>
      <c r="R22" s="53">
        <v>5.5472976726952512E-2</v>
      </c>
      <c r="S22" s="53">
        <v>6.4828374733652536E-2</v>
      </c>
      <c r="T22" s="53">
        <v>7.4183772740352552E-2</v>
      </c>
      <c r="U22" s="53">
        <v>8.1272444357764026E-2</v>
      </c>
      <c r="V22" s="53">
        <v>8.83611159751755E-2</v>
      </c>
      <c r="W22" s="53">
        <v>9.5449787592586974E-2</v>
      </c>
      <c r="X22" s="53">
        <v>0.10253845920999845</v>
      </c>
      <c r="Y22" s="53">
        <v>0.10962713082740992</v>
      </c>
      <c r="Z22" s="53">
        <v>0.12081651654907977</v>
      </c>
      <c r="AA22" s="53">
        <v>0.1320059022707496</v>
      </c>
      <c r="AB22" s="53">
        <v>0.14319528799241943</v>
      </c>
      <c r="AC22" s="53">
        <v>0.15438467371408926</v>
      </c>
      <c r="AD22" s="53">
        <v>0.16557405943575912</v>
      </c>
    </row>
    <row r="23" spans="1:30" x14ac:dyDescent="0.35">
      <c r="A23" s="72" t="s">
        <v>30</v>
      </c>
      <c r="B23" s="180"/>
      <c r="C23" s="72" t="s">
        <v>35</v>
      </c>
      <c r="D23" s="53">
        <v>0</v>
      </c>
      <c r="E23" s="53">
        <v>0</v>
      </c>
      <c r="F23" s="53">
        <v>0</v>
      </c>
      <c r="G23" s="53">
        <v>0</v>
      </c>
      <c r="H23" s="53">
        <v>0</v>
      </c>
      <c r="I23" s="53">
        <v>0</v>
      </c>
      <c r="J23" s="53">
        <v>5</v>
      </c>
      <c r="K23" s="53">
        <v>4</v>
      </c>
      <c r="L23" s="53">
        <v>4</v>
      </c>
      <c r="M23" s="53">
        <v>4</v>
      </c>
      <c r="N23" s="53">
        <v>4</v>
      </c>
      <c r="O23" s="53">
        <v>5</v>
      </c>
      <c r="P23" s="53">
        <v>6</v>
      </c>
      <c r="Q23" s="53">
        <v>7</v>
      </c>
      <c r="R23" s="53">
        <v>8</v>
      </c>
      <c r="S23" s="53">
        <v>9</v>
      </c>
      <c r="T23" s="53">
        <v>10</v>
      </c>
      <c r="U23" s="53">
        <v>12.8</v>
      </c>
      <c r="V23" s="53">
        <v>15.600000000000001</v>
      </c>
      <c r="W23" s="53">
        <v>18.400000000000002</v>
      </c>
      <c r="X23" s="53">
        <v>21.200000000000003</v>
      </c>
      <c r="Y23" s="53">
        <v>24</v>
      </c>
      <c r="Z23" s="53">
        <v>25.6</v>
      </c>
      <c r="AA23" s="53">
        <v>27.200000000000003</v>
      </c>
      <c r="AB23" s="53">
        <v>28.800000000000004</v>
      </c>
      <c r="AC23" s="53">
        <v>30.400000000000006</v>
      </c>
      <c r="AD23" s="53">
        <v>32</v>
      </c>
    </row>
    <row r="24" spans="1:30" x14ac:dyDescent="0.35">
      <c r="A24" s="72" t="s">
        <v>30</v>
      </c>
      <c r="B24" s="180"/>
      <c r="C24" s="72" t="s">
        <v>108</v>
      </c>
      <c r="D24" s="53">
        <v>2180.0835094911145</v>
      </c>
      <c r="E24" s="53">
        <v>2898.8486978724959</v>
      </c>
      <c r="F24" s="53">
        <v>3617.6138862538755</v>
      </c>
      <c r="G24" s="53">
        <v>4336.3790746352552</v>
      </c>
      <c r="H24" s="53">
        <v>5055.1442630166348</v>
      </c>
      <c r="I24" s="53">
        <v>5773.9094513980144</v>
      </c>
      <c r="J24" s="53">
        <v>6492.6746397793941</v>
      </c>
      <c r="K24" s="53">
        <v>6092.5266824434721</v>
      </c>
      <c r="L24" s="53">
        <v>5692.3787251075501</v>
      </c>
      <c r="M24" s="53">
        <v>5292.230767771629</v>
      </c>
      <c r="N24" s="53">
        <v>5708</v>
      </c>
      <c r="O24" s="53">
        <v>5964.2406488301704</v>
      </c>
      <c r="P24" s="53">
        <v>6199.1640251337249</v>
      </c>
      <c r="Q24" s="53">
        <v>6534.0874014372748</v>
      </c>
      <c r="R24" s="53">
        <v>6672.7658934101728</v>
      </c>
      <c r="S24" s="53">
        <v>6811.4443853830708</v>
      </c>
      <c r="T24" s="53">
        <v>6950.1228773559687</v>
      </c>
      <c r="U24" s="53">
        <v>7088.8013693288667</v>
      </c>
      <c r="V24" s="53">
        <v>7227.4798613017647</v>
      </c>
      <c r="W24" s="53">
        <v>7366.1583532746627</v>
      </c>
      <c r="X24" s="53">
        <v>7504.8368452475606</v>
      </c>
      <c r="Y24" s="53">
        <v>7643.5153372204586</v>
      </c>
      <c r="Z24" s="53">
        <v>7782.1938291933566</v>
      </c>
      <c r="AA24" s="53">
        <v>7920.8723211662546</v>
      </c>
      <c r="AB24" s="53">
        <v>8059.5508131391525</v>
      </c>
      <c r="AC24" s="53">
        <v>8198.2293051120505</v>
      </c>
      <c r="AD24" s="53">
        <v>8336.9077970849503</v>
      </c>
    </row>
    <row r="25" spans="1:30" x14ac:dyDescent="0.35">
      <c r="A25" s="72" t="s">
        <v>30</v>
      </c>
      <c r="B25" s="180"/>
      <c r="C25" s="72" t="s">
        <v>109</v>
      </c>
      <c r="D25" s="53">
        <v>139482.7176383771</v>
      </c>
      <c r="E25" s="53">
        <v>141661.14336779693</v>
      </c>
      <c r="F25" s="53">
        <v>142695.40706538153</v>
      </c>
      <c r="G25" s="53">
        <v>143758.27872195328</v>
      </c>
      <c r="H25" s="53">
        <v>144876.02138182765</v>
      </c>
      <c r="I25" s="53">
        <v>146157.59541338737</v>
      </c>
      <c r="J25" s="53">
        <v>147438.85678965753</v>
      </c>
      <c r="K25" s="53">
        <v>146594.21852513967</v>
      </c>
      <c r="L25" s="53">
        <v>145749.58026062197</v>
      </c>
      <c r="M25" s="53">
        <v>144904.78566845937</v>
      </c>
      <c r="N25" s="53">
        <v>146257.95776130899</v>
      </c>
      <c r="O25" s="53">
        <v>147648.49216125079</v>
      </c>
      <c r="P25" s="53">
        <v>149079.35909353488</v>
      </c>
      <c r="Q25" s="53">
        <v>150483.80665385842</v>
      </c>
      <c r="R25" s="53">
        <v>151918.73810490582</v>
      </c>
      <c r="S25" s="53">
        <v>153379.61994497949</v>
      </c>
      <c r="T25" s="53">
        <v>154874.58121160616</v>
      </c>
      <c r="U25" s="53">
        <v>156234.00641024526</v>
      </c>
      <c r="V25" s="53">
        <v>157599.52838702893</v>
      </c>
      <c r="W25" s="53">
        <v>158964.58138087852</v>
      </c>
      <c r="X25" s="53">
        <v>160338.38872283365</v>
      </c>
      <c r="Y25" s="53">
        <v>161484.73934169515</v>
      </c>
      <c r="Z25" s="53">
        <v>162604.04527801697</v>
      </c>
      <c r="AA25" s="53">
        <v>163685.98890724668</v>
      </c>
      <c r="AB25" s="53">
        <v>164738.23028397604</v>
      </c>
      <c r="AC25" s="53">
        <v>165489.22828929589</v>
      </c>
      <c r="AD25" s="53">
        <v>166160.34286815481</v>
      </c>
    </row>
    <row r="26" spans="1:30" s="66" customFormat="1" x14ac:dyDescent="0.35">
      <c r="A26" s="72" t="s">
        <v>30</v>
      </c>
      <c r="B26" s="180"/>
      <c r="C26" s="72" t="s">
        <v>110</v>
      </c>
      <c r="D26" s="53">
        <v>18207.45837078293</v>
      </c>
      <c r="E26" s="53">
        <v>20177.950616985388</v>
      </c>
      <c r="F26" s="53">
        <v>21154.993711216051</v>
      </c>
      <c r="G26" s="53">
        <v>22187.832631266032</v>
      </c>
      <c r="H26" s="53">
        <v>23306.005690388429</v>
      </c>
      <c r="I26" s="53">
        <v>24628.612492788106</v>
      </c>
      <c r="J26" s="53">
        <v>25977.650956417809</v>
      </c>
      <c r="K26" s="53">
        <v>25085.810063954392</v>
      </c>
      <c r="L26" s="53">
        <v>24204.489861008627</v>
      </c>
      <c r="M26" s="53">
        <v>23335.340161032243</v>
      </c>
      <c r="N26" s="53">
        <v>24733.510551361524</v>
      </c>
      <c r="O26" s="53">
        <v>26201.796710866343</v>
      </c>
      <c r="P26" s="53">
        <v>27781.687820529092</v>
      </c>
      <c r="Q26" s="53">
        <v>29389.982983287126</v>
      </c>
      <c r="R26" s="53">
        <v>31072.602032142451</v>
      </c>
      <c r="S26" s="53">
        <v>32829.550188464484</v>
      </c>
      <c r="T26" s="53">
        <v>34677.1444215218</v>
      </c>
      <c r="U26" s="53">
        <v>36397.490104234537</v>
      </c>
      <c r="V26" s="53">
        <v>38187.067989154704</v>
      </c>
      <c r="W26" s="53">
        <v>40009.794489004787</v>
      </c>
      <c r="X26" s="53">
        <v>41888.712992425964</v>
      </c>
      <c r="Y26" s="53">
        <v>43498.524296101954</v>
      </c>
      <c r="Z26" s="53">
        <v>45101.384128740588</v>
      </c>
      <c r="AA26" s="53">
        <v>46679.963061406648</v>
      </c>
      <c r="AB26" s="53">
        <v>48252.211810520981</v>
      </c>
      <c r="AC26" s="53">
        <v>49385.597839918199</v>
      </c>
      <c r="AD26" s="53">
        <v>50403.891745360757</v>
      </c>
    </row>
    <row r="27" spans="1:30" x14ac:dyDescent="0.35">
      <c r="A27" s="72" t="s">
        <v>39</v>
      </c>
      <c r="B27" s="180"/>
      <c r="C27" s="72" t="s">
        <v>31</v>
      </c>
      <c r="D27" s="53">
        <v>0</v>
      </c>
      <c r="E27" s="53">
        <v>0</v>
      </c>
      <c r="F27" s="53">
        <v>0</v>
      </c>
      <c r="G27" s="53">
        <v>0</v>
      </c>
      <c r="H27" s="53">
        <v>0</v>
      </c>
      <c r="I27" s="53">
        <v>0</v>
      </c>
      <c r="J27" s="53">
        <v>0</v>
      </c>
      <c r="K27" s="53">
        <v>0</v>
      </c>
      <c r="L27" s="53">
        <v>0</v>
      </c>
      <c r="M27" s="53">
        <v>0</v>
      </c>
      <c r="N27" s="53">
        <v>0</v>
      </c>
      <c r="O27" s="53">
        <v>0</v>
      </c>
      <c r="P27" s="53">
        <v>0</v>
      </c>
      <c r="Q27" s="53">
        <v>0</v>
      </c>
      <c r="R27" s="53">
        <v>0</v>
      </c>
      <c r="S27" s="53">
        <v>0</v>
      </c>
      <c r="T27" s="53">
        <v>0</v>
      </c>
      <c r="U27" s="53">
        <v>0</v>
      </c>
      <c r="V27" s="53">
        <v>0</v>
      </c>
      <c r="W27" s="53">
        <v>0</v>
      </c>
      <c r="X27" s="53">
        <v>0</v>
      </c>
      <c r="Y27" s="53">
        <v>0</v>
      </c>
      <c r="Z27" s="53">
        <v>0</v>
      </c>
      <c r="AA27" s="53">
        <v>0</v>
      </c>
      <c r="AB27" s="53">
        <v>0</v>
      </c>
      <c r="AC27" s="53">
        <v>0</v>
      </c>
      <c r="AD27" s="53">
        <v>0</v>
      </c>
    </row>
    <row r="28" spans="1:30" x14ac:dyDescent="0.35">
      <c r="A28" s="72" t="s">
        <v>39</v>
      </c>
      <c r="B28" s="180"/>
      <c r="C28" s="72" t="s">
        <v>32</v>
      </c>
      <c r="D28" s="53">
        <v>0</v>
      </c>
      <c r="E28" s="53">
        <v>0</v>
      </c>
      <c r="F28" s="53">
        <v>0</v>
      </c>
      <c r="G28" s="53">
        <v>0</v>
      </c>
      <c r="H28" s="53">
        <v>0</v>
      </c>
      <c r="I28" s="53">
        <v>0</v>
      </c>
      <c r="J28" s="53">
        <v>0</v>
      </c>
      <c r="K28" s="53">
        <v>0</v>
      </c>
      <c r="L28" s="53">
        <v>0</v>
      </c>
      <c r="M28" s="53">
        <v>0</v>
      </c>
      <c r="N28" s="53">
        <v>0</v>
      </c>
      <c r="O28" s="53">
        <v>0</v>
      </c>
      <c r="P28" s="53">
        <v>0</v>
      </c>
      <c r="Q28" s="53">
        <v>0</v>
      </c>
      <c r="R28" s="53">
        <v>0</v>
      </c>
      <c r="S28" s="53">
        <v>0</v>
      </c>
      <c r="T28" s="53">
        <v>0</v>
      </c>
      <c r="U28" s="53">
        <v>0</v>
      </c>
      <c r="V28" s="53">
        <v>0</v>
      </c>
      <c r="W28" s="53">
        <v>0</v>
      </c>
      <c r="X28" s="53">
        <v>0</v>
      </c>
      <c r="Y28" s="53">
        <v>0</v>
      </c>
      <c r="Z28" s="53">
        <v>0</v>
      </c>
      <c r="AA28" s="53">
        <v>0</v>
      </c>
      <c r="AB28" s="53">
        <v>0</v>
      </c>
      <c r="AC28" s="53">
        <v>0</v>
      </c>
      <c r="AD28" s="53">
        <v>0</v>
      </c>
    </row>
    <row r="29" spans="1:30" x14ac:dyDescent="0.35">
      <c r="A29" s="72" t="s">
        <v>39</v>
      </c>
      <c r="B29" s="180"/>
      <c r="C29" s="72" t="s">
        <v>33</v>
      </c>
      <c r="D29" s="53">
        <v>0</v>
      </c>
      <c r="E29" s="53">
        <v>0</v>
      </c>
      <c r="F29" s="53">
        <v>0</v>
      </c>
      <c r="G29" s="53">
        <v>0</v>
      </c>
      <c r="H29" s="53">
        <v>0</v>
      </c>
      <c r="I29" s="53">
        <v>0</v>
      </c>
      <c r="J29" s="53">
        <v>0</v>
      </c>
      <c r="K29" s="53">
        <v>0</v>
      </c>
      <c r="L29" s="53">
        <v>0</v>
      </c>
      <c r="M29" s="53">
        <v>0</v>
      </c>
      <c r="N29" s="53">
        <v>0</v>
      </c>
      <c r="O29" s="53">
        <v>0</v>
      </c>
      <c r="P29" s="53">
        <v>0</v>
      </c>
      <c r="Q29" s="53">
        <v>0</v>
      </c>
      <c r="R29" s="53">
        <v>0</v>
      </c>
      <c r="S29" s="53">
        <v>0</v>
      </c>
      <c r="T29" s="53">
        <v>0</v>
      </c>
      <c r="U29" s="53">
        <v>0</v>
      </c>
      <c r="V29" s="53">
        <v>0</v>
      </c>
      <c r="W29" s="53">
        <v>0</v>
      </c>
      <c r="X29" s="53">
        <v>0</v>
      </c>
      <c r="Y29" s="53">
        <v>0</v>
      </c>
      <c r="Z29" s="53">
        <v>0</v>
      </c>
      <c r="AA29" s="53">
        <v>0</v>
      </c>
      <c r="AB29" s="53">
        <v>0</v>
      </c>
      <c r="AC29" s="53">
        <v>0</v>
      </c>
      <c r="AD29" s="53">
        <v>0</v>
      </c>
    </row>
    <row r="30" spans="1:30" x14ac:dyDescent="0.35">
      <c r="A30" s="72" t="s">
        <v>39</v>
      </c>
      <c r="B30" s="180"/>
      <c r="C30" s="72" t="s">
        <v>34</v>
      </c>
      <c r="D30" s="53">
        <v>0</v>
      </c>
      <c r="E30" s="53">
        <v>0</v>
      </c>
      <c r="F30" s="53">
        <v>0</v>
      </c>
      <c r="G30" s="53">
        <v>0</v>
      </c>
      <c r="H30" s="53">
        <v>0</v>
      </c>
      <c r="I30" s="53">
        <v>0</v>
      </c>
      <c r="J30" s="53">
        <v>0</v>
      </c>
      <c r="K30" s="53">
        <v>0</v>
      </c>
      <c r="L30" s="53">
        <v>0</v>
      </c>
      <c r="M30" s="53">
        <v>0</v>
      </c>
      <c r="N30" s="53">
        <v>0</v>
      </c>
      <c r="O30" s="53">
        <v>0</v>
      </c>
      <c r="P30" s="53">
        <v>0</v>
      </c>
      <c r="Q30" s="53">
        <v>0</v>
      </c>
      <c r="R30" s="53">
        <v>0</v>
      </c>
      <c r="S30" s="53">
        <v>0</v>
      </c>
      <c r="T30" s="53">
        <v>0</v>
      </c>
      <c r="U30" s="53">
        <v>0</v>
      </c>
      <c r="V30" s="53">
        <v>0</v>
      </c>
      <c r="W30" s="53">
        <v>0</v>
      </c>
      <c r="X30" s="53">
        <v>0</v>
      </c>
      <c r="Y30" s="53">
        <v>0</v>
      </c>
      <c r="Z30" s="53">
        <v>0</v>
      </c>
      <c r="AA30" s="53">
        <v>0</v>
      </c>
      <c r="AB30" s="53">
        <v>0</v>
      </c>
      <c r="AC30" s="53">
        <v>0</v>
      </c>
      <c r="AD30" s="53">
        <v>0</v>
      </c>
    </row>
    <row r="31" spans="1:30" x14ac:dyDescent="0.35">
      <c r="A31" s="72" t="s">
        <v>39</v>
      </c>
      <c r="B31" s="180"/>
      <c r="C31" s="72" t="s">
        <v>35</v>
      </c>
      <c r="D31" s="53">
        <v>0</v>
      </c>
      <c r="E31" s="53">
        <v>0</v>
      </c>
      <c r="F31" s="53">
        <v>0</v>
      </c>
      <c r="G31" s="53">
        <v>0</v>
      </c>
      <c r="H31" s="53">
        <v>0</v>
      </c>
      <c r="I31" s="53">
        <v>0</v>
      </c>
      <c r="J31" s="53">
        <v>0</v>
      </c>
      <c r="K31" s="53">
        <v>0</v>
      </c>
      <c r="L31" s="53">
        <v>0</v>
      </c>
      <c r="M31" s="53">
        <v>0</v>
      </c>
      <c r="N31" s="53">
        <v>0</v>
      </c>
      <c r="O31" s="53">
        <v>0</v>
      </c>
      <c r="P31" s="53">
        <v>0</v>
      </c>
      <c r="Q31" s="53">
        <v>0</v>
      </c>
      <c r="R31" s="53">
        <v>0</v>
      </c>
      <c r="S31" s="53">
        <v>0</v>
      </c>
      <c r="T31" s="53">
        <v>0</v>
      </c>
      <c r="U31" s="53">
        <v>0</v>
      </c>
      <c r="V31" s="53">
        <v>0</v>
      </c>
      <c r="W31" s="53">
        <v>0</v>
      </c>
      <c r="X31" s="53">
        <v>0</v>
      </c>
      <c r="Y31" s="53">
        <v>0</v>
      </c>
      <c r="Z31" s="53">
        <v>0</v>
      </c>
      <c r="AA31" s="53">
        <v>0</v>
      </c>
      <c r="AB31" s="53">
        <v>0</v>
      </c>
      <c r="AC31" s="53">
        <v>0</v>
      </c>
      <c r="AD31" s="53">
        <v>0</v>
      </c>
    </row>
    <row r="32" spans="1:30" x14ac:dyDescent="0.35">
      <c r="A32" s="72" t="s">
        <v>130</v>
      </c>
      <c r="B32" s="72" t="s">
        <v>111</v>
      </c>
      <c r="C32" s="72" t="s">
        <v>131</v>
      </c>
      <c r="D32" s="53">
        <v>0</v>
      </c>
      <c r="E32" s="53">
        <v>0</v>
      </c>
      <c r="F32" s="53">
        <v>0</v>
      </c>
      <c r="G32" s="53">
        <v>0</v>
      </c>
      <c r="H32" s="53">
        <v>0</v>
      </c>
      <c r="I32" s="53">
        <v>0</v>
      </c>
      <c r="J32" s="53">
        <v>0</v>
      </c>
      <c r="K32" s="53">
        <v>0</v>
      </c>
      <c r="L32" s="53">
        <v>0</v>
      </c>
      <c r="M32" s="53">
        <v>0</v>
      </c>
      <c r="N32" s="53">
        <v>0</v>
      </c>
      <c r="O32" s="53">
        <v>0</v>
      </c>
      <c r="P32" s="53">
        <v>0</v>
      </c>
      <c r="Q32" s="53">
        <v>0</v>
      </c>
      <c r="R32" s="53">
        <v>0</v>
      </c>
      <c r="S32" s="53">
        <v>0</v>
      </c>
      <c r="T32" s="53">
        <v>0</v>
      </c>
      <c r="U32" s="53">
        <v>0</v>
      </c>
      <c r="V32" s="53">
        <v>0</v>
      </c>
      <c r="W32" s="53">
        <v>0</v>
      </c>
      <c r="X32" s="53">
        <v>0</v>
      </c>
      <c r="Y32" s="53">
        <v>0</v>
      </c>
      <c r="Z32" s="53">
        <v>0</v>
      </c>
      <c r="AA32" s="53">
        <v>0</v>
      </c>
      <c r="AB32" s="53">
        <v>0</v>
      </c>
      <c r="AC32" s="53">
        <v>0</v>
      </c>
      <c r="AD32" s="53">
        <v>0</v>
      </c>
    </row>
    <row r="33" spans="1:30" x14ac:dyDescent="0.35">
      <c r="A33" s="72" t="s">
        <v>130</v>
      </c>
      <c r="B33" s="72" t="s">
        <v>132</v>
      </c>
      <c r="C33" s="72" t="s">
        <v>131</v>
      </c>
      <c r="D33" s="53">
        <v>0</v>
      </c>
      <c r="E33" s="53">
        <v>0</v>
      </c>
      <c r="F33" s="53">
        <v>0</v>
      </c>
      <c r="G33" s="53">
        <v>0</v>
      </c>
      <c r="H33" s="53">
        <v>0</v>
      </c>
      <c r="I33" s="53">
        <v>0</v>
      </c>
      <c r="J33" s="53">
        <v>0</v>
      </c>
      <c r="K33" s="53">
        <v>0</v>
      </c>
      <c r="L33" s="53">
        <v>0</v>
      </c>
      <c r="M33" s="53">
        <v>0</v>
      </c>
      <c r="N33" s="53">
        <v>0</v>
      </c>
      <c r="O33" s="53">
        <v>0</v>
      </c>
      <c r="P33" s="53">
        <v>0</v>
      </c>
      <c r="Q33" s="53">
        <v>0</v>
      </c>
      <c r="R33" s="53">
        <v>0</v>
      </c>
      <c r="S33" s="53">
        <v>0</v>
      </c>
      <c r="T33" s="53">
        <v>0</v>
      </c>
      <c r="U33" s="53">
        <v>0</v>
      </c>
      <c r="V33" s="53">
        <v>0</v>
      </c>
      <c r="W33" s="53">
        <v>0</v>
      </c>
      <c r="X33" s="53">
        <v>0</v>
      </c>
      <c r="Y33" s="53">
        <v>0</v>
      </c>
      <c r="Z33" s="53">
        <v>0</v>
      </c>
      <c r="AA33" s="53">
        <v>0</v>
      </c>
      <c r="AB33" s="53">
        <v>0</v>
      </c>
      <c r="AC33" s="53">
        <v>0</v>
      </c>
      <c r="AD33" s="53">
        <v>0</v>
      </c>
    </row>
    <row r="34" spans="1:30" x14ac:dyDescent="0.35">
      <c r="A34" s="72" t="s">
        <v>133</v>
      </c>
      <c r="B34" s="72" t="s">
        <v>111</v>
      </c>
      <c r="C34" s="72" t="s">
        <v>131</v>
      </c>
      <c r="D34" s="53">
        <v>0</v>
      </c>
      <c r="E34" s="53">
        <v>0</v>
      </c>
      <c r="F34" s="53">
        <v>0</v>
      </c>
      <c r="G34" s="53">
        <v>0</v>
      </c>
      <c r="H34" s="53">
        <v>0</v>
      </c>
      <c r="I34" s="53">
        <v>0</v>
      </c>
      <c r="J34" s="53">
        <v>7462.6780833675439</v>
      </c>
      <c r="K34" s="53">
        <v>5906.0497382569529</v>
      </c>
      <c r="L34" s="53">
        <v>4613.6135235084248</v>
      </c>
      <c r="M34" s="53">
        <v>4100.2490129446369</v>
      </c>
      <c r="N34" s="53">
        <v>5743.7654922999427</v>
      </c>
      <c r="O34" s="53">
        <v>10222.715590200485</v>
      </c>
      <c r="P34" s="53">
        <v>14701.665688101028</v>
      </c>
      <c r="Q34" s="53">
        <v>19180.61578600157</v>
      </c>
      <c r="R34" s="53">
        <v>17092.53709586032</v>
      </c>
      <c r="S34" s="53">
        <v>20243.646759560794</v>
      </c>
      <c r="T34" s="53">
        <v>23394.756423261264</v>
      </c>
      <c r="U34" s="53">
        <v>26538.870918450157</v>
      </c>
      <c r="V34" s="53">
        <v>29682.98541363905</v>
      </c>
      <c r="W34" s="53">
        <v>32827.099908827942</v>
      </c>
      <c r="X34" s="53">
        <v>35971.214404016835</v>
      </c>
      <c r="Y34" s="53">
        <v>39115.328899205735</v>
      </c>
      <c r="Z34" s="53">
        <v>44660.389964652619</v>
      </c>
      <c r="AA34" s="53">
        <v>50205.451030099503</v>
      </c>
      <c r="AB34" s="53">
        <v>55750.512095546386</v>
      </c>
      <c r="AC34" s="53">
        <v>61295.57316099327</v>
      </c>
      <c r="AD34" s="53">
        <v>66840.634226440146</v>
      </c>
    </row>
    <row r="35" spans="1:30" x14ac:dyDescent="0.35">
      <c r="A35" s="72" t="s">
        <v>133</v>
      </c>
      <c r="B35" s="72" t="s">
        <v>132</v>
      </c>
      <c r="C35" s="72" t="s">
        <v>131</v>
      </c>
      <c r="D35" s="53">
        <v>0</v>
      </c>
      <c r="E35" s="53">
        <v>0</v>
      </c>
      <c r="F35" s="53">
        <v>0</v>
      </c>
      <c r="G35" s="53">
        <v>0</v>
      </c>
      <c r="H35" s="53">
        <v>0</v>
      </c>
      <c r="I35" s="53">
        <v>0</v>
      </c>
      <c r="J35" s="53">
        <v>30966.276952905089</v>
      </c>
      <c r="K35" s="53">
        <v>33256.824257296568</v>
      </c>
      <c r="L35" s="53">
        <v>35547.371561688051</v>
      </c>
      <c r="M35" s="53">
        <v>37837.918866079533</v>
      </c>
      <c r="N35" s="53">
        <v>23833.673515076553</v>
      </c>
      <c r="O35" s="53">
        <v>42419.013474862499</v>
      </c>
      <c r="P35" s="53">
        <v>61004.353434648438</v>
      </c>
      <c r="Q35" s="53">
        <v>79589.693394434376</v>
      </c>
      <c r="R35" s="53">
        <v>51076.489997426492</v>
      </c>
      <c r="S35" s="53">
        <v>54227.599661126966</v>
      </c>
      <c r="T35" s="53">
        <v>97076.210249920798</v>
      </c>
      <c r="U35" s="53">
        <v>110122.66879228473</v>
      </c>
      <c r="V35" s="53">
        <v>123169.12733464867</v>
      </c>
      <c r="W35" s="53">
        <v>136215.58587701261</v>
      </c>
      <c r="X35" s="53">
        <v>149262.04441937656</v>
      </c>
      <c r="Y35" s="53">
        <v>162308.50296174051</v>
      </c>
      <c r="Z35" s="53">
        <v>185317.65527344184</v>
      </c>
      <c r="AA35" s="53">
        <v>208326.80758514316</v>
      </c>
      <c r="AB35" s="53">
        <v>231335.95989684449</v>
      </c>
      <c r="AC35" s="53">
        <v>254345.11220854582</v>
      </c>
      <c r="AD35" s="53">
        <v>277354.26452024718</v>
      </c>
    </row>
    <row r="36" spans="1:30" ht="29" x14ac:dyDescent="0.35">
      <c r="A36" s="3" t="s">
        <v>134</v>
      </c>
      <c r="B36" s="3" t="s">
        <v>135</v>
      </c>
      <c r="C36" s="72" t="s">
        <v>131</v>
      </c>
      <c r="D36" s="53">
        <v>5590035.466517698</v>
      </c>
      <c r="E36" s="53">
        <v>6282480.6096916981</v>
      </c>
      <c r="F36" s="53">
        <v>6730600.6141059883</v>
      </c>
      <c r="G36" s="53">
        <v>7226584.1579711037</v>
      </c>
      <c r="H36" s="53">
        <v>7694667.984208649</v>
      </c>
      <c r="I36" s="53">
        <v>8351447.6567266816</v>
      </c>
      <c r="J36" s="53">
        <v>9003229.9816356506</v>
      </c>
      <c r="K36" s="53">
        <v>8936987.4782962799</v>
      </c>
      <c r="L36" s="53">
        <v>8835154.9114916362</v>
      </c>
      <c r="M36" s="53">
        <v>8718533.6489231624</v>
      </c>
      <c r="N36" s="53">
        <v>9475291.7970275618</v>
      </c>
      <c r="O36" s="53">
        <v>10279986.070977347</v>
      </c>
      <c r="P36" s="53">
        <v>11008354.546351103</v>
      </c>
      <c r="Q36" s="53">
        <v>11873656.119361222</v>
      </c>
      <c r="R36" s="53">
        <v>12823609.057580048</v>
      </c>
      <c r="S36" s="53">
        <v>13920427.552808095</v>
      </c>
      <c r="T36" s="53">
        <v>14970916.767442213</v>
      </c>
      <c r="U36" s="53">
        <v>15974526.10488824</v>
      </c>
      <c r="V36" s="53">
        <v>17110540.997441038</v>
      </c>
      <c r="W36" s="53">
        <v>18367408.434508331</v>
      </c>
      <c r="X36" s="53">
        <v>19668025.454638418</v>
      </c>
      <c r="Y36" s="53">
        <v>20858191.367593877</v>
      </c>
      <c r="Z36" s="53">
        <v>22155954.97216282</v>
      </c>
      <c r="AA36" s="53">
        <v>23377469.95514302</v>
      </c>
      <c r="AB36" s="53">
        <v>24675632.674608726</v>
      </c>
      <c r="AC36" s="53">
        <v>25884999.883769874</v>
      </c>
      <c r="AD36" s="53">
        <v>27123865.268866636</v>
      </c>
    </row>
    <row r="37" spans="1:30" x14ac:dyDescent="0.35">
      <c r="A37" s="72"/>
      <c r="B37" s="72"/>
      <c r="C37" s="72"/>
      <c r="D37" s="53">
        <v>0</v>
      </c>
      <c r="E37" s="53">
        <v>0</v>
      </c>
      <c r="F37" s="53">
        <v>0</v>
      </c>
      <c r="G37" s="53">
        <v>0</v>
      </c>
      <c r="H37" s="53">
        <v>0</v>
      </c>
      <c r="I37" s="53">
        <v>0</v>
      </c>
      <c r="J37" s="53">
        <v>0</v>
      </c>
      <c r="K37" s="53">
        <v>0</v>
      </c>
      <c r="L37" s="53">
        <v>0</v>
      </c>
      <c r="M37" s="53">
        <v>0</v>
      </c>
      <c r="N37" s="53">
        <v>0</v>
      </c>
      <c r="O37" s="53">
        <v>0</v>
      </c>
      <c r="P37" s="53">
        <v>0</v>
      </c>
      <c r="Q37" s="53">
        <v>0</v>
      </c>
      <c r="R37" s="53">
        <v>0</v>
      </c>
      <c r="S37" s="53">
        <v>0</v>
      </c>
      <c r="T37" s="53">
        <v>0</v>
      </c>
      <c r="U37" s="53">
        <v>0</v>
      </c>
      <c r="V37" s="53">
        <v>0</v>
      </c>
      <c r="W37" s="53">
        <v>0</v>
      </c>
      <c r="X37" s="53">
        <v>0</v>
      </c>
      <c r="Y37" s="53">
        <v>0</v>
      </c>
      <c r="Z37" s="53">
        <v>0</v>
      </c>
      <c r="AA37" s="53">
        <v>0</v>
      </c>
      <c r="AB37" s="53">
        <v>0</v>
      </c>
      <c r="AC37" s="53">
        <v>0</v>
      </c>
      <c r="AD37" s="53">
        <v>0</v>
      </c>
    </row>
    <row r="38" spans="1:30" x14ac:dyDescent="0.35">
      <c r="A38" s="72"/>
      <c r="B38" s="72"/>
      <c r="C38" s="72" t="s">
        <v>136</v>
      </c>
      <c r="D38" s="53">
        <f>'Cost Assumptions'!$B$4</f>
        <v>40</v>
      </c>
      <c r="E38" s="53">
        <f>D38*'Cost Assumptions'!$B$5</f>
        <v>41</v>
      </c>
      <c r="F38" s="53">
        <f>E38*'Cost Assumptions'!$B$5</f>
        <v>42.024999999999999</v>
      </c>
      <c r="G38" s="53">
        <f>F38*'Cost Assumptions'!$B$5</f>
        <v>43.075624999999995</v>
      </c>
      <c r="H38" s="9">
        <f>G38*'Cost Assumptions'!$B$5</f>
        <v>44.152515624999992</v>
      </c>
      <c r="I38" s="9">
        <f>H38*'Cost Assumptions'!$B$5</f>
        <v>45.256328515624986</v>
      </c>
      <c r="J38" s="9">
        <f>I38*'Cost Assumptions'!$B$5</f>
        <v>46.387736728515605</v>
      </c>
      <c r="K38" s="9">
        <f>J38*'Cost Assumptions'!$B$5</f>
        <v>47.547430146728495</v>
      </c>
      <c r="L38" s="9">
        <f>K38*'Cost Assumptions'!$B$5</f>
        <v>48.736115900396705</v>
      </c>
      <c r="M38" s="9">
        <f>L38*'Cost Assumptions'!$B$5</f>
        <v>49.954518797906616</v>
      </c>
      <c r="N38" s="9">
        <f>M38*'Cost Assumptions'!$B$5</f>
        <v>51.203381767854275</v>
      </c>
      <c r="O38" s="9">
        <f>N38*'Cost Assumptions'!$B$5</f>
        <v>52.483466312050624</v>
      </c>
      <c r="P38" s="9">
        <f>O38*'Cost Assumptions'!$B$5</f>
        <v>53.795552969851883</v>
      </c>
      <c r="Q38" s="9">
        <f>P38*'Cost Assumptions'!$B$5</f>
        <v>55.140441794098173</v>
      </c>
      <c r="R38" s="9">
        <f>Q38*'Cost Assumptions'!$B$5</f>
        <v>56.518952838950625</v>
      </c>
      <c r="S38" s="9">
        <f>R38*'Cost Assumptions'!$B$5</f>
        <v>57.931926659924386</v>
      </c>
      <c r="T38" s="9">
        <f>S38*'Cost Assumptions'!$B$5</f>
        <v>59.380224826422491</v>
      </c>
      <c r="U38" s="9">
        <f>T38*'Cost Assumptions'!$B$5</f>
        <v>60.864730447083048</v>
      </c>
      <c r="V38" s="9">
        <f>U38*'Cost Assumptions'!$B$5</f>
        <v>62.386348708260115</v>
      </c>
      <c r="W38" s="9">
        <f>V38*'Cost Assumptions'!$B$5</f>
        <v>63.946007425966613</v>
      </c>
      <c r="X38" s="9">
        <f>W38*'Cost Assumptions'!$B$5</f>
        <v>65.544657611615776</v>
      </c>
      <c r="Y38" s="9">
        <f>X38*'Cost Assumptions'!$B$5</f>
        <v>67.183274051906167</v>
      </c>
      <c r="Z38" s="9">
        <f>Y38*'Cost Assumptions'!$B$5</f>
        <v>68.862855903203823</v>
      </c>
      <c r="AA38" s="9">
        <f>Z38*'Cost Assumptions'!$B$5</f>
        <v>70.584427300783915</v>
      </c>
      <c r="AB38" s="9">
        <f>AA38*'Cost Assumptions'!$B$5</f>
        <v>72.349037983303504</v>
      </c>
      <c r="AC38" s="9">
        <f>AB38*'Cost Assumptions'!$B$5</f>
        <v>74.157763932886084</v>
      </c>
      <c r="AD38" s="9">
        <f>AC38*'Cost Assumptions'!$B$5</f>
        <v>76.011708031208229</v>
      </c>
    </row>
    <row r="39" spans="1:30" x14ac:dyDescent="0.35">
      <c r="A39" s="72"/>
      <c r="B39" s="72"/>
      <c r="C39" s="72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</row>
    <row r="40" spans="1:30" ht="23.5" x14ac:dyDescent="0.55000000000000004">
      <c r="A40" s="72"/>
      <c r="B40" s="178" t="s">
        <v>137</v>
      </c>
      <c r="C40" s="178"/>
      <c r="D40" s="178"/>
      <c r="E40" s="178"/>
      <c r="F40" s="178"/>
      <c r="G40" s="178"/>
      <c r="H40" s="178"/>
      <c r="I40" s="178"/>
      <c r="J40" s="178"/>
      <c r="K40" s="178"/>
      <c r="L40" s="178"/>
      <c r="M40" s="178"/>
      <c r="N40" s="178"/>
      <c r="O40" s="178"/>
      <c r="P40" s="178"/>
      <c r="Q40" s="178"/>
      <c r="R40" s="178"/>
      <c r="S40" s="178"/>
      <c r="T40" s="178"/>
      <c r="U40" s="178"/>
      <c r="V40" s="178"/>
      <c r="W40" s="178"/>
      <c r="X40" s="178"/>
      <c r="Y40" s="178"/>
      <c r="Z40" s="178"/>
      <c r="AA40" s="178"/>
      <c r="AB40" s="178"/>
      <c r="AC40" s="178"/>
      <c r="AD40" s="178"/>
    </row>
    <row r="41" spans="1:30" ht="20" thickBot="1" x14ac:dyDescent="0.5">
      <c r="A41" s="113"/>
      <c r="B41" s="122" t="s">
        <v>138</v>
      </c>
      <c r="C41" s="113" t="s">
        <v>105</v>
      </c>
      <c r="D41" s="113">
        <v>2022</v>
      </c>
      <c r="E41" s="113">
        <v>2023</v>
      </c>
      <c r="F41" s="113">
        <v>2024</v>
      </c>
      <c r="G41" s="113">
        <v>2025</v>
      </c>
      <c r="H41" s="113">
        <v>2026</v>
      </c>
      <c r="I41" s="113">
        <v>2027</v>
      </c>
      <c r="J41" s="113">
        <v>2028</v>
      </c>
      <c r="K41" s="113">
        <v>2029</v>
      </c>
      <c r="L41" s="113">
        <v>2030</v>
      </c>
      <c r="M41" s="113">
        <v>2031</v>
      </c>
      <c r="N41" s="113">
        <v>2032</v>
      </c>
      <c r="O41" s="113">
        <v>2033</v>
      </c>
      <c r="P41" s="113">
        <v>2034</v>
      </c>
      <c r="Q41" s="113">
        <v>2035</v>
      </c>
      <c r="R41" s="113">
        <v>2036</v>
      </c>
      <c r="S41" s="113">
        <v>2037</v>
      </c>
      <c r="T41" s="113">
        <v>2038</v>
      </c>
      <c r="U41" s="113">
        <v>2039</v>
      </c>
      <c r="V41" s="113">
        <v>2040</v>
      </c>
      <c r="W41" s="113">
        <v>2041</v>
      </c>
      <c r="X41" s="113">
        <v>2042</v>
      </c>
      <c r="Y41" s="113">
        <v>2043</v>
      </c>
      <c r="Z41" s="113">
        <v>2044</v>
      </c>
      <c r="AA41" s="113">
        <v>2045</v>
      </c>
      <c r="AB41" s="113">
        <v>2046</v>
      </c>
      <c r="AC41" s="113">
        <v>2047</v>
      </c>
      <c r="AD41" s="113">
        <v>2048</v>
      </c>
    </row>
    <row r="42" spans="1:30" ht="15" thickTop="1" x14ac:dyDescent="0.35">
      <c r="A42" s="72"/>
      <c r="B42" s="10">
        <f>NPV('Cost Assumptions'!$B$3,'MiraLoma &amp; Centralized BESS VS'!D42:'MiraLoma &amp; Centralized BESS VS'!AD42)</f>
        <v>15402.59497324041</v>
      </c>
      <c r="C42" s="72" t="s">
        <v>107</v>
      </c>
      <c r="D42" s="53">
        <f t="shared" ref="D42:AD42" si="0">D2-D18</f>
        <v>1213.699999999837</v>
      </c>
      <c r="E42" s="53">
        <f t="shared" si="0"/>
        <v>1235.2480769229078</v>
      </c>
      <c r="F42" s="53">
        <f t="shared" si="0"/>
        <v>1256.7961538459786</v>
      </c>
      <c r="G42" s="53">
        <f t="shared" si="0"/>
        <v>1278.3442307690493</v>
      </c>
      <c r="H42" s="53">
        <f t="shared" si="0"/>
        <v>1299.8923076921201</v>
      </c>
      <c r="I42" s="53">
        <f t="shared" si="0"/>
        <v>1321.4403846151909</v>
      </c>
      <c r="J42" s="53">
        <f t="shared" si="0"/>
        <v>1481.8278846151879</v>
      </c>
      <c r="K42" s="53">
        <f t="shared" si="0"/>
        <v>1455.5846153845414</v>
      </c>
      <c r="L42" s="53">
        <f t="shared" si="0"/>
        <v>1964.1538461539458</v>
      </c>
      <c r="M42" s="53">
        <f t="shared" si="0"/>
        <v>2469.1480769231202</v>
      </c>
      <c r="N42" s="53">
        <f t="shared" si="0"/>
        <v>2413.6923076921812</v>
      </c>
      <c r="O42" s="53">
        <f t="shared" si="0"/>
        <v>2361.0631009613862</v>
      </c>
      <c r="P42" s="53">
        <f t="shared" si="0"/>
        <v>2308.4338942305912</v>
      </c>
      <c r="Q42" s="53">
        <f t="shared" si="0"/>
        <v>2255.8046874997963</v>
      </c>
      <c r="R42" s="53">
        <f t="shared" si="0"/>
        <v>2218.5600961536184</v>
      </c>
      <c r="S42" s="53">
        <f t="shared" si="0"/>
        <v>2181.3155048074404</v>
      </c>
      <c r="T42" s="53">
        <f t="shared" si="0"/>
        <v>2144.0709134612625</v>
      </c>
      <c r="U42" s="53">
        <f t="shared" si="0"/>
        <v>2106.8263221150846</v>
      </c>
      <c r="V42" s="53">
        <f t="shared" si="0"/>
        <v>2069.5817307689067</v>
      </c>
      <c r="W42" s="53">
        <f t="shared" si="0"/>
        <v>2032.3371394227288</v>
      </c>
      <c r="X42" s="53">
        <f t="shared" si="0"/>
        <v>1995.0925480765509</v>
      </c>
      <c r="Y42" s="53">
        <f t="shared" si="0"/>
        <v>1957.847956730373</v>
      </c>
      <c r="Z42" s="53">
        <f t="shared" si="0"/>
        <v>1920.6033653841951</v>
      </c>
      <c r="AA42" s="53">
        <f t="shared" si="0"/>
        <v>1883.3587740380171</v>
      </c>
      <c r="AB42" s="53">
        <f t="shared" si="0"/>
        <v>1846.1141826918392</v>
      </c>
      <c r="AC42" s="53">
        <f t="shared" si="0"/>
        <v>1808.8695913456613</v>
      </c>
      <c r="AD42" s="53">
        <f t="shared" si="0"/>
        <v>1771.6249999994398</v>
      </c>
    </row>
    <row r="43" spans="1:30" x14ac:dyDescent="0.35">
      <c r="A43" s="72"/>
      <c r="B43" s="10">
        <f>NPV('Cost Assumptions'!$B$3,'MiraLoma &amp; Centralized BESS VS'!D43:'MiraLoma &amp; Centralized BESS VS'!AD43)</f>
        <v>782066.82292392617</v>
      </c>
      <c r="C43" s="72" t="s">
        <v>139</v>
      </c>
      <c r="D43" s="53">
        <f t="shared" ref="D43:AD43" si="1">D42*D38</f>
        <v>48547.999999993481</v>
      </c>
      <c r="E43" s="53">
        <f t="shared" si="1"/>
        <v>50645.171153839219</v>
      </c>
      <c r="F43" s="53">
        <f t="shared" si="1"/>
        <v>52816.858365377244</v>
      </c>
      <c r="G43" s="53">
        <f t="shared" si="1"/>
        <v>55065.476705521025</v>
      </c>
      <c r="H43" s="53">
        <f t="shared" si="1"/>
        <v>57393.515426193633</v>
      </c>
      <c r="I43" s="53">
        <f t="shared" si="1"/>
        <v>59803.540159958909</v>
      </c>
      <c r="J43" s="53">
        <f t="shared" si="1"/>
        <v>68738.641788502544</v>
      </c>
      <c r="K43" s="53">
        <f t="shared" si="1"/>
        <v>69209.307822649149</v>
      </c>
      <c r="L43" s="53">
        <f t="shared" si="1"/>
        <v>95725.229492368657</v>
      </c>
      <c r="M43" s="53">
        <f t="shared" si="1"/>
        <v>123345.10402347098</v>
      </c>
      <c r="N43" s="53">
        <f t="shared" si="1"/>
        <v>123589.20870089594</v>
      </c>
      <c r="O43" s="53">
        <f t="shared" si="1"/>
        <v>123916.77571993269</v>
      </c>
      <c r="P43" s="53">
        <f t="shared" si="1"/>
        <v>124183.47783448323</v>
      </c>
      <c r="Q43" s="53">
        <f t="shared" si="1"/>
        <v>124386.06706993634</v>
      </c>
      <c r="R43" s="53">
        <f t="shared" si="1"/>
        <v>125390.69344488412</v>
      </c>
      <c r="S43" s="53">
        <f t="shared" si="1"/>
        <v>126367.80984666057</v>
      </c>
      <c r="T43" s="53">
        <f t="shared" si="1"/>
        <v>127315.41288512282</v>
      </c>
      <c r="U43" s="53">
        <f t="shared" si="1"/>
        <v>128231.41619435398</v>
      </c>
      <c r="V43" s="53">
        <f t="shared" si="1"/>
        <v>129113.64753599351</v>
      </c>
      <c r="W43" s="53">
        <f t="shared" si="1"/>
        <v>129959.84580959356</v>
      </c>
      <c r="X43" s="53">
        <f t="shared" si="1"/>
        <v>130767.65796716361</v>
      </c>
      <c r="Y43" s="53">
        <f t="shared" si="1"/>
        <v>131534.63582898118</v>
      </c>
      <c r="Z43" s="53">
        <f t="shared" si="1"/>
        <v>132258.23279766014</v>
      </c>
      <c r="AA43" s="53">
        <f t="shared" si="1"/>
        <v>132935.80046737994</v>
      </c>
      <c r="AB43" s="53">
        <f t="shared" si="1"/>
        <v>133564.58512508718</v>
      </c>
      <c r="AC43" s="53">
        <f t="shared" si="1"/>
        <v>134141.72414038767</v>
      </c>
      <c r="AD43" s="53">
        <f t="shared" si="1"/>
        <v>134664.24224074668</v>
      </c>
    </row>
    <row r="44" spans="1:30" x14ac:dyDescent="0.35">
      <c r="A44" s="72" t="s">
        <v>30</v>
      </c>
      <c r="B44" s="10">
        <f>NPV('Cost Assumptions'!$B$3,'MiraLoma &amp; Centralized BESS VS'!D44:'MiraLoma &amp; Centralized BESS VS'!AD44)</f>
        <v>753.64055081831418</v>
      </c>
      <c r="C44" s="72" t="s">
        <v>31</v>
      </c>
      <c r="D44" s="53">
        <f t="shared" ref="D44:AD44" si="2">D3-D19</f>
        <v>10</v>
      </c>
      <c r="E44" s="53">
        <f t="shared" si="2"/>
        <v>20.5</v>
      </c>
      <c r="F44" s="53">
        <f t="shared" si="2"/>
        <v>29.879999999999995</v>
      </c>
      <c r="G44" s="53">
        <f t="shared" si="2"/>
        <v>39.259999999999991</v>
      </c>
      <c r="H44" s="53">
        <f t="shared" si="2"/>
        <v>48.639999999999986</v>
      </c>
      <c r="I44" s="53">
        <f t="shared" si="2"/>
        <v>58.019999999999982</v>
      </c>
      <c r="J44" s="53">
        <f t="shared" si="2"/>
        <v>37.999999999999972</v>
      </c>
      <c r="K44" s="53">
        <f t="shared" si="2"/>
        <v>34.899999999999949</v>
      </c>
      <c r="L44" s="53">
        <f t="shared" si="2"/>
        <v>32.500000000000028</v>
      </c>
      <c r="M44" s="53">
        <f t="shared" si="2"/>
        <v>26.499999999999972</v>
      </c>
      <c r="N44" s="53">
        <f t="shared" si="2"/>
        <v>33.199999999999989</v>
      </c>
      <c r="O44" s="53">
        <f t="shared" si="2"/>
        <v>48.466666666666725</v>
      </c>
      <c r="P44" s="53">
        <f t="shared" si="2"/>
        <v>51.966666666666683</v>
      </c>
      <c r="Q44" s="53">
        <f t="shared" si="2"/>
        <v>61.35000000000003</v>
      </c>
      <c r="R44" s="53">
        <f t="shared" si="2"/>
        <v>85.326666666666753</v>
      </c>
      <c r="S44" s="53">
        <f t="shared" si="2"/>
        <v>97.613333333333429</v>
      </c>
      <c r="T44" s="53">
        <f t="shared" si="2"/>
        <v>109.90000000000006</v>
      </c>
      <c r="U44" s="53">
        <f t="shared" si="2"/>
        <v>165.35000000000002</v>
      </c>
      <c r="V44" s="53">
        <f t="shared" si="2"/>
        <v>220.8</v>
      </c>
      <c r="W44" s="53">
        <f t="shared" si="2"/>
        <v>276.25</v>
      </c>
      <c r="X44" s="53">
        <f t="shared" si="2"/>
        <v>331.69999999999993</v>
      </c>
      <c r="Y44" s="53">
        <f t="shared" si="2"/>
        <v>347.30000000000007</v>
      </c>
      <c r="Z44" s="53">
        <f t="shared" si="2"/>
        <v>406.74000000000012</v>
      </c>
      <c r="AA44" s="53">
        <f t="shared" si="2"/>
        <v>466.18000000000006</v>
      </c>
      <c r="AB44" s="53">
        <f t="shared" si="2"/>
        <v>525.62000000000012</v>
      </c>
      <c r="AC44" s="53">
        <f t="shared" si="2"/>
        <v>585.06000000000006</v>
      </c>
      <c r="AD44" s="53">
        <f t="shared" si="2"/>
        <v>644.50000000000011</v>
      </c>
    </row>
    <row r="45" spans="1:30" x14ac:dyDescent="0.35">
      <c r="A45" s="72" t="s">
        <v>30</v>
      </c>
      <c r="B45" s="10">
        <f>NPV('Cost Assumptions'!$B$3,'MiraLoma &amp; Centralized BESS VS'!D45:'MiraLoma &amp; Centralized BESS VS'!AD45)</f>
        <v>43.667206319350967</v>
      </c>
      <c r="C45" s="72" t="s">
        <v>32</v>
      </c>
      <c r="D45" s="53">
        <f t="shared" ref="D45:AD45" si="3">D4-D20</f>
        <v>2</v>
      </c>
      <c r="E45" s="53">
        <f t="shared" si="3"/>
        <v>3</v>
      </c>
      <c r="F45" s="53">
        <f t="shared" si="3"/>
        <v>4.6799999999999953</v>
      </c>
      <c r="G45" s="53">
        <f t="shared" si="3"/>
        <v>6.3599999999999905</v>
      </c>
      <c r="H45" s="53">
        <f t="shared" si="3"/>
        <v>8.0399999999999867</v>
      </c>
      <c r="I45" s="53">
        <f t="shared" si="3"/>
        <v>9.7199999999999829</v>
      </c>
      <c r="J45" s="53">
        <f t="shared" si="3"/>
        <v>1.3999999999999773</v>
      </c>
      <c r="K45" s="53">
        <f t="shared" si="3"/>
        <v>1.3999999999999773</v>
      </c>
      <c r="L45" s="53">
        <f t="shared" si="3"/>
        <v>1.4000000000000057</v>
      </c>
      <c r="M45" s="53">
        <f t="shared" si="3"/>
        <v>1.3000000000000114</v>
      </c>
      <c r="N45" s="53">
        <f t="shared" si="3"/>
        <v>1.3000000000000114</v>
      </c>
      <c r="O45" s="53">
        <f t="shared" si="3"/>
        <v>0.83333333333335169</v>
      </c>
      <c r="P45" s="53">
        <f t="shared" si="3"/>
        <v>0.83333333333333215</v>
      </c>
      <c r="Q45" s="53">
        <f t="shared" si="3"/>
        <v>0.59999999999999254</v>
      </c>
      <c r="R45" s="53">
        <f t="shared" si="3"/>
        <v>3.2733333333333228</v>
      </c>
      <c r="S45" s="53">
        <f t="shared" si="3"/>
        <v>4.0866666666666482</v>
      </c>
      <c r="T45" s="53">
        <f t="shared" si="3"/>
        <v>4.8999999999999773</v>
      </c>
      <c r="U45" s="53">
        <f t="shared" si="3"/>
        <v>6.9999999999999893</v>
      </c>
      <c r="V45" s="53">
        <f t="shared" si="3"/>
        <v>9.1000000000000014</v>
      </c>
      <c r="W45" s="53">
        <f t="shared" si="3"/>
        <v>11.200000000000014</v>
      </c>
      <c r="X45" s="53">
        <f t="shared" si="3"/>
        <v>13.300000000000026</v>
      </c>
      <c r="Y45" s="53">
        <f t="shared" si="3"/>
        <v>15.400000000000034</v>
      </c>
      <c r="Z45" s="53">
        <f t="shared" si="3"/>
        <v>15.040000000000033</v>
      </c>
      <c r="AA45" s="53">
        <f t="shared" si="3"/>
        <v>14.680000000000032</v>
      </c>
      <c r="AB45" s="53">
        <f t="shared" si="3"/>
        <v>14.320000000000025</v>
      </c>
      <c r="AC45" s="53">
        <f t="shared" si="3"/>
        <v>13.960000000000019</v>
      </c>
      <c r="AD45" s="53">
        <f t="shared" si="3"/>
        <v>13.600000000000023</v>
      </c>
    </row>
    <row r="46" spans="1:30" x14ac:dyDescent="0.35">
      <c r="A46" s="72" t="s">
        <v>30</v>
      </c>
      <c r="B46" s="10">
        <f>NPV('Cost Assumptions'!$B$3,'MiraLoma &amp; Centralized BESS VS'!D46:'MiraLoma &amp; Centralized BESS VS'!AD46)</f>
        <v>69.172604922535854</v>
      </c>
      <c r="C46" s="72" t="s">
        <v>33</v>
      </c>
      <c r="D46" s="53">
        <f t="shared" ref="D46:AD46" si="4">D5-D21</f>
        <v>8.4812112193331513E-2</v>
      </c>
      <c r="E46" s="53">
        <f t="shared" si="4"/>
        <v>0.24283371212350299</v>
      </c>
      <c r="F46" s="53">
        <f t="shared" si="4"/>
        <v>0.34046276046663143</v>
      </c>
      <c r="G46" s="53">
        <f t="shared" si="4"/>
        <v>0.43809180880975984</v>
      </c>
      <c r="H46" s="53">
        <f t="shared" si="4"/>
        <v>0.53572085715288831</v>
      </c>
      <c r="I46" s="53">
        <f t="shared" si="4"/>
        <v>0.63334990549601677</v>
      </c>
      <c r="J46" s="53">
        <f t="shared" si="4"/>
        <v>0.57952041782759189</v>
      </c>
      <c r="K46" s="53">
        <f t="shared" si="4"/>
        <v>0.52409432490525654</v>
      </c>
      <c r="L46" s="53">
        <f t="shared" si="4"/>
        <v>0.45827927807619656</v>
      </c>
      <c r="M46" s="53">
        <f t="shared" si="4"/>
        <v>0.42003140609252709</v>
      </c>
      <c r="N46" s="53">
        <f t="shared" si="4"/>
        <v>0.48232004376229937</v>
      </c>
      <c r="O46" s="53">
        <f t="shared" si="4"/>
        <v>0.83276957446067579</v>
      </c>
      <c r="P46" s="53">
        <f t="shared" si="4"/>
        <v>1.0093492868710476</v>
      </c>
      <c r="Q46" s="53">
        <f t="shared" si="4"/>
        <v>1.2728639084254216</v>
      </c>
      <c r="R46" s="53">
        <f t="shared" si="4"/>
        <v>1.678876395307495</v>
      </c>
      <c r="S46" s="53">
        <f t="shared" si="4"/>
        <v>1.9609120022564346</v>
      </c>
      <c r="T46" s="53">
        <f t="shared" si="4"/>
        <v>2.2429476092053751</v>
      </c>
      <c r="U46" s="53">
        <f t="shared" si="4"/>
        <v>19.950845498520575</v>
      </c>
      <c r="V46" s="53">
        <f t="shared" si="4"/>
        <v>37.658743387835777</v>
      </c>
      <c r="W46" s="53">
        <f t="shared" si="4"/>
        <v>55.366641277150975</v>
      </c>
      <c r="X46" s="53">
        <f t="shared" si="4"/>
        <v>73.074539166466167</v>
      </c>
      <c r="Y46" s="53">
        <f t="shared" si="4"/>
        <v>90.782437055781386</v>
      </c>
      <c r="Z46" s="53">
        <f t="shared" si="4"/>
        <v>77.897697128817811</v>
      </c>
      <c r="AA46" s="53">
        <f t="shared" si="4"/>
        <v>65.012957201854221</v>
      </c>
      <c r="AB46" s="53">
        <f t="shared" si="4"/>
        <v>52.128217274890652</v>
      </c>
      <c r="AC46" s="53">
        <f t="shared" si="4"/>
        <v>39.243477347927076</v>
      </c>
      <c r="AD46" s="53">
        <f t="shared" si="4"/>
        <v>26.3587374209635</v>
      </c>
    </row>
    <row r="47" spans="1:30" x14ac:dyDescent="0.35">
      <c r="A47" s="72" t="s">
        <v>30</v>
      </c>
      <c r="B47" s="10">
        <f>NPV('Cost Assumptions'!$B$3,'MiraLoma &amp; Centralized BESS VS'!D47:'MiraLoma &amp; Centralized BESS VS'!AD47)</f>
        <v>1.2091558864170644</v>
      </c>
      <c r="C47" s="72" t="s">
        <v>34</v>
      </c>
      <c r="D47" s="53">
        <f t="shared" ref="D47:AD47" si="5">D6-D22</f>
        <v>6.0580080138093939E-3</v>
      </c>
      <c r="E47" s="53">
        <f t="shared" si="5"/>
        <v>1.7771756236396739E-2</v>
      </c>
      <c r="F47" s="53">
        <f t="shared" si="5"/>
        <v>2.504677784712513E-2</v>
      </c>
      <c r="G47" s="53">
        <f t="shared" si="5"/>
        <v>3.2321799457853517E-2</v>
      </c>
      <c r="H47" s="53">
        <f t="shared" si="5"/>
        <v>3.9596821068581908E-2</v>
      </c>
      <c r="I47" s="53">
        <f t="shared" si="5"/>
        <v>4.6871842679310299E-2</v>
      </c>
      <c r="J47" s="53">
        <f t="shared" si="5"/>
        <v>2.3855157087728045E-2</v>
      </c>
      <c r="K47" s="53">
        <f t="shared" si="5"/>
        <v>2.2328558332363031E-2</v>
      </c>
      <c r="L47" s="53">
        <f t="shared" si="5"/>
        <v>2.1167083942864567E-2</v>
      </c>
      <c r="M47" s="53">
        <f t="shared" si="5"/>
        <v>1.6337934707735799E-2</v>
      </c>
      <c r="N47" s="53">
        <f t="shared" si="5"/>
        <v>2.1090856196819639E-2</v>
      </c>
      <c r="O47" s="53">
        <f t="shared" si="5"/>
        <v>3.2359631931743002E-2</v>
      </c>
      <c r="P47" s="53">
        <f t="shared" si="5"/>
        <v>3.152981370841805E-2</v>
      </c>
      <c r="Q47" s="53">
        <f t="shared" si="5"/>
        <v>3.6749292464217258E-2</v>
      </c>
      <c r="R47" s="53">
        <f t="shared" si="5"/>
        <v>5.6954807354585781E-2</v>
      </c>
      <c r="S47" s="53">
        <f t="shared" si="5"/>
        <v>6.515319916220004E-2</v>
      </c>
      <c r="T47" s="53">
        <f t="shared" si="5"/>
        <v>7.3351590969814293E-2</v>
      </c>
      <c r="U47" s="53">
        <f t="shared" si="5"/>
        <v>0.31923843047001155</v>
      </c>
      <c r="V47" s="53">
        <f t="shared" si="5"/>
        <v>0.56512526997020884</v>
      </c>
      <c r="W47" s="53">
        <f t="shared" si="5"/>
        <v>0.81101210947040614</v>
      </c>
      <c r="X47" s="53">
        <f t="shared" si="5"/>
        <v>1.0568989489706033</v>
      </c>
      <c r="Y47" s="53">
        <f t="shared" si="5"/>
        <v>1.3027857884708005</v>
      </c>
      <c r="Z47" s="53">
        <f t="shared" si="5"/>
        <v>1.1502068033509083</v>
      </c>
      <c r="AA47" s="53">
        <f t="shared" si="5"/>
        <v>0.99762781823101609</v>
      </c>
      <c r="AB47" s="53">
        <f t="shared" si="5"/>
        <v>0.84504883311112389</v>
      </c>
      <c r="AC47" s="53">
        <f t="shared" si="5"/>
        <v>0.69246984799123168</v>
      </c>
      <c r="AD47" s="53">
        <f t="shared" si="5"/>
        <v>0.53989086287133914</v>
      </c>
    </row>
    <row r="48" spans="1:30" ht="15.65" customHeight="1" x14ac:dyDescent="0.35">
      <c r="A48" s="72" t="s">
        <v>30</v>
      </c>
      <c r="B48" s="10">
        <f>NPV('Cost Assumptions'!$B$3,'MiraLoma &amp; Centralized BESS VS'!D48:'MiraLoma &amp; Centralized BESS VS'!AD48)</f>
        <v>269.1878055059604</v>
      </c>
      <c r="C48" s="72" t="s">
        <v>35</v>
      </c>
      <c r="D48" s="53">
        <f t="shared" ref="D48:AD48" si="6">D7-D23</f>
        <v>14</v>
      </c>
      <c r="E48" s="53">
        <f t="shared" si="6"/>
        <v>21</v>
      </c>
      <c r="F48" s="53">
        <f t="shared" si="6"/>
        <v>23.2</v>
      </c>
      <c r="G48" s="53">
        <f t="shared" si="6"/>
        <v>25.4</v>
      </c>
      <c r="H48" s="53">
        <f t="shared" si="6"/>
        <v>27.599999999999998</v>
      </c>
      <c r="I48" s="53">
        <f t="shared" si="6"/>
        <v>29.799999999999997</v>
      </c>
      <c r="J48" s="53">
        <f t="shared" si="6"/>
        <v>27</v>
      </c>
      <c r="K48" s="53">
        <f t="shared" si="6"/>
        <v>26</v>
      </c>
      <c r="L48" s="53">
        <f t="shared" si="6"/>
        <v>25</v>
      </c>
      <c r="M48" s="53">
        <f t="shared" si="6"/>
        <v>25</v>
      </c>
      <c r="N48" s="53">
        <f t="shared" si="6"/>
        <v>25</v>
      </c>
      <c r="O48" s="53">
        <f t="shared" si="6"/>
        <v>27.666666666666664</v>
      </c>
      <c r="P48" s="53">
        <f t="shared" si="6"/>
        <v>30.333333333333329</v>
      </c>
      <c r="Q48" s="53">
        <f t="shared" si="6"/>
        <v>32.999999999999993</v>
      </c>
      <c r="R48" s="53">
        <f t="shared" si="6"/>
        <v>35.666666666666657</v>
      </c>
      <c r="S48" s="53">
        <f t="shared" si="6"/>
        <v>38.333333333333321</v>
      </c>
      <c r="T48" s="53">
        <f t="shared" si="6"/>
        <v>41</v>
      </c>
      <c r="U48" s="53">
        <f t="shared" si="6"/>
        <v>43.8</v>
      </c>
      <c r="V48" s="53">
        <f t="shared" si="6"/>
        <v>46.6</v>
      </c>
      <c r="W48" s="53">
        <f t="shared" si="6"/>
        <v>49.399999999999991</v>
      </c>
      <c r="X48" s="53">
        <f t="shared" si="6"/>
        <v>52.199999999999989</v>
      </c>
      <c r="Y48" s="53">
        <f t="shared" si="6"/>
        <v>55</v>
      </c>
      <c r="Z48" s="53">
        <f t="shared" si="6"/>
        <v>56.4</v>
      </c>
      <c r="AA48" s="53">
        <f t="shared" si="6"/>
        <v>57.8</v>
      </c>
      <c r="AB48" s="53">
        <f t="shared" si="6"/>
        <v>59.199999999999996</v>
      </c>
      <c r="AC48" s="53">
        <f t="shared" si="6"/>
        <v>60.599999999999994</v>
      </c>
      <c r="AD48" s="53">
        <f t="shared" si="6"/>
        <v>62</v>
      </c>
    </row>
    <row r="49" spans="1:30" s="52" customFormat="1" x14ac:dyDescent="0.35">
      <c r="A49" s="72" t="s">
        <v>30</v>
      </c>
      <c r="B49" s="10">
        <f>NPV('Cost Assumptions'!$B$3,'MiraLoma &amp; Centralized BESS VS'!D49:'MiraLoma &amp; Centralized BESS VS'!AD49)</f>
        <v>85504.238977438508</v>
      </c>
      <c r="C49" s="70" t="s">
        <v>140</v>
      </c>
      <c r="D49" s="53">
        <f>D13-D24</f>
        <v>3265.7421655023345</v>
      </c>
      <c r="E49" s="53">
        <f>E13-E24</f>
        <v>4342.4448571988651</v>
      </c>
      <c r="F49" s="53">
        <f t="shared" ref="F49:AD49" si="7">F13-F24</f>
        <v>5419.1475488953965</v>
      </c>
      <c r="G49" s="53">
        <f t="shared" si="7"/>
        <v>6495.850240591928</v>
      </c>
      <c r="H49" s="53">
        <f t="shared" si="7"/>
        <v>7572.5529322884595</v>
      </c>
      <c r="I49" s="53">
        <f t="shared" si="7"/>
        <v>8649.255623984991</v>
      </c>
      <c r="J49" s="53">
        <f t="shared" si="7"/>
        <v>9725.9583156815224</v>
      </c>
      <c r="K49" s="53">
        <f t="shared" si="7"/>
        <v>9527.6169796581416</v>
      </c>
      <c r="L49" s="53">
        <f t="shared" si="7"/>
        <v>9329.275643634759</v>
      </c>
      <c r="M49" s="53">
        <f t="shared" si="7"/>
        <v>8233.2003675724209</v>
      </c>
      <c r="N49" s="53">
        <f t="shared" si="7"/>
        <v>8715.1650753830054</v>
      </c>
      <c r="O49" s="53">
        <f t="shared" si="7"/>
        <v>10948.992306630727</v>
      </c>
      <c r="P49" s="53">
        <f t="shared" si="7"/>
        <v>11632.205218113837</v>
      </c>
      <c r="Q49" s="53">
        <f t="shared" si="7"/>
        <v>12215.41812959695</v>
      </c>
      <c r="R49" s="53">
        <f t="shared" si="7"/>
        <v>12994.875925410715</v>
      </c>
      <c r="S49" s="53">
        <f t="shared" si="7"/>
        <v>13774.333721224481</v>
      </c>
      <c r="T49" s="53">
        <f t="shared" si="7"/>
        <v>14553.791517038246</v>
      </c>
      <c r="U49" s="53">
        <f t="shared" si="7"/>
        <v>15333.249312852011</v>
      </c>
      <c r="V49" s="53">
        <f t="shared" si="7"/>
        <v>16112.707108665776</v>
      </c>
      <c r="W49" s="53">
        <f t="shared" si="7"/>
        <v>16892.164904479541</v>
      </c>
      <c r="X49" s="53">
        <f t="shared" si="7"/>
        <v>17671.622700293308</v>
      </c>
      <c r="Y49" s="53">
        <f t="shared" si="7"/>
        <v>18451.080496107072</v>
      </c>
      <c r="Z49" s="53">
        <f t="shared" si="7"/>
        <v>19230.538291920835</v>
      </c>
      <c r="AA49" s="53">
        <f t="shared" si="7"/>
        <v>20009.996087734602</v>
      </c>
      <c r="AB49" s="53">
        <f t="shared" si="7"/>
        <v>20789.453883548369</v>
      </c>
      <c r="AC49" s="53">
        <f t="shared" si="7"/>
        <v>21568.911679362132</v>
      </c>
      <c r="AD49" s="53">
        <f t="shared" si="7"/>
        <v>22348.369475175892</v>
      </c>
    </row>
    <row r="50" spans="1:30" s="52" customFormat="1" x14ac:dyDescent="0.35">
      <c r="A50" s="72" t="s">
        <v>30</v>
      </c>
      <c r="B50" s="10">
        <f>NPV('Cost Assumptions'!$B$3,'MiraLoma &amp; Centralized BESS VS'!D50:'MiraLoma &amp; Centralized BESS VS'!AD50)</f>
        <v>499595.17897993606</v>
      </c>
      <c r="C50" s="70" t="s">
        <v>141</v>
      </c>
      <c r="D50" s="53">
        <f>D14-D25</f>
        <v>53381.948565564468</v>
      </c>
      <c r="E50" s="53">
        <f t="shared" ref="E50:AD50" si="8">E14-E25</f>
        <v>53578.098597226664</v>
      </c>
      <c r="F50" s="53">
        <f t="shared" si="8"/>
        <v>53671.358376651682</v>
      </c>
      <c r="G50" s="53">
        <f t="shared" si="8"/>
        <v>53767.096838726808</v>
      </c>
      <c r="H50" s="53">
        <f t="shared" si="8"/>
        <v>53867.902496474911</v>
      </c>
      <c r="I50" s="53">
        <f t="shared" si="8"/>
        <v>53983.342998637876</v>
      </c>
      <c r="J50" s="53">
        <f t="shared" si="8"/>
        <v>54098.853472072078</v>
      </c>
      <c r="K50" s="53">
        <f t="shared" si="8"/>
        <v>54022.676411643042</v>
      </c>
      <c r="L50" s="53">
        <f t="shared" si="8"/>
        <v>53946.569027170452</v>
      </c>
      <c r="M50" s="53">
        <f t="shared" si="8"/>
        <v>53870.447556563857</v>
      </c>
      <c r="N50" s="53">
        <f t="shared" si="8"/>
        <v>53992.377136425435</v>
      </c>
      <c r="O50" s="53">
        <f t="shared" si="8"/>
        <v>54117.673302422714</v>
      </c>
      <c r="P50" s="53">
        <f t="shared" si="8"/>
        <v>54246.603691109805</v>
      </c>
      <c r="Q50" s="53">
        <f t="shared" si="8"/>
        <v>54373.153523073706</v>
      </c>
      <c r="R50" s="53">
        <f t="shared" si="8"/>
        <v>54502.450151256722</v>
      </c>
      <c r="S50" s="53">
        <f t="shared" si="8"/>
        <v>54634.085077759868</v>
      </c>
      <c r="T50" s="53">
        <f t="shared" si="8"/>
        <v>54768.790781574586</v>
      </c>
      <c r="U50" s="53">
        <f t="shared" si="8"/>
        <v>54891.283806814638</v>
      </c>
      <c r="V50" s="53">
        <f t="shared" si="8"/>
        <v>55014.326191299071</v>
      </c>
      <c r="W50" s="53">
        <f t="shared" si="8"/>
        <v>55137.326317379397</v>
      </c>
      <c r="X50" s="53">
        <f t="shared" si="8"/>
        <v>55261.115266989567</v>
      </c>
      <c r="Y50" s="53">
        <f t="shared" si="8"/>
        <v>55364.408890964842</v>
      </c>
      <c r="Z50" s="53">
        <f t="shared" si="8"/>
        <v>55465.265613678726</v>
      </c>
      <c r="AA50" s="53">
        <f t="shared" si="8"/>
        <v>55562.755750257085</v>
      </c>
      <c r="AB50" s="53">
        <f t="shared" si="8"/>
        <v>55657.569521288708</v>
      </c>
      <c r="AC50" s="53">
        <f t="shared" si="8"/>
        <v>55725.239311221754</v>
      </c>
      <c r="AD50" s="53">
        <f t="shared" si="8"/>
        <v>55785.711086446507</v>
      </c>
    </row>
    <row r="51" spans="1:30" s="66" customFormat="1" x14ac:dyDescent="0.35">
      <c r="A51" s="72" t="s">
        <v>30</v>
      </c>
      <c r="B51" s="10">
        <f>NPV('Cost Assumptions'!$B$3,'MiraLoma &amp; Centralized BESS VS'!D51:'MiraLoma &amp; Centralized BESS VS'!AD51)</f>
        <v>451168.6674474118</v>
      </c>
      <c r="C51" s="70" t="s">
        <v>142</v>
      </c>
      <c r="D51" s="53">
        <f>D15-D26</f>
        <v>39606.70542502257</v>
      </c>
      <c r="E51" s="53">
        <f t="shared" ref="E51:AD51" si="9">E15-E26</f>
        <v>42013.796277037967</v>
      </c>
      <c r="F51" s="53">
        <f t="shared" si="9"/>
        <v>43206.111528351816</v>
      </c>
      <c r="G51" s="53">
        <f t="shared" si="9"/>
        <v>44440.668369839448</v>
      </c>
      <c r="H51" s="53">
        <f t="shared" si="9"/>
        <v>45762.221031145935</v>
      </c>
      <c r="I51" s="53">
        <f t="shared" si="9"/>
        <v>47290.348523853449</v>
      </c>
      <c r="J51" s="53">
        <f t="shared" si="9"/>
        <v>48843.028248838484</v>
      </c>
      <c r="K51" s="53">
        <f t="shared" si="9"/>
        <v>47813.472189499058</v>
      </c>
      <c r="L51" s="53">
        <f t="shared" si="9"/>
        <v>46801.862733368238</v>
      </c>
      <c r="M51" s="53">
        <f t="shared" si="9"/>
        <v>45796.275980344071</v>
      </c>
      <c r="N51" s="53">
        <f t="shared" si="9"/>
        <v>47410.254412630282</v>
      </c>
      <c r="O51" s="53">
        <f t="shared" si="9"/>
        <v>49100.129185365789</v>
      </c>
      <c r="P51" s="53">
        <f t="shared" si="9"/>
        <v>50847.939698127615</v>
      </c>
      <c r="Q51" s="53">
        <f t="shared" si="9"/>
        <v>52561.074590785945</v>
      </c>
      <c r="R51" s="53">
        <f t="shared" si="9"/>
        <v>54310.822606127338</v>
      </c>
      <c r="S51" s="53">
        <f t="shared" si="9"/>
        <v>56116.420931129651</v>
      </c>
      <c r="T51" s="53">
        <f t="shared" si="9"/>
        <v>57999.751499429585</v>
      </c>
      <c r="U51" s="53">
        <f t="shared" si="9"/>
        <v>59748.239804196615</v>
      </c>
      <c r="V51" s="53">
        <f t="shared" si="9"/>
        <v>61513.790173187095</v>
      </c>
      <c r="W51" s="53">
        <f t="shared" si="9"/>
        <v>63330.415289924094</v>
      </c>
      <c r="X51" s="53">
        <f t="shared" si="9"/>
        <v>65176.805188297891</v>
      </c>
      <c r="Y51" s="53">
        <f t="shared" si="9"/>
        <v>66739.119627343331</v>
      </c>
      <c r="Z51" s="53">
        <f t="shared" si="9"/>
        <v>68254.286917698279</v>
      </c>
      <c r="AA51" s="53">
        <f t="shared" si="9"/>
        <v>69714.835350945854</v>
      </c>
      <c r="AB51" s="53">
        <f t="shared" si="9"/>
        <v>71141.734170752607</v>
      </c>
      <c r="AC51" s="53">
        <f t="shared" si="9"/>
        <v>72167.197208417027</v>
      </c>
      <c r="AD51" s="53">
        <f t="shared" si="9"/>
        <v>73097.475326279891</v>
      </c>
    </row>
    <row r="52" spans="1:30" x14ac:dyDescent="0.35">
      <c r="A52" s="72" t="s">
        <v>39</v>
      </c>
      <c r="B52" s="10">
        <f>NPV('Cost Assumptions'!$B$3,'MiraLoma &amp; Centralized BESS VS'!D52:'MiraLoma &amp; Centralized BESS VS'!AD52)</f>
        <v>3662.4319152534908</v>
      </c>
      <c r="C52" s="72" t="s">
        <v>31</v>
      </c>
      <c r="D52" s="53">
        <f t="shared" ref="D52:AD52" si="10">D8-D27</f>
        <v>22.2</v>
      </c>
      <c r="E52" s="53">
        <f t="shared" si="10"/>
        <v>65.8</v>
      </c>
      <c r="F52" s="53">
        <f t="shared" si="10"/>
        <v>102.72</v>
      </c>
      <c r="G52" s="53">
        <f t="shared" si="10"/>
        <v>139.63999999999999</v>
      </c>
      <c r="H52" s="53">
        <f t="shared" si="10"/>
        <v>176.56</v>
      </c>
      <c r="I52" s="53">
        <f t="shared" si="10"/>
        <v>213.48000000000002</v>
      </c>
      <c r="J52" s="53">
        <f t="shared" si="10"/>
        <v>250.4</v>
      </c>
      <c r="K52" s="53">
        <f t="shared" si="10"/>
        <v>216.60000000000014</v>
      </c>
      <c r="L52" s="53">
        <f t="shared" si="10"/>
        <v>182.59999999999991</v>
      </c>
      <c r="M52" s="53">
        <f t="shared" si="10"/>
        <v>151.20000000000005</v>
      </c>
      <c r="N52" s="53">
        <f t="shared" si="10"/>
        <v>202.60000000000014</v>
      </c>
      <c r="O52" s="53">
        <f t="shared" si="10"/>
        <v>292.1666666666668</v>
      </c>
      <c r="P52" s="53">
        <f t="shared" si="10"/>
        <v>381.73333333333346</v>
      </c>
      <c r="Q52" s="53">
        <f t="shared" si="10"/>
        <v>471.30000000000013</v>
      </c>
      <c r="R52" s="53">
        <f t="shared" si="10"/>
        <v>560.86666666666679</v>
      </c>
      <c r="S52" s="53">
        <f t="shared" si="10"/>
        <v>650.43333333333339</v>
      </c>
      <c r="T52" s="53">
        <f t="shared" si="10"/>
        <v>740</v>
      </c>
      <c r="U52" s="53">
        <f t="shared" si="10"/>
        <v>930.87999999999988</v>
      </c>
      <c r="V52" s="53">
        <f t="shared" si="10"/>
        <v>1121.7599999999998</v>
      </c>
      <c r="W52" s="53">
        <f t="shared" si="10"/>
        <v>1312.6399999999996</v>
      </c>
      <c r="X52" s="53">
        <f t="shared" si="10"/>
        <v>1503.5199999999995</v>
      </c>
      <c r="Y52" s="53">
        <f t="shared" si="10"/>
        <v>1694.3999999999994</v>
      </c>
      <c r="Z52" s="53">
        <f t="shared" si="10"/>
        <v>1887.3999999999994</v>
      </c>
      <c r="AA52" s="53">
        <f t="shared" si="10"/>
        <v>2080.3999999999996</v>
      </c>
      <c r="AB52" s="53">
        <f t="shared" si="10"/>
        <v>2273.3999999999996</v>
      </c>
      <c r="AC52" s="53">
        <f t="shared" si="10"/>
        <v>2466.3999999999996</v>
      </c>
      <c r="AD52" s="53">
        <f t="shared" si="10"/>
        <v>2659.3999999999996</v>
      </c>
    </row>
    <row r="53" spans="1:30" x14ac:dyDescent="0.35">
      <c r="A53" s="72" t="s">
        <v>39</v>
      </c>
      <c r="B53" s="10">
        <f>NPV('Cost Assumptions'!$B$3,'MiraLoma &amp; Centralized BESS VS'!D53:'MiraLoma &amp; Centralized BESS VS'!AD53)</f>
        <v>603.3370677068466</v>
      </c>
      <c r="C53" s="72" t="s">
        <v>32</v>
      </c>
      <c r="D53" s="53">
        <f t="shared" ref="D53:AD53" si="11">D9-D28</f>
        <v>13</v>
      </c>
      <c r="E53" s="53">
        <f t="shared" si="11"/>
        <v>27</v>
      </c>
      <c r="F53" s="53">
        <f t="shared" si="11"/>
        <v>34.519999999999982</v>
      </c>
      <c r="G53" s="53">
        <f t="shared" si="11"/>
        <v>42.039999999999964</v>
      </c>
      <c r="H53" s="53">
        <f t="shared" si="11"/>
        <v>49.559999999999945</v>
      </c>
      <c r="I53" s="53">
        <f t="shared" si="11"/>
        <v>57.079999999999927</v>
      </c>
      <c r="J53" s="53">
        <f t="shared" si="11"/>
        <v>64.599999999999909</v>
      </c>
      <c r="K53" s="53">
        <f t="shared" si="11"/>
        <v>59.799999999999955</v>
      </c>
      <c r="L53" s="53">
        <f t="shared" si="11"/>
        <v>52.799999999999955</v>
      </c>
      <c r="M53" s="53">
        <f t="shared" si="11"/>
        <v>46</v>
      </c>
      <c r="N53" s="53">
        <f t="shared" si="11"/>
        <v>57.400000000000091</v>
      </c>
      <c r="O53" s="53">
        <f t="shared" si="11"/>
        <v>67.333333333333414</v>
      </c>
      <c r="P53" s="53">
        <f t="shared" si="11"/>
        <v>77.266666666666737</v>
      </c>
      <c r="Q53" s="53">
        <f t="shared" si="11"/>
        <v>87.20000000000006</v>
      </c>
      <c r="R53" s="53">
        <f t="shared" si="11"/>
        <v>97.133333333333383</v>
      </c>
      <c r="S53" s="53">
        <f t="shared" si="11"/>
        <v>107.06666666666671</v>
      </c>
      <c r="T53" s="53">
        <f t="shared" si="11"/>
        <v>117</v>
      </c>
      <c r="U53" s="53">
        <f t="shared" si="11"/>
        <v>126.6</v>
      </c>
      <c r="V53" s="53">
        <f t="shared" si="11"/>
        <v>136.19999999999999</v>
      </c>
      <c r="W53" s="53">
        <f t="shared" si="11"/>
        <v>145.79999999999998</v>
      </c>
      <c r="X53" s="53">
        <f t="shared" si="11"/>
        <v>155.39999999999998</v>
      </c>
      <c r="Y53" s="53">
        <f t="shared" si="11"/>
        <v>165</v>
      </c>
      <c r="Z53" s="53">
        <f t="shared" si="11"/>
        <v>171.84</v>
      </c>
      <c r="AA53" s="53">
        <f t="shared" si="11"/>
        <v>178.68</v>
      </c>
      <c r="AB53" s="53">
        <f t="shared" si="11"/>
        <v>185.52</v>
      </c>
      <c r="AC53" s="53">
        <f t="shared" si="11"/>
        <v>192.36</v>
      </c>
      <c r="AD53" s="53">
        <f t="shared" si="11"/>
        <v>199.20000000000005</v>
      </c>
    </row>
    <row r="54" spans="1:30" x14ac:dyDescent="0.35">
      <c r="A54" s="72" t="s">
        <v>39</v>
      </c>
      <c r="B54" s="10">
        <f>NPV('Cost Assumptions'!$B$3,'MiraLoma &amp; Centralized BESS VS'!D54:'MiraLoma &amp; Centralized BESS VS'!AD54)</f>
        <v>54.089806048569208</v>
      </c>
      <c r="C54" s="72" t="s">
        <v>33</v>
      </c>
      <c r="D54" s="53">
        <f t="shared" ref="D54:AD54" si="12">D10-D29</f>
        <v>4.7253529883901121E-2</v>
      </c>
      <c r="E54" s="53">
        <f t="shared" si="12"/>
        <v>0.28011551949195379</v>
      </c>
      <c r="F54" s="53">
        <f t="shared" si="12"/>
        <v>0.59718244793816533</v>
      </c>
      <c r="G54" s="53">
        <f t="shared" si="12"/>
        <v>0.91424937638437687</v>
      </c>
      <c r="H54" s="53">
        <f t="shared" si="12"/>
        <v>1.2313163048305884</v>
      </c>
      <c r="I54" s="53">
        <f t="shared" si="12"/>
        <v>1.5483832332767999</v>
      </c>
      <c r="J54" s="53">
        <f t="shared" si="12"/>
        <v>1.8654501617230115</v>
      </c>
      <c r="K54" s="53">
        <f t="shared" si="12"/>
        <v>1.6136441894137561</v>
      </c>
      <c r="L54" s="53">
        <f t="shared" si="12"/>
        <v>1.1660127779459895</v>
      </c>
      <c r="M54" s="53">
        <f t="shared" si="12"/>
        <v>0.80458713045561225</v>
      </c>
      <c r="N54" s="53">
        <f t="shared" si="12"/>
        <v>0.56680711827214547</v>
      </c>
      <c r="O54" s="53">
        <f t="shared" si="12"/>
        <v>3.0445179689462347</v>
      </c>
      <c r="P54" s="53">
        <f t="shared" si="12"/>
        <v>4.5886299372095039</v>
      </c>
      <c r="Q54" s="53">
        <f t="shared" si="12"/>
        <v>6.1327419054727734</v>
      </c>
      <c r="R54" s="53">
        <f t="shared" si="12"/>
        <v>7.676853873736043</v>
      </c>
      <c r="S54" s="53">
        <f t="shared" si="12"/>
        <v>9.2209658419993126</v>
      </c>
      <c r="T54" s="53">
        <f t="shared" si="12"/>
        <v>10.765077810262582</v>
      </c>
      <c r="U54" s="53">
        <f t="shared" si="12"/>
        <v>11.285969377257926</v>
      </c>
      <c r="V54" s="53">
        <f t="shared" si="12"/>
        <v>11.80686094425327</v>
      </c>
      <c r="W54" s="53">
        <f t="shared" si="12"/>
        <v>12.327752511248613</v>
      </c>
      <c r="X54" s="53">
        <f t="shared" si="12"/>
        <v>12.848644078243957</v>
      </c>
      <c r="Y54" s="53">
        <f t="shared" si="12"/>
        <v>13.369535645239303</v>
      </c>
      <c r="Z54" s="53">
        <f t="shared" si="12"/>
        <v>31.024884631077057</v>
      </c>
      <c r="AA54" s="53">
        <f t="shared" si="12"/>
        <v>48.680233616914812</v>
      </c>
      <c r="AB54" s="53">
        <f t="shared" si="12"/>
        <v>66.335582602752567</v>
      </c>
      <c r="AC54" s="53">
        <f t="shared" si="12"/>
        <v>83.990931588590314</v>
      </c>
      <c r="AD54" s="53">
        <f t="shared" si="12"/>
        <v>101.64628057442808</v>
      </c>
    </row>
    <row r="55" spans="1:30" x14ac:dyDescent="0.35">
      <c r="A55" s="72" t="s">
        <v>39</v>
      </c>
      <c r="B55" s="10">
        <f>NPV('Cost Assumptions'!$B$3,'MiraLoma &amp; Centralized BESS VS'!D55:'MiraLoma &amp; Centralized BESS VS'!AD55)</f>
        <v>2.9078711043982364</v>
      </c>
      <c r="C55" s="72" t="s">
        <v>34</v>
      </c>
      <c r="D55" s="53">
        <f t="shared" ref="D55:AD55" si="13">D11-D30</f>
        <v>2.3626764941950561E-2</v>
      </c>
      <c r="E55" s="53">
        <f t="shared" si="13"/>
        <v>7.0028879872988448E-2</v>
      </c>
      <c r="F55" s="53">
        <f t="shared" si="13"/>
        <v>0.10932167994761965</v>
      </c>
      <c r="G55" s="53">
        <f t="shared" si="13"/>
        <v>0.14861448002225086</v>
      </c>
      <c r="H55" s="53">
        <f t="shared" si="13"/>
        <v>0.18790728009688207</v>
      </c>
      <c r="I55" s="53">
        <f t="shared" si="13"/>
        <v>0.22720008017151327</v>
      </c>
      <c r="J55" s="53">
        <f t="shared" si="13"/>
        <v>0.26649288024614448</v>
      </c>
      <c r="K55" s="53">
        <f t="shared" si="13"/>
        <v>0.23052059848767945</v>
      </c>
      <c r="L55" s="53">
        <f t="shared" si="13"/>
        <v>0.19433546299099821</v>
      </c>
      <c r="M55" s="53">
        <f t="shared" si="13"/>
        <v>0.16091742609112245</v>
      </c>
      <c r="N55" s="53">
        <f t="shared" si="13"/>
        <v>4.2212624824281168E-2</v>
      </c>
      <c r="O55" s="53">
        <f t="shared" si="13"/>
        <v>0.30677545020347896</v>
      </c>
      <c r="P55" s="53">
        <f t="shared" si="13"/>
        <v>0.39920718602367722</v>
      </c>
      <c r="Q55" s="53">
        <f t="shared" si="13"/>
        <v>0.49163892184387548</v>
      </c>
      <c r="R55" s="53">
        <f t="shared" si="13"/>
        <v>0.58407065766407373</v>
      </c>
      <c r="S55" s="53">
        <f t="shared" si="13"/>
        <v>0.67650239348427199</v>
      </c>
      <c r="T55" s="53">
        <f t="shared" si="13"/>
        <v>0.76893412930447014</v>
      </c>
      <c r="U55" s="53">
        <f t="shared" si="13"/>
        <v>0.69278283231502535</v>
      </c>
      <c r="V55" s="53">
        <f t="shared" si="13"/>
        <v>0.61663153532558057</v>
      </c>
      <c r="W55" s="53">
        <f t="shared" si="13"/>
        <v>0.54048023833613579</v>
      </c>
      <c r="X55" s="53">
        <f t="shared" si="13"/>
        <v>0.464328941346691</v>
      </c>
      <c r="Y55" s="53">
        <f t="shared" si="13"/>
        <v>0.38817764435724611</v>
      </c>
      <c r="Z55" s="53">
        <f t="shared" si="13"/>
        <v>0.85998146994216484</v>
      </c>
      <c r="AA55" s="53">
        <f t="shared" si="13"/>
        <v>1.3317852955270837</v>
      </c>
      <c r="AB55" s="53">
        <f t="shared" si="13"/>
        <v>1.8035891211120025</v>
      </c>
      <c r="AC55" s="53">
        <f t="shared" si="13"/>
        <v>2.2753929466969214</v>
      </c>
      <c r="AD55" s="53">
        <f t="shared" si="13"/>
        <v>2.74719677228184</v>
      </c>
    </row>
    <row r="56" spans="1:30" x14ac:dyDescent="0.35">
      <c r="A56" s="72" t="s">
        <v>39</v>
      </c>
      <c r="B56" s="10">
        <f>NPV('Cost Assumptions'!$B$3,'MiraLoma &amp; Centralized BESS VS'!D56:'MiraLoma &amp; Centralized BESS VS'!AD56)</f>
        <v>81.976482418430209</v>
      </c>
      <c r="C56" s="72" t="s">
        <v>35</v>
      </c>
      <c r="D56" s="53">
        <f t="shared" ref="D56:AD56" si="14">D12-D31</f>
        <v>2</v>
      </c>
      <c r="E56" s="53">
        <f t="shared" si="14"/>
        <v>4</v>
      </c>
      <c r="F56" s="53">
        <f t="shared" si="14"/>
        <v>4.5999999999999996</v>
      </c>
      <c r="G56" s="53">
        <f t="shared" si="14"/>
        <v>5.1999999999999993</v>
      </c>
      <c r="H56" s="53">
        <f t="shared" si="14"/>
        <v>5.7999999999999989</v>
      </c>
      <c r="I56" s="53">
        <f t="shared" si="14"/>
        <v>6.3999999999999986</v>
      </c>
      <c r="J56" s="53">
        <f t="shared" si="14"/>
        <v>7</v>
      </c>
      <c r="K56" s="53">
        <f t="shared" si="14"/>
        <v>7</v>
      </c>
      <c r="L56" s="53">
        <f t="shared" si="14"/>
        <v>6</v>
      </c>
      <c r="M56" s="53">
        <f t="shared" si="14"/>
        <v>5</v>
      </c>
      <c r="N56" s="53">
        <f t="shared" si="14"/>
        <v>7</v>
      </c>
      <c r="O56" s="53">
        <f t="shared" si="14"/>
        <v>8.1666666666666661</v>
      </c>
      <c r="P56" s="53">
        <f t="shared" si="14"/>
        <v>9.3333333333333321</v>
      </c>
      <c r="Q56" s="53">
        <f t="shared" si="14"/>
        <v>10.499999999999998</v>
      </c>
      <c r="R56" s="53">
        <f t="shared" si="14"/>
        <v>11.666666666666664</v>
      </c>
      <c r="S56" s="53">
        <f t="shared" si="14"/>
        <v>12.83333333333333</v>
      </c>
      <c r="T56" s="53">
        <f t="shared" si="14"/>
        <v>14</v>
      </c>
      <c r="U56" s="53">
        <f t="shared" si="14"/>
        <v>17</v>
      </c>
      <c r="V56" s="53">
        <f t="shared" si="14"/>
        <v>20</v>
      </c>
      <c r="W56" s="53">
        <f t="shared" si="14"/>
        <v>23</v>
      </c>
      <c r="X56" s="53">
        <f t="shared" si="14"/>
        <v>26</v>
      </c>
      <c r="Y56" s="53">
        <f t="shared" si="14"/>
        <v>29</v>
      </c>
      <c r="Z56" s="53">
        <f t="shared" si="14"/>
        <v>30.6</v>
      </c>
      <c r="AA56" s="53">
        <f t="shared" si="14"/>
        <v>32.200000000000003</v>
      </c>
      <c r="AB56" s="53">
        <f t="shared" si="14"/>
        <v>33.800000000000004</v>
      </c>
      <c r="AC56" s="53">
        <f t="shared" si="14"/>
        <v>35.400000000000006</v>
      </c>
      <c r="AD56" s="53">
        <f t="shared" si="14"/>
        <v>37</v>
      </c>
    </row>
    <row r="58" spans="1:30" ht="15" thickBot="1" x14ac:dyDescent="0.4">
      <c r="A58" s="177" t="s">
        <v>143</v>
      </c>
      <c r="B58" s="177"/>
      <c r="C58" s="177"/>
      <c r="D58" s="177"/>
      <c r="E58" s="177"/>
      <c r="F58" s="177"/>
      <c r="G58" s="177"/>
      <c r="H58" s="177"/>
      <c r="I58" s="177"/>
      <c r="J58" s="177"/>
      <c r="K58" s="177"/>
      <c r="L58" s="177"/>
      <c r="M58" s="177"/>
      <c r="N58" s="177"/>
      <c r="O58" s="177"/>
      <c r="P58" s="177"/>
      <c r="Q58" s="177"/>
      <c r="R58" s="177"/>
      <c r="S58" s="177"/>
      <c r="T58" s="177"/>
      <c r="U58" s="177"/>
      <c r="V58" s="177"/>
      <c r="W58" s="177"/>
      <c r="X58" s="177"/>
      <c r="Y58" s="177"/>
      <c r="Z58" s="177"/>
      <c r="AA58" s="177"/>
      <c r="AB58" s="177"/>
      <c r="AC58" s="177"/>
      <c r="AD58" s="177"/>
    </row>
    <row r="59" spans="1:30" ht="15.5" thickTop="1" thickBot="1" x14ac:dyDescent="0.4">
      <c r="A59" s="177"/>
      <c r="B59" s="177"/>
      <c r="C59" s="177"/>
      <c r="D59" s="177"/>
      <c r="E59" s="177"/>
      <c r="F59" s="177"/>
      <c r="G59" s="177"/>
      <c r="H59" s="177"/>
      <c r="I59" s="177"/>
      <c r="J59" s="177"/>
      <c r="K59" s="177"/>
      <c r="L59" s="177"/>
      <c r="M59" s="177"/>
      <c r="N59" s="177"/>
      <c r="O59" s="177"/>
      <c r="P59" s="177"/>
      <c r="Q59" s="177"/>
      <c r="R59" s="177"/>
      <c r="S59" s="177"/>
      <c r="T59" s="177"/>
      <c r="U59" s="177"/>
      <c r="V59" s="177"/>
      <c r="W59" s="177"/>
      <c r="X59" s="177"/>
      <c r="Y59" s="177"/>
      <c r="Z59" s="177"/>
      <c r="AA59" s="177"/>
      <c r="AB59" s="177"/>
      <c r="AC59" s="177"/>
      <c r="AD59" s="177"/>
    </row>
    <row r="60" spans="1:30" ht="15" thickTop="1" x14ac:dyDescent="0.35">
      <c r="A60" s="72" t="str">
        <f>'Baseline System Analysis'!A17</f>
        <v>Residential</v>
      </c>
      <c r="B60" s="72" t="str">
        <f>'Baseline System Analysis'!B17</f>
        <v>Cost of Reliability (N-1)</v>
      </c>
      <c r="C60" s="72" t="str">
        <f>'Baseline System Analysis'!C17</f>
        <v>$/kWh</v>
      </c>
      <c r="D60" s="4">
        <f>'Baseline System Analysis'!D17</f>
        <v>4.4933261328125003</v>
      </c>
      <c r="E60" s="4">
        <f>'Baseline System Analysis'!E17</f>
        <v>4.6056592861328127</v>
      </c>
      <c r="F60" s="4">
        <f>'Baseline System Analysis'!F17</f>
        <v>4.720800768286133</v>
      </c>
      <c r="G60" s="4">
        <f>'Baseline System Analysis'!G17</f>
        <v>4.8388207874932858</v>
      </c>
      <c r="H60" s="4">
        <f>'Baseline System Analysis'!H17</f>
        <v>4.9597913071806179</v>
      </c>
      <c r="I60" s="4">
        <f>'Baseline System Analysis'!I17</f>
        <v>5.0837860898601326</v>
      </c>
      <c r="J60" s="4">
        <f>'Baseline System Analysis'!J17</f>
        <v>5.2108807421066352</v>
      </c>
      <c r="K60" s="4">
        <f>'Baseline System Analysis'!K17</f>
        <v>5.341152760659301</v>
      </c>
      <c r="L60" s="4">
        <f>'Baseline System Analysis'!L17</f>
        <v>5.4746815796757833</v>
      </c>
      <c r="M60" s="4">
        <f>'Baseline System Analysis'!M17</f>
        <v>5.6115486191676771</v>
      </c>
      <c r="N60" s="4">
        <f>'Baseline System Analysis'!N17</f>
        <v>5.7518373346468685</v>
      </c>
      <c r="O60" s="4">
        <f>'Baseline System Analysis'!O17</f>
        <v>5.8956332680130394</v>
      </c>
      <c r="P60" s="4">
        <f>'Baseline System Analysis'!P17</f>
        <v>6.0430240997133646</v>
      </c>
      <c r="Q60" s="4">
        <f>'Baseline System Analysis'!Q17</f>
        <v>6.1940997022061985</v>
      </c>
      <c r="R60" s="4">
        <f>'Baseline System Analysis'!R17</f>
        <v>6.3489521947613525</v>
      </c>
      <c r="S60" s="4">
        <f>'Baseline System Analysis'!S17</f>
        <v>6.5076759996303855</v>
      </c>
      <c r="T60" s="4">
        <f>'Baseline System Analysis'!T17</f>
        <v>6.6703678996211444</v>
      </c>
      <c r="U60" s="4">
        <f>'Baseline System Analysis'!U17</f>
        <v>6.8371270971116722</v>
      </c>
      <c r="V60" s="4">
        <f>'Baseline System Analysis'!V17</f>
        <v>7.0080552745394638</v>
      </c>
      <c r="W60" s="4">
        <f>'Baseline System Analysis'!W17</f>
        <v>7.1832566564029499</v>
      </c>
      <c r="X60" s="4">
        <f>'Baseline System Analysis'!X17</f>
        <v>7.3628380728130232</v>
      </c>
      <c r="Y60" s="4">
        <f>'Baseline System Analysis'!Y17</f>
        <v>7.5469090246333481</v>
      </c>
      <c r="Z60" s="4">
        <f>'Baseline System Analysis'!Z17</f>
        <v>7.7355817502491808</v>
      </c>
      <c r="AA60" s="4">
        <f>'Baseline System Analysis'!AA17</f>
        <v>7.92897129400541</v>
      </c>
      <c r="AB60" s="4">
        <f>'Baseline System Analysis'!AB17</f>
        <v>8.127195576355545</v>
      </c>
      <c r="AC60" s="4">
        <f>'Baseline System Analysis'!AC17</f>
        <v>8.3303754657644333</v>
      </c>
      <c r="AD60" s="4">
        <f>'Baseline System Analysis'!AD17</f>
        <v>8.5386348524085438</v>
      </c>
    </row>
    <row r="61" spans="1:30" x14ac:dyDescent="0.35">
      <c r="A61" s="72" t="str">
        <f>'Baseline System Analysis'!A18</f>
        <v>Residential</v>
      </c>
      <c r="B61" s="72" t="str">
        <f>'Baseline System Analysis'!B18</f>
        <v>Cost of Reliability (N-0)</v>
      </c>
      <c r="C61" s="72" t="str">
        <f>'Baseline System Analysis'!C18</f>
        <v>$/kWh</v>
      </c>
      <c r="D61" s="4">
        <f>'Baseline System Analysis'!D18</f>
        <v>3.7920011132812497</v>
      </c>
      <c r="E61" s="4">
        <f>'Baseline System Analysis'!E18</f>
        <v>3.8868011411132808</v>
      </c>
      <c r="F61" s="4">
        <f>'Baseline System Analysis'!F18</f>
        <v>3.9839711696411126</v>
      </c>
      <c r="G61" s="4">
        <f>'Baseline System Analysis'!G18</f>
        <v>4.0835704488821403</v>
      </c>
      <c r="H61" s="4">
        <f>'Baseline System Analysis'!H18</f>
        <v>4.1856597101041935</v>
      </c>
      <c r="I61" s="4">
        <f>'Baseline System Analysis'!I18</f>
        <v>4.2903012028567975</v>
      </c>
      <c r="J61" s="4">
        <f>'Baseline System Analysis'!J18</f>
        <v>4.3975587329282169</v>
      </c>
      <c r="K61" s="4">
        <f>'Baseline System Analysis'!K18</f>
        <v>4.5074977012514221</v>
      </c>
      <c r="L61" s="4">
        <f>'Baseline System Analysis'!L18</f>
        <v>4.6201851437827068</v>
      </c>
      <c r="M61" s="4">
        <f>'Baseline System Analysis'!M18</f>
        <v>4.735689772377274</v>
      </c>
      <c r="N61" s="4">
        <f>'Baseline System Analysis'!N18</f>
        <v>4.8540820166867054</v>
      </c>
      <c r="O61" s="4">
        <f>'Baseline System Analysis'!O18</f>
        <v>4.9754340671038726</v>
      </c>
      <c r="P61" s="4">
        <f>'Baseline System Analysis'!P18</f>
        <v>5.0998199187814688</v>
      </c>
      <c r="Q61" s="4">
        <f>'Baseline System Analysis'!Q18</f>
        <v>5.2273154167510052</v>
      </c>
      <c r="R61" s="4">
        <f>'Baseline System Analysis'!R18</f>
        <v>5.3579983021697801</v>
      </c>
      <c r="S61" s="4">
        <f>'Baseline System Analysis'!S18</f>
        <v>5.4919482597240243</v>
      </c>
      <c r="T61" s="4">
        <f>'Baseline System Analysis'!T18</f>
        <v>5.6292469662171243</v>
      </c>
      <c r="U61" s="4">
        <f>'Baseline System Analysis'!U18</f>
        <v>5.7699781403725519</v>
      </c>
      <c r="V61" s="4">
        <f>'Baseline System Analysis'!V18</f>
        <v>5.9142275938818649</v>
      </c>
      <c r="W61" s="4">
        <f>'Baseline System Analysis'!W18</f>
        <v>6.0620832837289109</v>
      </c>
      <c r="X61" s="4">
        <f>'Baseline System Analysis'!X18</f>
        <v>6.2136353658221335</v>
      </c>
      <c r="Y61" s="4">
        <f>'Baseline System Analysis'!Y18</f>
        <v>6.3689762499676865</v>
      </c>
      <c r="Z61" s="4">
        <f>'Baseline System Analysis'!Z18</f>
        <v>6.5282006562168782</v>
      </c>
      <c r="AA61" s="4">
        <f>'Baseline System Analysis'!AA18</f>
        <v>6.6914056726222997</v>
      </c>
      <c r="AB61" s="4">
        <f>'Baseline System Analysis'!AB18</f>
        <v>6.8586908144378569</v>
      </c>
      <c r="AC61" s="4">
        <f>'Baseline System Analysis'!AC18</f>
        <v>7.0301580847988028</v>
      </c>
      <c r="AD61" s="4">
        <f>'Baseline System Analysis'!AD18</f>
        <v>7.2059120369187726</v>
      </c>
    </row>
    <row r="62" spans="1:30" x14ac:dyDescent="0.35">
      <c r="A62" s="72" t="str">
        <f>'Baseline System Analysis'!A19</f>
        <v>Commerical</v>
      </c>
      <c r="B62" s="72" t="str">
        <f>'Baseline System Analysis'!B19</f>
        <v>Cost of Reliability (N-1)</v>
      </c>
      <c r="C62" s="72" t="str">
        <f>'Baseline System Analysis'!C19</f>
        <v>$/kWh</v>
      </c>
      <c r="D62" s="4">
        <f>'Baseline System Analysis'!D19</f>
        <v>166.59767191406246</v>
      </c>
      <c r="E62" s="4">
        <f>'Baseline System Analysis'!E19</f>
        <v>170.76261371191401</v>
      </c>
      <c r="F62" s="4">
        <f>'Baseline System Analysis'!F19</f>
        <v>175.03167905471184</v>
      </c>
      <c r="G62" s="4">
        <f>'Baseline System Analysis'!G19</f>
        <v>179.40747103107964</v>
      </c>
      <c r="H62" s="4">
        <f>'Baseline System Analysis'!H19</f>
        <v>183.89265780685662</v>
      </c>
      <c r="I62" s="4">
        <f>'Baseline System Analysis'!I19</f>
        <v>188.48997425202802</v>
      </c>
      <c r="J62" s="4">
        <f>'Baseline System Analysis'!J19</f>
        <v>193.20222360832869</v>
      </c>
      <c r="K62" s="4">
        <f>'Baseline System Analysis'!K19</f>
        <v>198.03227919853688</v>
      </c>
      <c r="L62" s="4">
        <f>'Baseline System Analysis'!L19</f>
        <v>202.98308617850029</v>
      </c>
      <c r="M62" s="4">
        <f>'Baseline System Analysis'!M19</f>
        <v>208.05766333296279</v>
      </c>
      <c r="N62" s="4">
        <f>'Baseline System Analysis'!N19</f>
        <v>213.25910491628684</v>
      </c>
      <c r="O62" s="4">
        <f>'Baseline System Analysis'!O19</f>
        <v>218.590582539194</v>
      </c>
      <c r="P62" s="4">
        <f>'Baseline System Analysis'!P19</f>
        <v>224.05534710267384</v>
      </c>
      <c r="Q62" s="4">
        <f>'Baseline System Analysis'!Q19</f>
        <v>229.65673078024065</v>
      </c>
      <c r="R62" s="4">
        <f>'Baseline System Analysis'!R19</f>
        <v>235.39814904974665</v>
      </c>
      <c r="S62" s="4">
        <f>'Baseline System Analysis'!S19</f>
        <v>241.2831027759903</v>
      </c>
      <c r="T62" s="4">
        <f>'Baseline System Analysis'!T19</f>
        <v>247.31518034539005</v>
      </c>
      <c r="U62" s="4">
        <f>'Baseline System Analysis'!U19</f>
        <v>253.49805985402477</v>
      </c>
      <c r="V62" s="4">
        <f>'Baseline System Analysis'!V19</f>
        <v>259.83551135037538</v>
      </c>
      <c r="W62" s="4">
        <f>'Baseline System Analysis'!W19</f>
        <v>266.33139913413476</v>
      </c>
      <c r="X62" s="4">
        <f>'Baseline System Analysis'!X19</f>
        <v>272.98968411248808</v>
      </c>
      <c r="Y62" s="4">
        <f>'Baseline System Analysis'!Y19</f>
        <v>279.81442621530027</v>
      </c>
      <c r="Z62" s="4">
        <f>'Baseline System Analysis'!Z19</f>
        <v>286.80978687068273</v>
      </c>
      <c r="AA62" s="4">
        <f>'Baseline System Analysis'!AA19</f>
        <v>293.98003154244975</v>
      </c>
      <c r="AB62" s="4">
        <f>'Baseline System Analysis'!AB19</f>
        <v>301.32953233101097</v>
      </c>
      <c r="AC62" s="4">
        <f>'Baseline System Analysis'!AC19</f>
        <v>308.86277063928623</v>
      </c>
      <c r="AD62" s="4">
        <f>'Baseline System Analysis'!AD19</f>
        <v>316.58433990526834</v>
      </c>
    </row>
    <row r="63" spans="1:30" x14ac:dyDescent="0.35">
      <c r="A63" s="72" t="str">
        <f>'Baseline System Analysis'!A20</f>
        <v>Commerical</v>
      </c>
      <c r="B63" s="72" t="str">
        <f>'Baseline System Analysis'!B20</f>
        <v>Cost of Reliability (N-0)</v>
      </c>
      <c r="C63" s="72" t="str">
        <f>'Baseline System Analysis'!C20</f>
        <v>$/kWh</v>
      </c>
      <c r="D63" s="4">
        <f>'Baseline System Analysis'!D20</f>
        <v>153.83719106445315</v>
      </c>
      <c r="E63" s="4">
        <f>'Baseline System Analysis'!E20</f>
        <v>157.68312084106446</v>
      </c>
      <c r="F63" s="4">
        <f>'Baseline System Analysis'!F20</f>
        <v>161.62519886209105</v>
      </c>
      <c r="G63" s="4">
        <f>'Baseline System Analysis'!G20</f>
        <v>165.6658288336433</v>
      </c>
      <c r="H63" s="4">
        <f>'Baseline System Analysis'!H20</f>
        <v>169.80747455448437</v>
      </c>
      <c r="I63" s="4">
        <f>'Baseline System Analysis'!I20</f>
        <v>174.05266141834647</v>
      </c>
      <c r="J63" s="4">
        <f>'Baseline System Analysis'!J20</f>
        <v>178.40397795380511</v>
      </c>
      <c r="K63" s="4">
        <f>'Baseline System Analysis'!K20</f>
        <v>182.86407740265022</v>
      </c>
      <c r="L63" s="4">
        <f>'Baseline System Analysis'!L20</f>
        <v>187.43567933771646</v>
      </c>
      <c r="M63" s="4">
        <f>'Baseline System Analysis'!M20</f>
        <v>192.12157132115937</v>
      </c>
      <c r="N63" s="4">
        <f>'Baseline System Analysis'!N20</f>
        <v>196.92461060418833</v>
      </c>
      <c r="O63" s="4">
        <f>'Baseline System Analysis'!O20</f>
        <v>201.84772586929301</v>
      </c>
      <c r="P63" s="4">
        <f>'Baseline System Analysis'!P20</f>
        <v>206.89391901602534</v>
      </c>
      <c r="Q63" s="4">
        <f>'Baseline System Analysis'!Q20</f>
        <v>212.06626699142595</v>
      </c>
      <c r="R63" s="4">
        <f>'Baseline System Analysis'!R20</f>
        <v>217.36792366621157</v>
      </c>
      <c r="S63" s="4">
        <f>'Baseline System Analysis'!S20</f>
        <v>222.80212175786684</v>
      </c>
      <c r="T63" s="4">
        <f>'Baseline System Analysis'!T20</f>
        <v>228.37217480181349</v>
      </c>
      <c r="U63" s="4">
        <f>'Baseline System Analysis'!U20</f>
        <v>234.0814791718588</v>
      </c>
      <c r="V63" s="4">
        <f>'Baseline System Analysis'!V20</f>
        <v>239.93351615115526</v>
      </c>
      <c r="W63" s="4">
        <f>'Baseline System Analysis'!W20</f>
        <v>245.93185405493412</v>
      </c>
      <c r="X63" s="4">
        <f>'Baseline System Analysis'!X20</f>
        <v>252.08015040630744</v>
      </c>
      <c r="Y63" s="4">
        <f>'Baseline System Analysis'!Y20</f>
        <v>258.38215416646511</v>
      </c>
      <c r="Z63" s="4">
        <f>'Baseline System Analysis'!Z20</f>
        <v>264.8417080206267</v>
      </c>
      <c r="AA63" s="4">
        <f>'Baseline System Analysis'!AA20</f>
        <v>271.46275072114236</v>
      </c>
      <c r="AB63" s="4">
        <f>'Baseline System Analysis'!AB20</f>
        <v>278.24931948917089</v>
      </c>
      <c r="AC63" s="4">
        <f>'Baseline System Analysis'!AC20</f>
        <v>285.20555247640016</v>
      </c>
      <c r="AD63" s="4">
        <f>'Baseline System Analysis'!AD20</f>
        <v>292.33569128831016</v>
      </c>
    </row>
    <row r="65" spans="1:30" x14ac:dyDescent="0.35">
      <c r="A65" s="72" t="s">
        <v>117</v>
      </c>
      <c r="B65" s="72" t="s">
        <v>31</v>
      </c>
      <c r="C65" s="18">
        <f>NPV('Cost Assumptions'!$B$3,D65:AD65)</f>
        <v>267558.64366596995</v>
      </c>
      <c r="D65" s="4">
        <f>'Baseline System Analysis'!D24-D34</f>
        <v>1354.9655166582397</v>
      </c>
      <c r="E65" s="4">
        <f>'Baseline System Analysis'!E24-E34</f>
        <v>3468.8297365152371</v>
      </c>
      <c r="F65" s="4">
        <f>'Baseline System Analysis'!F24-F34</f>
        <v>5582.6939563722344</v>
      </c>
      <c r="G65" s="4">
        <f>'Baseline System Analysis'!G24-G34</f>
        <v>7696.5581762292313</v>
      </c>
      <c r="H65" s="4">
        <f>'Baseline System Analysis'!H24-H34</f>
        <v>9810.4223960862291</v>
      </c>
      <c r="I65" s="4">
        <f>'Baseline System Analysis'!I24-I34</f>
        <v>11924.286615943227</v>
      </c>
      <c r="J65" s="4">
        <f>'Baseline System Analysis'!J24-J34</f>
        <v>6575.4727524326809</v>
      </c>
      <c r="K65" s="4">
        <f>'Baseline System Analysis'!K24-K34</f>
        <v>6181.0954781128303</v>
      </c>
      <c r="L65" s="4">
        <f>'Baseline System Analysis'!L24-L34</f>
        <v>5847.974201969816</v>
      </c>
      <c r="M65" s="4">
        <f>'Baseline System Analysis'!M24-M34</f>
        <v>4510.2739142390865</v>
      </c>
      <c r="N65" s="4">
        <f>'Baseline System Analysis'!N24-N34</f>
        <v>6788.6874508083929</v>
      </c>
      <c r="O65" s="4">
        <f>'Baseline System Analysis'!O24-O34</f>
        <v>8996.0918841130697</v>
      </c>
      <c r="P65" s="4">
        <f>'Baseline System Analysis'!P24-P34</f>
        <v>11203.496317417746</v>
      </c>
      <c r="Q65" s="4">
        <f>'Baseline System Analysis'!Q24-Q34</f>
        <v>13410.900750722423</v>
      </c>
      <c r="R65" s="4">
        <f>'Baseline System Analysis'!R24-R34</f>
        <v>22185.333972068893</v>
      </c>
      <c r="S65" s="4">
        <f>'Baseline System Analysis'!S24-S34</f>
        <v>25720.578839573634</v>
      </c>
      <c r="T65" s="4">
        <f>'Baseline System Analysis'!T24-T34</f>
        <v>29255.82370707838</v>
      </c>
      <c r="U65" s="4">
        <f>'Baseline System Analysis'!U24-U34</f>
        <v>54758.512190055153</v>
      </c>
      <c r="V65" s="4">
        <f>'Baseline System Analysis'!V24-V34</f>
        <v>80261.200673031912</v>
      </c>
      <c r="W65" s="4">
        <f>'Baseline System Analysis'!W24-W34</f>
        <v>105763.88915600866</v>
      </c>
      <c r="X65" s="4">
        <f>'Baseline System Analysis'!X24-X34</f>
        <v>131266.57763898541</v>
      </c>
      <c r="Y65" s="4">
        <f>'Baseline System Analysis'!Y24-Y34</f>
        <v>156769.26612196217</v>
      </c>
      <c r="Z65" s="4">
        <f>'Baseline System Analysis'!Z24-Z34</f>
        <v>197495.68273883587</v>
      </c>
      <c r="AA65" s="4">
        <f>'Baseline System Analysis'!AA24-AA34</f>
        <v>238222.09935570954</v>
      </c>
      <c r="AB65" s="4">
        <f>'Baseline System Analysis'!AB24-AB34</f>
        <v>278948.51597258321</v>
      </c>
      <c r="AC65" s="4">
        <f>'Baseline System Analysis'!AC24-AC34</f>
        <v>319674.9325894569</v>
      </c>
      <c r="AD65" s="4">
        <f>'Baseline System Analysis'!AD24-AD34</f>
        <v>360401.3492063306</v>
      </c>
    </row>
    <row r="66" spans="1:30" x14ac:dyDescent="0.35">
      <c r="A66" s="72" t="s">
        <v>119</v>
      </c>
      <c r="B66" s="72" t="s">
        <v>31</v>
      </c>
      <c r="C66" s="18">
        <f>NPV('Cost Assumptions'!$B$3,D66:AD66)</f>
        <v>1102394.9786111838</v>
      </c>
      <c r="D66" s="4">
        <f>'Baseline System Analysis'!D25-D35</f>
        <v>5622.4102100812415</v>
      </c>
      <c r="E66" s="4">
        <f>'Baseline System Analysis'!E25-E35</f>
        <v>14393.85983468976</v>
      </c>
      <c r="F66" s="4">
        <f>'Baseline System Analysis'!F25-F35</f>
        <v>23165.309459298278</v>
      </c>
      <c r="G66" s="4">
        <f>'Baseline System Analysis'!G25-G35</f>
        <v>31936.759083906796</v>
      </c>
      <c r="H66" s="4">
        <f>'Baseline System Analysis'!H25-H35</f>
        <v>40708.208708515318</v>
      </c>
      <c r="I66" s="4">
        <f>'Baseline System Analysis'!I25-I35</f>
        <v>49479.658333123836</v>
      </c>
      <c r="J66" s="4">
        <f>'Baseline System Analysis'!J25-J35</f>
        <v>27284.831004827258</v>
      </c>
      <c r="K66" s="4">
        <f>'Baseline System Analysis'!K25-K35</f>
        <v>16898.613530418908</v>
      </c>
      <c r="L66" s="4">
        <f>'Baseline System Analysis'!L25-L35</f>
        <v>7862.8384534391007</v>
      </c>
      <c r="M66" s="4">
        <f>'Baseline System Analysis'!M25-M35</f>
        <v>-2108.6759999326896</v>
      </c>
      <c r="N66" s="4">
        <f>'Baseline System Analysis'!N25-N35</f>
        <v>28169.562374259862</v>
      </c>
      <c r="O66" s="4">
        <f>'Baseline System Analysis'!O25-O35</f>
        <v>37329.155789005905</v>
      </c>
      <c r="P66" s="4">
        <f>'Baseline System Analysis'!P25-P35</f>
        <v>46488.749203751955</v>
      </c>
      <c r="Q66" s="4">
        <f>'Baseline System Analysis'!Q25-Q35</f>
        <v>55648.342618497991</v>
      </c>
      <c r="R66" s="4">
        <f>'Baseline System Analysis'!R25-R35</f>
        <v>111906.47939003786</v>
      </c>
      <c r="S66" s="4">
        <f>'Baseline System Analysis'!S25-S35</f>
        <v>136500.30310086935</v>
      </c>
      <c r="T66" s="4">
        <f>'Baseline System Analysis'!T25-T35</f>
        <v>121396.62588660752</v>
      </c>
      <c r="U66" s="4">
        <f>'Baseline System Analysis'!U25-U35</f>
        <v>227219.67034669471</v>
      </c>
      <c r="V66" s="4">
        <f>'Baseline System Analysis'!V25-V35</f>
        <v>333042.71480678185</v>
      </c>
      <c r="W66" s="4">
        <f>'Baseline System Analysis'!W25-W35</f>
        <v>438865.75926686905</v>
      </c>
      <c r="X66" s="4">
        <f>'Baseline System Analysis'!X25-X35</f>
        <v>544688.80372695625</v>
      </c>
      <c r="Y66" s="4">
        <f>'Baseline System Analysis'!Y25-Y35</f>
        <v>650511.84818704333</v>
      </c>
      <c r="Z66" s="4">
        <f>'Baseline System Analysis'!Z25-Z35</f>
        <v>819505.53680243273</v>
      </c>
      <c r="AA66" s="4">
        <f>'Baseline System Analysis'!AA25-AA35</f>
        <v>988499.22541782225</v>
      </c>
      <c r="AB66" s="4">
        <f>'Baseline System Analysis'!AB25-AB35</f>
        <v>1157492.9140332115</v>
      </c>
      <c r="AC66" s="4">
        <f>'Baseline System Analysis'!AC25-AC35</f>
        <v>1326486.6026486009</v>
      </c>
      <c r="AD66" s="4">
        <f>'Baseline System Analysis'!AD25-AD35</f>
        <v>1495480.2912639903</v>
      </c>
    </row>
    <row r="67" spans="1:30" x14ac:dyDescent="0.35">
      <c r="A67" s="72" t="s">
        <v>24</v>
      </c>
      <c r="B67" s="72" t="s">
        <v>31</v>
      </c>
      <c r="C67" s="18">
        <f>NPV('Cost Assumptions'!$B$3,D67:AD67)</f>
        <v>1369953.6222771537</v>
      </c>
      <c r="D67" s="4">
        <f>SUM(D65:D66)</f>
        <v>6977.3757267394813</v>
      </c>
      <c r="E67" s="4">
        <f t="shared" ref="E67:AD67" si="15">SUM(E65:E66)</f>
        <v>17862.689571204995</v>
      </c>
      <c r="F67" s="4">
        <f t="shared" si="15"/>
        <v>28748.003415670511</v>
      </c>
      <c r="G67" s="4">
        <f t="shared" si="15"/>
        <v>39633.317260136027</v>
      </c>
      <c r="H67" s="4">
        <f t="shared" si="15"/>
        <v>50518.631104601547</v>
      </c>
      <c r="I67" s="4">
        <f t="shared" si="15"/>
        <v>61403.944949067067</v>
      </c>
      <c r="J67" s="4">
        <f t="shared" si="15"/>
        <v>33860.303757259942</v>
      </c>
      <c r="K67" s="4">
        <f t="shared" si="15"/>
        <v>23079.70900853174</v>
      </c>
      <c r="L67" s="4">
        <f t="shared" si="15"/>
        <v>13710.812655408918</v>
      </c>
      <c r="M67" s="4">
        <f t="shared" si="15"/>
        <v>2401.5979143063969</v>
      </c>
      <c r="N67" s="4">
        <f t="shared" si="15"/>
        <v>34958.249825068255</v>
      </c>
      <c r="O67" s="4">
        <f t="shared" si="15"/>
        <v>46325.247673118974</v>
      </c>
      <c r="P67" s="4">
        <f t="shared" si="15"/>
        <v>57692.245521169702</v>
      </c>
      <c r="Q67" s="4">
        <f t="shared" si="15"/>
        <v>69059.243369220407</v>
      </c>
      <c r="R67" s="4">
        <f t="shared" si="15"/>
        <v>134091.81336210674</v>
      </c>
      <c r="S67" s="4">
        <f t="shared" si="15"/>
        <v>162220.88194044298</v>
      </c>
      <c r="T67" s="4">
        <f t="shared" si="15"/>
        <v>150652.44959368592</v>
      </c>
      <c r="U67" s="4">
        <f t="shared" si="15"/>
        <v>281978.18253674987</v>
      </c>
      <c r="V67" s="4">
        <f t="shared" si="15"/>
        <v>413303.91547981376</v>
      </c>
      <c r="W67" s="4">
        <f t="shared" si="15"/>
        <v>544629.64842287777</v>
      </c>
      <c r="X67" s="4">
        <f t="shared" si="15"/>
        <v>675955.3813659416</v>
      </c>
      <c r="Y67" s="4">
        <f t="shared" si="15"/>
        <v>807281.11430900544</v>
      </c>
      <c r="Z67" s="4">
        <f t="shared" si="15"/>
        <v>1017001.2195412687</v>
      </c>
      <c r="AA67" s="4">
        <f t="shared" si="15"/>
        <v>1226721.3247735319</v>
      </c>
      <c r="AB67" s="4">
        <f t="shared" si="15"/>
        <v>1436441.4300057949</v>
      </c>
      <c r="AC67" s="4">
        <f t="shared" si="15"/>
        <v>1646161.5352380578</v>
      </c>
      <c r="AD67" s="4">
        <f t="shared" si="15"/>
        <v>1855881.6404703208</v>
      </c>
    </row>
    <row r="68" spans="1:30" x14ac:dyDescent="0.35">
      <c r="A68" s="72"/>
      <c r="B68" s="72"/>
      <c r="C68" s="72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</row>
    <row r="69" spans="1:30" x14ac:dyDescent="0.35">
      <c r="A69" s="72" t="s">
        <v>120</v>
      </c>
      <c r="B69" s="72" t="s">
        <v>31</v>
      </c>
      <c r="C69" s="18">
        <f>NPV('Cost Assumptions'!$B$3,D69:AD69)</f>
        <v>24322736.867207415</v>
      </c>
      <c r="D69" s="4">
        <f>'Baseline System Analysis'!D28-D32</f>
        <v>160311.2620318876</v>
      </c>
      <c r="E69" s="4">
        <f>'Baseline System Analysis'!E28-E32</f>
        <v>426681.41358302307</v>
      </c>
      <c r="F69" s="4">
        <f>'Baseline System Analysis'!F28-F32</f>
        <v>622797.58403751405</v>
      </c>
      <c r="G69" s="4">
        <f>'Baseline System Analysis'!G28-G32</f>
        <v>833710.68965832237</v>
      </c>
      <c r="H69" s="4">
        <f>'Baseline System Analysis'!H28-H32</f>
        <v>1064544.9637495263</v>
      </c>
      <c r="I69" s="4">
        <f>'Baseline System Analysis'!I28-I32</f>
        <v>1155248.1483230039</v>
      </c>
      <c r="J69" s="4">
        <f>'Baseline System Analysis'!J28-J32</f>
        <v>1567795.6535710837</v>
      </c>
      <c r="K69" s="4">
        <f>'Baseline System Analysis'!K28-K32</f>
        <v>1347745.4554885479</v>
      </c>
      <c r="L69" s="4">
        <f>'Baseline System Analysis'!L28-L32</f>
        <v>1143199.8672408643</v>
      </c>
      <c r="M69" s="4">
        <f>'Baseline System Analysis'!M28-M32</f>
        <v>1340230.0479167867</v>
      </c>
      <c r="N69" s="4">
        <f>'Baseline System Analysis'!N28-N32</f>
        <v>1211871.2277846751</v>
      </c>
      <c r="O69" s="4">
        <f>'Baseline System Analysis'!O28-O32</f>
        <v>1844840.0090543826</v>
      </c>
      <c r="P69" s="4">
        <f>'Baseline System Analysis'!P28-P32</f>
        <v>2356895.0256503327</v>
      </c>
      <c r="Q69" s="4">
        <f>'Baseline System Analysis'!Q28-Q32</f>
        <v>2752240.7792296447</v>
      </c>
      <c r="R69" s="4">
        <f>'Baseline System Analysis'!R28-R32</f>
        <v>3112959.3920374792</v>
      </c>
      <c r="S69" s="4">
        <f>'Baseline System Analysis'!S28-S32</f>
        <v>3866030.048087935</v>
      </c>
      <c r="T69" s="4">
        <f>'Baseline System Analysis'!T28-T32</f>
        <v>4800043.3764840001</v>
      </c>
      <c r="U69" s="4">
        <f>'Baseline System Analysis'!U28-U32</f>
        <v>5605356.4974824116</v>
      </c>
      <c r="V69" s="4">
        <f>'Baseline System Analysis'!V28-V32</f>
        <v>6874181.4866932966</v>
      </c>
      <c r="W69" s="4">
        <f>'Baseline System Analysis'!W28-W32</f>
        <v>7999576.6636784412</v>
      </c>
      <c r="X69" s="4">
        <f>'Baseline System Analysis'!X28-X32</f>
        <v>9754283.3840660583</v>
      </c>
      <c r="Y69" s="4">
        <f>'Baseline System Analysis'!Y28-Y32</f>
        <v>11535617.976796627</v>
      </c>
      <c r="Z69" s="4">
        <f>'Baseline System Analysis'!Z28-Z32</f>
        <v>13419029.134060645</v>
      </c>
      <c r="AA69" s="4">
        <f>'Baseline System Analysis'!AA28-AA32</f>
        <v>15550241.498579893</v>
      </c>
      <c r="AB69" s="4">
        <f>'Baseline System Analysis'!AB28-AB32</f>
        <v>17751814.256896835</v>
      </c>
      <c r="AC69" s="4">
        <f>'Baseline System Analysis'!AC28-AC32</f>
        <v>19753092.153455924</v>
      </c>
      <c r="AD69" s="4">
        <f>'Baseline System Analysis'!AD28-AD32</f>
        <v>21673528.399512697</v>
      </c>
    </row>
    <row r="70" spans="1:30" x14ac:dyDescent="0.35">
      <c r="A70" s="72" t="s">
        <v>121</v>
      </c>
      <c r="B70" s="72" t="s">
        <v>31</v>
      </c>
      <c r="C70" s="18">
        <f>NPV('Cost Assumptions'!$B$3,D70:AD70)</f>
        <v>111616614.01387709</v>
      </c>
      <c r="D70" s="4">
        <f>'Baseline System Analysis'!D29-D33</f>
        <v>903346.68264248176</v>
      </c>
      <c r="E70" s="4">
        <f>'Baseline System Analysis'!E29-E33</f>
        <v>2253380.2014470203</v>
      </c>
      <c r="F70" s="4">
        <f>'Baseline System Analysis'!F29-F33</f>
        <v>3310518.2522157584</v>
      </c>
      <c r="G70" s="4">
        <f>'Baseline System Analysis'!G29-G33</f>
        <v>4447479.3478986584</v>
      </c>
      <c r="H70" s="4">
        <f>'Baseline System Analysis'!H29-H33</f>
        <v>5587189.795765399</v>
      </c>
      <c r="I70" s="4">
        <f>'Baseline System Analysis'!I29-I33</f>
        <v>5454549.1605001325</v>
      </c>
      <c r="J70" s="4">
        <f>'Baseline System Analysis'!J29-J33</f>
        <v>7543147.8061243081</v>
      </c>
      <c r="K70" s="4">
        <f>'Baseline System Analysis'!K29-K33</f>
        <v>6412592.364404032</v>
      </c>
      <c r="L70" s="4">
        <f>'Baseline System Analysis'!L29-L33</f>
        <v>5385232.8797742622</v>
      </c>
      <c r="M70" s="4">
        <f>'Baseline System Analysis'!M29-M33</f>
        <v>6340117.1212563487</v>
      </c>
      <c r="N70" s="4">
        <f>'Baseline System Analysis'!N29-N33</f>
        <v>6361112.9189538537</v>
      </c>
      <c r="O70" s="4">
        <f>'Baseline System Analysis'!O29-O33</f>
        <v>8895771.1264487375</v>
      </c>
      <c r="P70" s="4">
        <f>'Baseline System Analysis'!P29-P33</f>
        <v>11481103.835917845</v>
      </c>
      <c r="Q70" s="4">
        <f>'Baseline System Analysis'!Q29-Q33</f>
        <v>12843987.910857875</v>
      </c>
      <c r="R70" s="4">
        <f>'Baseline System Analysis'!R29-R33</f>
        <v>13698596.18827603</v>
      </c>
      <c r="S70" s="4">
        <f>'Baseline System Analysis'!S29-S33</f>
        <v>17199347.660875205</v>
      </c>
      <c r="T70" s="4">
        <f>'Baseline System Analysis'!T29-T33</f>
        <v>21372792.810114369</v>
      </c>
      <c r="U70" s="4">
        <f>'Baseline System Analysis'!U29-U33</f>
        <v>24257449.061312743</v>
      </c>
      <c r="V70" s="4">
        <f>'Baseline System Analysis'!V29-V33</f>
        <v>29703520.689742472</v>
      </c>
      <c r="W70" s="4">
        <f>'Baseline System Analysis'!W29-W33</f>
        <v>34774447.076135397</v>
      </c>
      <c r="X70" s="4">
        <f>'Baseline System Analysis'!X29-X33</f>
        <v>42273498.74532187</v>
      </c>
      <c r="Y70" s="4">
        <f>'Baseline System Analysis'!Y29-Y33</f>
        <v>50410415.488010727</v>
      </c>
      <c r="Z70" s="4">
        <f>'Baseline System Analysis'!Z29-Z33</f>
        <v>59093268.855131164</v>
      </c>
      <c r="AA70" s="4">
        <f>'Baseline System Analysis'!AA29-AA33</f>
        <v>69213486.158677086</v>
      </c>
      <c r="AB70" s="4">
        <f>'Baseline System Analysis'!AB29-AB33</f>
        <v>79553492.093079031</v>
      </c>
      <c r="AC70" s="4">
        <f>'Baseline System Analysis'!AC29-AC33</f>
        <v>89158920.062468082</v>
      </c>
      <c r="AD70" s="4">
        <f>'Baseline System Analysis'!AD29-AD33</f>
        <v>98364469.734937131</v>
      </c>
    </row>
    <row r="71" spans="1:30" x14ac:dyDescent="0.35">
      <c r="A71" s="72" t="s">
        <v>24</v>
      </c>
      <c r="B71" s="72" t="s">
        <v>31</v>
      </c>
      <c r="C71" s="18">
        <f>NPV('Cost Assumptions'!$B$3,D71:AD71)</f>
        <v>135939350.88108453</v>
      </c>
      <c r="D71" s="4">
        <f>SUM(D69:D70)</f>
        <v>1063657.9446743694</v>
      </c>
      <c r="E71" s="4">
        <f t="shared" ref="E71:AD71" si="16">SUM(E69:E70)</f>
        <v>2680061.6150300433</v>
      </c>
      <c r="F71" s="4">
        <f t="shared" si="16"/>
        <v>3933315.8362532724</v>
      </c>
      <c r="G71" s="4">
        <f t="shared" si="16"/>
        <v>5281190.0375569807</v>
      </c>
      <c r="H71" s="4">
        <f t="shared" si="16"/>
        <v>6651734.7595149251</v>
      </c>
      <c r="I71" s="4">
        <f t="shared" si="16"/>
        <v>6609797.3088231366</v>
      </c>
      <c r="J71" s="4">
        <f t="shared" si="16"/>
        <v>9110943.4596953914</v>
      </c>
      <c r="K71" s="4">
        <f t="shared" si="16"/>
        <v>7760337.8198925797</v>
      </c>
      <c r="L71" s="4">
        <f t="shared" si="16"/>
        <v>6528432.747015126</v>
      </c>
      <c r="M71" s="4">
        <f t="shared" si="16"/>
        <v>7680347.1691731354</v>
      </c>
      <c r="N71" s="4">
        <f t="shared" si="16"/>
        <v>7572984.1467385292</v>
      </c>
      <c r="O71" s="4">
        <f t="shared" si="16"/>
        <v>10740611.135503121</v>
      </c>
      <c r="P71" s="4">
        <f t="shared" si="16"/>
        <v>13837998.861568179</v>
      </c>
      <c r="Q71" s="4">
        <f t="shared" si="16"/>
        <v>15596228.69008752</v>
      </c>
      <c r="R71" s="4">
        <f t="shared" si="16"/>
        <v>16811555.580313511</v>
      </c>
      <c r="S71" s="4">
        <f t="shared" si="16"/>
        <v>21065377.708963141</v>
      </c>
      <c r="T71" s="4">
        <f t="shared" si="16"/>
        <v>26172836.186598368</v>
      </c>
      <c r="U71" s="4">
        <f t="shared" si="16"/>
        <v>29862805.558795154</v>
      </c>
      <c r="V71" s="4">
        <f t="shared" si="16"/>
        <v>36577702.176435769</v>
      </c>
      <c r="W71" s="4">
        <f t="shared" si="16"/>
        <v>42774023.739813834</v>
      </c>
      <c r="X71" s="4">
        <f t="shared" si="16"/>
        <v>52027782.12938793</v>
      </c>
      <c r="Y71" s="4">
        <f t="shared" si="16"/>
        <v>61946033.464807354</v>
      </c>
      <c r="Z71" s="4">
        <f t="shared" si="16"/>
        <v>72512297.989191815</v>
      </c>
      <c r="AA71" s="4">
        <f t="shared" si="16"/>
        <v>84763727.657256976</v>
      </c>
      <c r="AB71" s="4">
        <f t="shared" si="16"/>
        <v>97305306.349975869</v>
      </c>
      <c r="AC71" s="4">
        <f t="shared" si="16"/>
        <v>108912012.21592401</v>
      </c>
      <c r="AD71" s="4">
        <f t="shared" si="16"/>
        <v>120037998.13444982</v>
      </c>
    </row>
    <row r="73" spans="1:30" x14ac:dyDescent="0.35">
      <c r="A73" s="72" t="s">
        <v>117</v>
      </c>
      <c r="B73" s="72" t="s">
        <v>144</v>
      </c>
      <c r="C73" s="18">
        <f>NPV('Cost Assumptions'!$B$3,D73:AD73)</f>
        <v>461519492.46931183</v>
      </c>
      <c r="D73" s="53">
        <f>ABS((D49*D60*1000*'Cost Assumptions'!$B$6)/'Cost Assumptions'!$B$14)</f>
        <v>13206640.153751392</v>
      </c>
      <c r="E73" s="53">
        <f>ABS((E49*E60*1000*'Cost Assumptions'!$B$6)/'Cost Assumptions'!$B$14)</f>
        <v>17999839.332969867</v>
      </c>
      <c r="F73" s="53">
        <f>ABS((F49*F60*1000*'Cost Assumptions'!$B$6)/'Cost Assumptions'!$B$14)</f>
        <v>23024444.321053173</v>
      </c>
      <c r="G73" s="53">
        <f>ABS((G49*G60*1000*'Cost Assumptions'!$B$6)/'Cost Assumptions'!$B$14)</f>
        <v>28289029.658957537</v>
      </c>
      <c r="H73" s="53">
        <f>ABS((H49*H60*1000*'Cost Assumptions'!$B$6)/'Cost Assumptions'!$B$14)</f>
        <v>33802453.986056462</v>
      </c>
      <c r="I73" s="53">
        <f>ABS((I49*I60*1000*'Cost Assumptions'!$B$6)/'Cost Assumptions'!$B$14)</f>
        <v>39573868.885973476</v>
      </c>
      <c r="J73" s="53">
        <f>ABS((J49*J60*1000*'Cost Assumptions'!$B$6)/'Cost Assumptions'!$B$14)</f>
        <v>45612727.997145057</v>
      </c>
      <c r="K73" s="53">
        <f>ABS((K49*K60*1000*'Cost Assumptions'!$B$6)/'Cost Assumptions'!$B$14)</f>
        <v>45799611.960064963</v>
      </c>
      <c r="L73" s="53">
        <f>ABS((L49*L60*1000*'Cost Assumptions'!$B$6)/'Cost Assumptions'!$B$14)</f>
        <v>45967332.166132644</v>
      </c>
      <c r="M73" s="53">
        <f>ABS((M49*M60*1000*'Cost Assumptions'!$B$6)/'Cost Assumptions'!$B$14)</f>
        <v>41580903.738583647</v>
      </c>
      <c r="N73" s="53">
        <f>ABS((N49*N60*1000*'Cost Assumptions'!$B$6)/'Cost Assumptions'!$B$14)</f>
        <v>45115390.672378622</v>
      </c>
      <c r="O73" s="53">
        <f>ABS((O49*O60*1000*'Cost Assumptions'!$B$6)/'Cost Assumptions'!$B$14)</f>
        <v>58096118.964771852</v>
      </c>
      <c r="P73" s="53">
        <f>ABS((P49*P60*1000*'Cost Assumptions'!$B$6)/'Cost Assumptions'!$B$14)</f>
        <v>63264326.819286123</v>
      </c>
      <c r="Q73" s="53">
        <f>ABS((Q49*Q60*1000*'Cost Assumptions'!$B$6)/'Cost Assumptions'!$B$14)</f>
        <v>68097166.018974602</v>
      </c>
      <c r="R73" s="53">
        <f>ABS((R49*R60*1000*'Cost Assumptions'!$B$6)/'Cost Assumptions'!$B$14)</f>
        <v>74253461.424559042</v>
      </c>
      <c r="S73" s="53">
        <f>ABS((S49*S60*1000*'Cost Assumptions'!$B$6)/'Cost Assumptions'!$B$14)</f>
        <v>80675010.871660858</v>
      </c>
      <c r="T73" s="53">
        <f>ABS((T49*T60*1000*'Cost Assumptions'!$B$6)/'Cost Assumptions'!$B$14)</f>
        <v>87371229.377727389</v>
      </c>
      <c r="U73" s="53">
        <f>ABS((U49*U60*1000*'Cost Assumptions'!$B$6)/'Cost Assumptions'!$B$14)</f>
        <v>94351836.927302465</v>
      </c>
      <c r="V73" s="53">
        <f>ABS((V49*V60*1000*'Cost Assumptions'!$B$6)/'Cost Assumptions'!$B$14)</f>
        <v>101626867.83599523</v>
      </c>
      <c r="W73" s="53">
        <f>ABS((W49*W60*1000*'Cost Assumptions'!$B$6)/'Cost Assumptions'!$B$14)</f>
        <v>109206680.39204307</v>
      </c>
      <c r="X73" s="53">
        <f>ABS((X49*X60*1000*'Cost Assumptions'!$B$6)/'Cost Assumptions'!$B$14)</f>
        <v>117101966.78349581</v>
      </c>
      <c r="Y73" s="53">
        <f>ABS((Y49*Y60*1000*'Cost Assumptions'!$B$6)/'Cost Assumptions'!$B$14)</f>
        <v>125323763.31927614</v>
      </c>
      <c r="Z73" s="53">
        <f>ABS((Z49*Z60*1000*'Cost Assumptions'!$B$6)/'Cost Assumptions'!$B$14)</f>
        <v>133883460.9526058</v>
      </c>
      <c r="AA73" s="53">
        <f>ABS((AA49*AA60*1000*'Cost Assumptions'!$B$6)/'Cost Assumptions'!$B$14)</f>
        <v>142792816.11552739</v>
      </c>
      <c r="AB73" s="53">
        <f>ABS((AB49*AB60*1000*'Cost Assumptions'!$B$6)/'Cost Assumptions'!$B$14)</f>
        <v>152063961.87349972</v>
      </c>
      <c r="AC73" s="53">
        <f>ABS((AC49*AC60*1000*'Cost Assumptions'!$B$6)/'Cost Assumptions'!$B$14)</f>
        <v>161709419.40929842</v>
      </c>
      <c r="AD73" s="53">
        <f>ABS((AD49*AD60*1000*'Cost Assumptions'!$B$6)/'Cost Assumptions'!$B$14)</f>
        <v>171742109.84571612</v>
      </c>
    </row>
    <row r="74" spans="1:30" x14ac:dyDescent="0.35">
      <c r="A74" s="72" t="s">
        <v>119</v>
      </c>
      <c r="B74" s="72" t="s">
        <v>144</v>
      </c>
      <c r="C74" s="18">
        <f>NPV('Cost Assumptions'!$B$3,D74:AD74)</f>
        <v>1901290707.2427578</v>
      </c>
      <c r="D74" s="53">
        <f>ABS((D49*D62*1000*'Cost Assumptions'!$B$7)/'Cost Assumptions'!$B$14)</f>
        <v>54406504.184427761</v>
      </c>
      <c r="E74" s="53">
        <f>ABS((E49*E62*1000*'Cost Assumptions'!$B$7)/'Cost Assumptions'!$B$14)</f>
        <v>74152723.371513724</v>
      </c>
      <c r="F74" s="53">
        <f>ABS((F49*F62*1000*'Cost Assumptions'!$B$7)/'Cost Assumptions'!$B$14)</f>
        <v>94852249.452838719</v>
      </c>
      <c r="G74" s="53">
        <f>ABS((G49*G62*1000*'Cost Assumptions'!$B$7)/'Cost Assumptions'!$B$14)</f>
        <v>116540406.38612278</v>
      </c>
      <c r="H74" s="53">
        <f>ABS((H49*H62*1000*'Cost Assumptions'!$B$7)/'Cost Assumptions'!$B$14)</f>
        <v>139253688.51016301</v>
      </c>
      <c r="I74" s="53">
        <f>ABS((I49*I62*1000*'Cost Assumptions'!$B$7)/'Cost Assumptions'!$B$14)</f>
        <v>163029796.98641393</v>
      </c>
      <c r="J74" s="53">
        <f>ABS((J49*J62*1000*'Cost Assumptions'!$B$7)/'Cost Assumptions'!$B$14)</f>
        <v>187907677.33115849</v>
      </c>
      <c r="K74" s="53">
        <f>ABS((K49*K62*1000*'Cost Assumptions'!$B$7)/'Cost Assumptions'!$B$14)</f>
        <v>188677570.58123812</v>
      </c>
      <c r="L74" s="53">
        <f>ABS((L49*L62*1000*'Cost Assumptions'!$B$7)/'Cost Assumptions'!$B$14)</f>
        <v>189368516.19548973</v>
      </c>
      <c r="M74" s="53">
        <f>ABS((M49*M62*1000*'Cost Assumptions'!$B$7)/'Cost Assumptions'!$B$14)</f>
        <v>171298043.02292079</v>
      </c>
      <c r="N74" s="53">
        <f>ABS((N49*N62*1000*'Cost Assumptions'!$B$7)/'Cost Assumptions'!$B$14)</f>
        <v>185858830.3173863</v>
      </c>
      <c r="O74" s="53">
        <f>ABS((O49*O62*1000*'Cost Assumptions'!$B$7)/'Cost Assumptions'!$B$14)</f>
        <v>239334660.65235633</v>
      </c>
      <c r="P74" s="53">
        <f>ABS((P49*P62*1000*'Cost Assumptions'!$B$7)/'Cost Assumptions'!$B$14)</f>
        <v>260625777.77140287</v>
      </c>
      <c r="Q74" s="53">
        <f>ABS((Q49*Q62*1000*'Cost Assumptions'!$B$7)/'Cost Assumptions'!$B$14)</f>
        <v>280535299.27569169</v>
      </c>
      <c r="R74" s="53">
        <f>ABS((R49*R62*1000*'Cost Assumptions'!$B$7)/'Cost Assumptions'!$B$14)</f>
        <v>305896973.99727952</v>
      </c>
      <c r="S74" s="53">
        <f>ABS((S49*S62*1000*'Cost Assumptions'!$B$7)/'Cost Assumptions'!$B$14)</f>
        <v>332351397.89289945</v>
      </c>
      <c r="T74" s="53">
        <f>ABS((T49*T62*1000*'Cost Assumptions'!$B$7)/'Cost Assumptions'!$B$14)</f>
        <v>359937357.37455207</v>
      </c>
      <c r="U74" s="53">
        <f>ABS((U49*U62*1000*'Cost Assumptions'!$B$7)/'Cost Assumptions'!$B$14)</f>
        <v>388694895.20660424</v>
      </c>
      <c r="V74" s="53">
        <f>ABS((V49*V62*1000*'Cost Assumptions'!$B$7)/'Cost Assumptions'!$B$14)</f>
        <v>418665349.08189994</v>
      </c>
      <c r="W74" s="53">
        <f>ABS((W49*W62*1000*'Cost Assumptions'!$B$7)/'Cost Assumptions'!$B$14)</f>
        <v>449891391.34145629</v>
      </c>
      <c r="X74" s="53">
        <f>ABS((X49*X62*1000*'Cost Assumptions'!$B$7)/'Cost Assumptions'!$B$14)</f>
        <v>482417069.87081432</v>
      </c>
      <c r="Y74" s="53">
        <f>ABS((Y49*Y62*1000*'Cost Assumptions'!$B$7)/'Cost Assumptions'!$B$14)</f>
        <v>516287850.20705175</v>
      </c>
      <c r="Z74" s="53">
        <f>ABS((Z49*Z62*1000*'Cost Assumptions'!$B$7)/'Cost Assumptions'!$B$14)</f>
        <v>551550658.89143169</v>
      </c>
      <c r="AA74" s="53">
        <f>ABS((AA49*AA62*1000*'Cost Assumptions'!$B$7)/'Cost Assumptions'!$B$14)</f>
        <v>588253928.1036514</v>
      </c>
      <c r="AB74" s="53">
        <f>ABS((AB49*AB62*1000*'Cost Assumptions'!$B$7)/'Cost Assumptions'!$B$14)</f>
        <v>626447641.61467481</v>
      </c>
      <c r="AC74" s="53">
        <f>ABS((AC49*AC62*1000*'Cost Assumptions'!$B$7)/'Cost Assumptions'!$B$14)</f>
        <v>666183382.09618473</v>
      </c>
      <c r="AD74" s="53">
        <f>ABS((AD49*AD62*1000*'Cost Assumptions'!$B$7)/'Cost Assumptions'!$B$14)</f>
        <v>707514379.82576072</v>
      </c>
    </row>
    <row r="75" spans="1:30" x14ac:dyDescent="0.35">
      <c r="A75" s="72" t="s">
        <v>24</v>
      </c>
      <c r="B75" s="72" t="s">
        <v>144</v>
      </c>
      <c r="C75" s="18">
        <f>NPV('Cost Assumptions'!$B$3,D75:AD75)</f>
        <v>2362810199.71207</v>
      </c>
      <c r="D75" s="53">
        <f>SUM(D73:D74)</f>
        <v>67613144.338179156</v>
      </c>
      <c r="E75" s="53">
        <f t="shared" ref="E75:AD75" si="17">SUM(E73:E74)</f>
        <v>92152562.704483598</v>
      </c>
      <c r="F75" s="53">
        <f t="shared" si="17"/>
        <v>117876693.7738919</v>
      </c>
      <c r="G75" s="53">
        <f t="shared" si="17"/>
        <v>144829436.0450803</v>
      </c>
      <c r="H75" s="53">
        <f t="shared" si="17"/>
        <v>173056142.49621946</v>
      </c>
      <c r="I75" s="53">
        <f t="shared" si="17"/>
        <v>202603665.87238741</v>
      </c>
      <c r="J75" s="53">
        <f t="shared" si="17"/>
        <v>233520405.32830355</v>
      </c>
      <c r="K75" s="53">
        <f t="shared" si="17"/>
        <v>234477182.5413031</v>
      </c>
      <c r="L75" s="53">
        <f t="shared" si="17"/>
        <v>235335848.36162239</v>
      </c>
      <c r="M75" s="53">
        <f t="shared" si="17"/>
        <v>212878946.76150444</v>
      </c>
      <c r="N75" s="53">
        <f t="shared" si="17"/>
        <v>230974220.98976493</v>
      </c>
      <c r="O75" s="53">
        <f t="shared" si="17"/>
        <v>297430779.61712819</v>
      </c>
      <c r="P75" s="53">
        <f t="shared" si="17"/>
        <v>323890104.590689</v>
      </c>
      <c r="Q75" s="53">
        <f t="shared" si="17"/>
        <v>348632465.29466629</v>
      </c>
      <c r="R75" s="53">
        <f t="shared" si="17"/>
        <v>380150435.42183858</v>
      </c>
      <c r="S75" s="53">
        <f t="shared" si="17"/>
        <v>413026408.76456034</v>
      </c>
      <c r="T75" s="53">
        <f t="shared" si="17"/>
        <v>447308586.75227946</v>
      </c>
      <c r="U75" s="53">
        <f t="shared" si="17"/>
        <v>483046732.13390672</v>
      </c>
      <c r="V75" s="53">
        <f t="shared" si="17"/>
        <v>520292216.9178952</v>
      </c>
      <c r="W75" s="53">
        <f t="shared" si="17"/>
        <v>559098071.73349941</v>
      </c>
      <c r="X75" s="53">
        <f t="shared" si="17"/>
        <v>599519036.65431011</v>
      </c>
      <c r="Y75" s="53">
        <f t="shared" si="17"/>
        <v>641611613.52632785</v>
      </c>
      <c r="Z75" s="53">
        <f t="shared" si="17"/>
        <v>685434119.84403753</v>
      </c>
      <c r="AA75" s="53">
        <f t="shared" si="17"/>
        <v>731046744.2191788</v>
      </c>
      <c r="AB75" s="53">
        <f t="shared" si="17"/>
        <v>778511603.48817456</v>
      </c>
      <c r="AC75" s="53">
        <f t="shared" si="17"/>
        <v>827892801.50548315</v>
      </c>
      <c r="AD75" s="53">
        <f t="shared" si="17"/>
        <v>879256489.67147684</v>
      </c>
    </row>
    <row r="76" spans="1:30" x14ac:dyDescent="0.35">
      <c r="A76" s="72"/>
      <c r="B76" s="72"/>
      <c r="C76" s="18"/>
      <c r="D76" s="53"/>
      <c r="E76" s="53"/>
      <c r="F76" s="53"/>
      <c r="G76" s="53"/>
      <c r="H76" s="53"/>
      <c r="I76" s="53"/>
      <c r="J76" s="53"/>
      <c r="K76" s="53"/>
      <c r="L76" s="53"/>
      <c r="M76" s="53"/>
      <c r="N76" s="53"/>
      <c r="O76" s="53"/>
      <c r="P76" s="53"/>
      <c r="Q76" s="53"/>
      <c r="R76" s="53"/>
      <c r="S76" s="53"/>
      <c r="T76" s="53"/>
      <c r="U76" s="53"/>
      <c r="V76" s="53"/>
      <c r="W76" s="53"/>
      <c r="X76" s="53"/>
      <c r="Y76" s="53"/>
      <c r="Z76" s="53"/>
      <c r="AA76" s="53"/>
      <c r="AB76" s="53"/>
      <c r="AC76" s="53"/>
      <c r="AD76" s="53"/>
    </row>
    <row r="77" spans="1:30" x14ac:dyDescent="0.35">
      <c r="A77" s="72" t="s">
        <v>117</v>
      </c>
      <c r="B77" s="72" t="s">
        <v>152</v>
      </c>
      <c r="C77" s="18">
        <f>NPV('Cost Assumptions'!$B$3,D77:AD77)</f>
        <v>20993140.67042258</v>
      </c>
      <c r="D77" s="53">
        <f>ABS(D50)*D61*1000*'Cost Assumptions'!$B$6*'Cost Assumptions'!$B$13</f>
        <v>1821819.6755076859</v>
      </c>
      <c r="E77" s="53">
        <f>ABS(E50)*E61*1000*'Cost Assumptions'!$B$6*'Cost Assumptions'!$B$13</f>
        <v>1874226.7328974244</v>
      </c>
      <c r="F77" s="53">
        <f>ABS(F50)*F61*1000*'Cost Assumptions'!$B$6*'Cost Assumptions'!$B$13</f>
        <v>1924426.299672507</v>
      </c>
      <c r="G77" s="53">
        <f>ABS(G50)*G61*1000*'Cost Assumptions'!$B$6*'Cost Assumptions'!$B$13</f>
        <v>1976055.5499552824</v>
      </c>
      <c r="H77" s="53">
        <f>ABS(H50)*H61*1000*'Cost Assumptions'!$B$6*'Cost Assumptions'!$B$13</f>
        <v>2029254.3823258451</v>
      </c>
      <c r="I77" s="53">
        <f>ABS(I50)*I61*1000*'Cost Assumptions'!$B$6*'Cost Assumptions'!$B$13</f>
        <v>2084443.2126115847</v>
      </c>
      <c r="J77" s="53">
        <f>ABS(J50)*J61*1000*'Cost Assumptions'!$B$6*'Cost Assumptions'!$B$13</f>
        <v>2141125.9697476309</v>
      </c>
      <c r="K77" s="53">
        <f>ABS(K50)*K61*1000*'Cost Assumptions'!$B$6*'Cost Assumptions'!$B$13</f>
        <v>2191563.8076683739</v>
      </c>
      <c r="L77" s="53">
        <f>ABS(L50)*L61*1000*'Cost Assumptions'!$B$6*'Cost Assumptions'!$B$13</f>
        <v>2243188.2309964313</v>
      </c>
      <c r="M77" s="53">
        <f>ABS(M50)*M61*1000*'Cost Assumptions'!$B$6*'Cost Assumptions'!$B$13</f>
        <v>2296023.5477430518</v>
      </c>
      <c r="N77" s="53">
        <f>ABS(N50)*N61*1000*'Cost Assumptions'!$B$6*'Cost Assumptions'!$B$13</f>
        <v>2358750.8420648025</v>
      </c>
      <c r="O77" s="53">
        <f>ABS(O50)*O61*1000*'Cost Assumptions'!$B$6*'Cost Assumptions'!$B$13</f>
        <v>2423330.2384314453</v>
      </c>
      <c r="P77" s="53">
        <f>ABS(P50)*P61*1000*'Cost Assumptions'!$B$6*'Cost Assumptions'!$B$13</f>
        <v>2489831.1902714954</v>
      </c>
      <c r="Q77" s="53">
        <f>ABS(Q50)*Q61*1000*'Cost Assumptions'!$B$6*'Cost Assumptions'!$B$13</f>
        <v>2558030.6130167921</v>
      </c>
      <c r="R77" s="53">
        <f>ABS(R50)*R61*1000*'Cost Assumptions'!$B$6*'Cost Assumptions'!$B$13</f>
        <v>2628216.3183707395</v>
      </c>
      <c r="S77" s="53">
        <f>ABS(S50)*S61*1000*'Cost Assumptions'!$B$6*'Cost Assumptions'!$B$13</f>
        <v>2700428.1161797582</v>
      </c>
      <c r="T77" s="53">
        <f>ABS(T50)*T61*1000*'Cost Assumptions'!$B$6*'Cost Assumptions'!$B$13</f>
        <v>2774763.4441550323</v>
      </c>
      <c r="U77" s="53">
        <f>ABS(U50)*U61*1000*'Cost Assumptions'!$B$6*'Cost Assumptions'!$B$13</f>
        <v>2850493.5689607565</v>
      </c>
      <c r="V77" s="53">
        <f>ABS(V50)*V61*1000*'Cost Assumptions'!$B$6*'Cost Assumptions'!$B$13</f>
        <v>2928305.2141745896</v>
      </c>
      <c r="W77" s="53">
        <f>ABS(W50)*W61*1000*'Cost Assumptions'!$B$6*'Cost Assumptions'!$B$13</f>
        <v>3008223.5776028256</v>
      </c>
      <c r="X77" s="53">
        <f>ABS(X50)*X61*1000*'Cost Assumptions'!$B$6*'Cost Assumptions'!$B$13</f>
        <v>3090351.7815996581</v>
      </c>
      <c r="Y77" s="53">
        <f>ABS(Y50)*Y61*1000*'Cost Assumptions'!$B$6*'Cost Assumptions'!$B$13</f>
        <v>3173531.4478804949</v>
      </c>
      <c r="Z77" s="53">
        <f>ABS(Z50)*Z61*1000*'Cost Assumptions'!$B$6*'Cost Assumptions'!$B$13</f>
        <v>3258795.4503881484</v>
      </c>
      <c r="AA77" s="53">
        <f>ABS(AA50)*AA61*1000*'Cost Assumptions'!$B$6*'Cost Assumptions'!$B$13</f>
        <v>3346136.4511241782</v>
      </c>
      <c r="AB77" s="53">
        <f>ABS(AB50)*AB61*1000*'Cost Assumptions'!$B$6*'Cost Assumptions'!$B$13</f>
        <v>3435642.5474663936</v>
      </c>
      <c r="AC77" s="53">
        <f>ABS(AC50)*AC61*1000*'Cost Assumptions'!$B$6*'Cost Assumptions'!$B$13</f>
        <v>3525815.1750402036</v>
      </c>
      <c r="AD77" s="53">
        <f>ABS(AD50)*AD61*1000*'Cost Assumptions'!$B$6*'Cost Assumptions'!$B$13</f>
        <v>3617882.3430530815</v>
      </c>
    </row>
    <row r="78" spans="1:30" x14ac:dyDescent="0.35">
      <c r="A78" s="72" t="s">
        <v>119</v>
      </c>
      <c r="B78" s="72" t="s">
        <v>152</v>
      </c>
      <c r="C78" s="18">
        <f>NPV('Cost Assumptions'!$B$3,D78:AD78)</f>
        <v>94629771.572104633</v>
      </c>
      <c r="D78" s="53">
        <f>ABS(D50)*D63*1000*'Cost Assumptions'!$B$7*'Cost Assumptions'!$B$13</f>
        <v>8212129.0208735503</v>
      </c>
      <c r="E78" s="53">
        <f>ABS(E50)*E63*1000*'Cost Assumptions'!$B$7*'Cost Assumptions'!$B$13</f>
        <v>8448361.7955409568</v>
      </c>
      <c r="F78" s="53">
        <f>ABS(F50)*F63*1000*'Cost Assumptions'!$B$7*'Cost Assumptions'!$B$13</f>
        <v>8674643.9708248824</v>
      </c>
      <c r="G78" s="53">
        <f>ABS(G50)*G63*1000*'Cost Assumptions'!$B$7*'Cost Assumptions'!$B$13</f>
        <v>8907370.6617664378</v>
      </c>
      <c r="H78" s="53">
        <f>ABS(H50)*H63*1000*'Cost Assumptions'!$B$7*'Cost Assumptions'!$B$13</f>
        <v>9147172.4824736062</v>
      </c>
      <c r="I78" s="53">
        <f>ABS(I50)*I63*1000*'Cost Assumptions'!$B$7*'Cost Assumptions'!$B$13</f>
        <v>9395944.5211723819</v>
      </c>
      <c r="J78" s="53">
        <f>ABS(J50)*J63*1000*'Cost Assumptions'!$B$7*'Cost Assumptions'!$B$13</f>
        <v>9651450.662157679</v>
      </c>
      <c r="K78" s="53">
        <f>ABS(K50)*K63*1000*'Cost Assumptions'!$B$7*'Cost Assumptions'!$B$13</f>
        <v>9878806.8808370177</v>
      </c>
      <c r="L78" s="53">
        <f>ABS(L50)*L63*1000*'Cost Assumptions'!$B$7*'Cost Assumptions'!$B$13</f>
        <v>10111511.813546706</v>
      </c>
      <c r="M78" s="53">
        <f>ABS(M50)*M63*1000*'Cost Assumptions'!$B$7*'Cost Assumptions'!$B$13</f>
        <v>10349675.032341156</v>
      </c>
      <c r="N78" s="53">
        <f>ABS(N50)*N63*1000*'Cost Assumptions'!$B$7*'Cost Assumptions'!$B$13</f>
        <v>10632427.843185058</v>
      </c>
      <c r="O78" s="53">
        <f>ABS(O50)*O63*1000*'Cost Assumptions'!$B$7*'Cost Assumptions'!$B$13</f>
        <v>10923529.285431376</v>
      </c>
      <c r="P78" s="53">
        <f>ABS(P50)*P63*1000*'Cost Assumptions'!$B$7*'Cost Assumptions'!$B$13</f>
        <v>11223292.430962889</v>
      </c>
      <c r="Q78" s="53">
        <f>ABS(Q50)*Q63*1000*'Cost Assumptions'!$B$7*'Cost Assumptions'!$B$13</f>
        <v>11530711.692189939</v>
      </c>
      <c r="R78" s="53">
        <f>ABS(R50)*R63*1000*'Cost Assumptions'!$B$7*'Cost Assumptions'!$B$13</f>
        <v>11847084.42409987</v>
      </c>
      <c r="S78" s="53">
        <f>ABS(S50)*S63*1000*'Cost Assumptions'!$B$7*'Cost Assumptions'!$B$13</f>
        <v>12172590.075624706</v>
      </c>
      <c r="T78" s="53">
        <f>ABS(T50)*T63*1000*'Cost Assumptions'!$B$7*'Cost Assumptions'!$B$13</f>
        <v>12507667.8620537</v>
      </c>
      <c r="U78" s="53">
        <f>ABS(U50)*U63*1000*'Cost Assumptions'!$B$7*'Cost Assumptions'!$B$13</f>
        <v>12849032.907141469</v>
      </c>
      <c r="V78" s="53">
        <f>ABS(V50)*V63*1000*'Cost Assumptions'!$B$7*'Cost Assumptions'!$B$13</f>
        <v>13199780.721764978</v>
      </c>
      <c r="W78" s="53">
        <f>ABS(W50)*W63*1000*'Cost Assumptions'!$B$7*'Cost Assumptions'!$B$13</f>
        <v>13560024.888865026</v>
      </c>
      <c r="X78" s="53">
        <f>ABS(X50)*X63*1000*'Cost Assumptions'!$B$7*'Cost Assumptions'!$B$13</f>
        <v>13930230.24812302</v>
      </c>
      <c r="Y78" s="53">
        <f>ABS(Y50)*Y63*1000*'Cost Assumptions'!$B$7*'Cost Assumptions'!$B$13</f>
        <v>14305175.233400486</v>
      </c>
      <c r="Z78" s="53">
        <f>ABS(Z50)*Z63*1000*'Cost Assumptions'!$B$7*'Cost Assumptions'!$B$13</f>
        <v>14689515.680944402</v>
      </c>
      <c r="AA78" s="53">
        <f>ABS(AA50)*AA63*1000*'Cost Assumptions'!$B$7*'Cost Assumptions'!$B$13</f>
        <v>15083218.513611753</v>
      </c>
      <c r="AB78" s="53">
        <f>ABS(AB50)*AB63*1000*'Cost Assumptions'!$B$7*'Cost Assumptions'!$B$13</f>
        <v>15486680.843719797</v>
      </c>
      <c r="AC78" s="53">
        <f>ABS(AC50)*AC63*1000*'Cost Assumptions'!$B$7*'Cost Assumptions'!$B$13</f>
        <v>15893147.66463661</v>
      </c>
      <c r="AD78" s="53">
        <f>ABS(AD50)*AD63*1000*'Cost Assumptions'!$B$7*'Cost Assumptions'!$B$13</f>
        <v>16308154.414466284</v>
      </c>
    </row>
    <row r="79" spans="1:30" s="52" customFormat="1" ht="29" x14ac:dyDescent="0.35">
      <c r="A79" s="3" t="s">
        <v>146</v>
      </c>
      <c r="B79" s="72" t="s">
        <v>152</v>
      </c>
      <c r="C79" s="18">
        <f>NPV('Cost Assumptions'!$B$3,D79:AD79)</f>
        <v>115622912.2425272</v>
      </c>
      <c r="D79" s="53">
        <f>SUM(D77:D78)</f>
        <v>10033948.696381235</v>
      </c>
      <c r="E79" s="53">
        <f t="shared" ref="E79:AD79" si="18">SUM(E77:E78)</f>
        <v>10322588.528438382</v>
      </c>
      <c r="F79" s="53">
        <f t="shared" si="18"/>
        <v>10599070.270497389</v>
      </c>
      <c r="G79" s="53">
        <f t="shared" si="18"/>
        <v>10883426.21172172</v>
      </c>
      <c r="H79" s="53">
        <f t="shared" si="18"/>
        <v>11176426.864799451</v>
      </c>
      <c r="I79" s="53">
        <f t="shared" si="18"/>
        <v>11480387.733783966</v>
      </c>
      <c r="J79" s="53">
        <f t="shared" si="18"/>
        <v>11792576.63190531</v>
      </c>
      <c r="K79" s="53">
        <f t="shared" si="18"/>
        <v>12070370.688505393</v>
      </c>
      <c r="L79" s="53">
        <f t="shared" si="18"/>
        <v>12354700.044543138</v>
      </c>
      <c r="M79" s="53">
        <f t="shared" si="18"/>
        <v>12645698.580084208</v>
      </c>
      <c r="N79" s="53">
        <f t="shared" si="18"/>
        <v>12991178.685249861</v>
      </c>
      <c r="O79" s="53">
        <f t="shared" si="18"/>
        <v>13346859.52386282</v>
      </c>
      <c r="P79" s="53">
        <f t="shared" si="18"/>
        <v>13713123.621234383</v>
      </c>
      <c r="Q79" s="53">
        <f t="shared" si="18"/>
        <v>14088742.305206731</v>
      </c>
      <c r="R79" s="53">
        <f t="shared" si="18"/>
        <v>14475300.742470609</v>
      </c>
      <c r="S79" s="53">
        <f t="shared" si="18"/>
        <v>14873018.191804465</v>
      </c>
      <c r="T79" s="53">
        <f t="shared" si="18"/>
        <v>15282431.306208732</v>
      </c>
      <c r="U79" s="53">
        <f t="shared" si="18"/>
        <v>15699526.476102225</v>
      </c>
      <c r="V79" s="53">
        <f t="shared" si="18"/>
        <v>16128085.935939567</v>
      </c>
      <c r="W79" s="53">
        <f t="shared" si="18"/>
        <v>16568248.466467852</v>
      </c>
      <c r="X79" s="53">
        <f t="shared" si="18"/>
        <v>17020582.029722679</v>
      </c>
      <c r="Y79" s="53">
        <f t="shared" si="18"/>
        <v>17478706.681280982</v>
      </c>
      <c r="Z79" s="53">
        <f t="shared" si="18"/>
        <v>17948311.13133255</v>
      </c>
      <c r="AA79" s="53">
        <f t="shared" si="18"/>
        <v>18429354.964735933</v>
      </c>
      <c r="AB79" s="53">
        <f t="shared" si="18"/>
        <v>18922323.391186193</v>
      </c>
      <c r="AC79" s="53">
        <f t="shared" si="18"/>
        <v>19418962.839676812</v>
      </c>
      <c r="AD79" s="53">
        <f t="shared" si="18"/>
        <v>19926036.757519364</v>
      </c>
    </row>
    <row r="80" spans="1:30" s="52" customFormat="1" x14ac:dyDescent="0.35">
      <c r="A80" s="3"/>
      <c r="B80" s="72"/>
      <c r="C80" s="18"/>
      <c r="D80" s="53"/>
      <c r="E80" s="53"/>
      <c r="F80" s="53"/>
      <c r="G80" s="53"/>
      <c r="H80" s="53"/>
      <c r="I80" s="53"/>
      <c r="J80" s="53"/>
      <c r="K80" s="53"/>
      <c r="L80" s="53"/>
      <c r="M80" s="53"/>
      <c r="N80" s="53"/>
      <c r="O80" s="53"/>
      <c r="P80" s="53"/>
      <c r="Q80" s="53"/>
      <c r="R80" s="53"/>
      <c r="S80" s="53"/>
      <c r="T80" s="53"/>
      <c r="U80" s="53"/>
      <c r="V80" s="53"/>
      <c r="W80" s="53"/>
      <c r="X80" s="53"/>
      <c r="Y80" s="53"/>
      <c r="Z80" s="53"/>
      <c r="AA80" s="53"/>
      <c r="AB80" s="53"/>
      <c r="AC80" s="53"/>
      <c r="AD80" s="53"/>
    </row>
    <row r="81" spans="1:30" s="52" customFormat="1" ht="29" x14ac:dyDescent="0.35">
      <c r="A81" s="3" t="s">
        <v>147</v>
      </c>
      <c r="B81" s="72" t="s">
        <v>148</v>
      </c>
      <c r="C81" s="18">
        <f>NPV('Cost Assumptions'!$B$3,D81:AD81)</f>
        <v>149022625.44354364</v>
      </c>
      <c r="D81" s="53">
        <f>('Baseline System Analysis'!D42-D36)</f>
        <v>10482482.559676643</v>
      </c>
      <c r="E81" s="53">
        <f>('Baseline System Analysis'!E42-E36)</f>
        <v>11411304.027069721</v>
      </c>
      <c r="F81" s="53">
        <f>('Baseline System Analysis'!F42-F36)</f>
        <v>12010929.385904703</v>
      </c>
      <c r="G81" s="53">
        <f>('Baseline System Analysis'!G42-G36)</f>
        <v>12686212.858693197</v>
      </c>
      <c r="H81" s="53">
        <f>('Baseline System Analysis'!H42-H36)</f>
        <v>13366594.603263134</v>
      </c>
      <c r="I81" s="53">
        <f>('Baseline System Analysis'!I42-I36)</f>
        <v>14080244.466457114</v>
      </c>
      <c r="J81" s="53">
        <f>('Baseline System Analysis'!J42-J36)</f>
        <v>14863848.884161765</v>
      </c>
      <c r="K81" s="53">
        <f>('Baseline System Analysis'!K42-K36)</f>
        <v>14963452.166032262</v>
      </c>
      <c r="L81" s="53">
        <f>('Baseline System Analysis'!L42-L36)</f>
        <v>15038732.673099298</v>
      </c>
      <c r="M81" s="53">
        <f>('Baseline System Analysis'!M42-M36)</f>
        <v>15135119.047373887</v>
      </c>
      <c r="N81" s="53">
        <f>('Baseline System Analysis'!N42-N36)</f>
        <v>15992648.562050004</v>
      </c>
      <c r="O81" s="53">
        <f>('Baseline System Analysis'!O42-O36)</f>
        <v>16889642.705203809</v>
      </c>
      <c r="P81" s="53">
        <f>('Baseline System Analysis'!P42-P36)</f>
        <v>17982029.348811924</v>
      </c>
      <c r="Q81" s="53">
        <f>('Baseline System Analysis'!Q42-Q36)</f>
        <v>19051737.815789118</v>
      </c>
      <c r="R81" s="53">
        <f>('Baseline System Analysis'!R42-R36)</f>
        <v>20199673.470793493</v>
      </c>
      <c r="S81" s="53">
        <f>('Baseline System Analysis'!S42-S36)</f>
        <v>21070062.404659722</v>
      </c>
      <c r="T81" s="53">
        <f>('Baseline System Analysis'!T42-T36)</f>
        <v>22181396.02741991</v>
      </c>
      <c r="U81" s="53">
        <f>('Baseline System Analysis'!U42-U36)</f>
        <v>23445285.267946951</v>
      </c>
      <c r="V81" s="53">
        <f>('Baseline System Analysis'!V42-V36)</f>
        <v>24662936.553686954</v>
      </c>
      <c r="W81" s="53">
        <f>('Baseline System Analysis'!W42-W36)</f>
        <v>25936946.277222849</v>
      </c>
      <c r="X81" s="53">
        <f>('Baseline System Analysis'!X42-X36)</f>
        <v>27169100.017154459</v>
      </c>
      <c r="Y81" s="53">
        <f>('Baseline System Analysis'!Y42-Y36)</f>
        <v>28484451.971617371</v>
      </c>
      <c r="Z81" s="53">
        <f>('Baseline System Analysis'!Z42-Z36)</f>
        <v>29915117.285244167</v>
      </c>
      <c r="AA81" s="53">
        <f>('Baseline System Analysis'!AA42-AA36)</f>
        <v>31232592.347953282</v>
      </c>
      <c r="AB81" s="53">
        <f>('Baseline System Analysis'!AB42-AB36)</f>
        <v>32586229.649326641</v>
      </c>
      <c r="AC81" s="53">
        <f>('Baseline System Analysis'!AC42-AC36)</f>
        <v>33751171.131077752</v>
      </c>
      <c r="AD81" s="53">
        <f>('Baseline System Analysis'!AD42-AD36)</f>
        <v>34819286.064039938</v>
      </c>
    </row>
    <row r="83" spans="1:30" s="52" customFormat="1" ht="20" thickBot="1" x14ac:dyDescent="0.5">
      <c r="A83" s="134" t="s">
        <v>61</v>
      </c>
      <c r="B83" s="134"/>
      <c r="C83" s="18">
        <f>NPV('Cost Assumptions'!$B$3,D83:AD83)/1000000</f>
        <v>2764.7650419015026</v>
      </c>
      <c r="D83" s="53">
        <f>SUM(D67,D71,D75,D79,D81)</f>
        <v>89200210.914638147</v>
      </c>
      <c r="E83" s="53">
        <f t="shared" ref="E83:AD83" si="19">SUM(E67,E71,E75,E79,E81)</f>
        <v>116584379.56459296</v>
      </c>
      <c r="F83" s="53">
        <f t="shared" si="19"/>
        <v>144448757.26996294</v>
      </c>
      <c r="G83" s="53">
        <f t="shared" si="19"/>
        <v>173719898.47031236</v>
      </c>
      <c r="H83" s="53">
        <f t="shared" si="19"/>
        <v>204301417.35490155</v>
      </c>
      <c r="I83" s="53">
        <f t="shared" si="19"/>
        <v>234835499.3264007</v>
      </c>
      <c r="J83" s="53">
        <f t="shared" si="19"/>
        <v>269321634.60782325</v>
      </c>
      <c r="K83" s="53">
        <f t="shared" si="19"/>
        <v>269294422.92474186</v>
      </c>
      <c r="L83" s="53">
        <f t="shared" si="19"/>
        <v>269271424.63893539</v>
      </c>
      <c r="M83" s="53">
        <f t="shared" si="19"/>
        <v>248342513.15604997</v>
      </c>
      <c r="N83" s="53">
        <f t="shared" si="19"/>
        <v>267565990.6336284</v>
      </c>
      <c r="O83" s="53">
        <f t="shared" si="19"/>
        <v>338454218.22937113</v>
      </c>
      <c r="P83" s="53">
        <f t="shared" si="19"/>
        <v>369480948.66782463</v>
      </c>
      <c r="Q83" s="53">
        <f t="shared" si="19"/>
        <v>397438233.34911883</v>
      </c>
      <c r="R83" s="53">
        <f t="shared" si="19"/>
        <v>431771057.02877831</v>
      </c>
      <c r="S83" s="53">
        <f t="shared" si="19"/>
        <v>470197087.95192814</v>
      </c>
      <c r="T83" s="53">
        <f t="shared" si="19"/>
        <v>511095902.72210014</v>
      </c>
      <c r="U83" s="53">
        <f t="shared" si="19"/>
        <v>552336327.61928785</v>
      </c>
      <c r="V83" s="53">
        <f t="shared" si="19"/>
        <v>598074245.49943733</v>
      </c>
      <c r="W83" s="53">
        <f t="shared" si="19"/>
        <v>644921919.8654269</v>
      </c>
      <c r="X83" s="53">
        <f t="shared" si="19"/>
        <v>696412456.21194112</v>
      </c>
      <c r="Y83" s="53">
        <f t="shared" si="19"/>
        <v>750328086.7583425</v>
      </c>
      <c r="Z83" s="53">
        <f t="shared" si="19"/>
        <v>806826847.46934724</v>
      </c>
      <c r="AA83" s="53">
        <f t="shared" si="19"/>
        <v>866699140.51389861</v>
      </c>
      <c r="AB83" s="53">
        <f t="shared" si="19"/>
        <v>928761904.30866909</v>
      </c>
      <c r="AC83" s="53">
        <f t="shared" si="19"/>
        <v>991621109.22739983</v>
      </c>
      <c r="AD83" s="53">
        <f t="shared" si="19"/>
        <v>1055895692.2679563</v>
      </c>
    </row>
    <row r="84" spans="1:30" s="52" customFormat="1" ht="20.5" thickTop="1" thickBot="1" x14ac:dyDescent="0.5">
      <c r="A84" s="134" t="s">
        <v>149</v>
      </c>
      <c r="B84" s="134"/>
      <c r="C84" s="18">
        <f>NPV('Cost Assumptions'!$B$3,D84:AD84)/1000000</f>
        <v>2765.5471087244268</v>
      </c>
      <c r="D84" s="53">
        <f>D83+D43</f>
        <v>89248758.914638147</v>
      </c>
      <c r="E84" s="53">
        <f t="shared" ref="E84:AD84" si="20">E83+E43</f>
        <v>116635024.7357468</v>
      </c>
      <c r="F84" s="53">
        <f t="shared" si="20"/>
        <v>144501574.12832832</v>
      </c>
      <c r="G84" s="53">
        <f t="shared" si="20"/>
        <v>173774963.94701788</v>
      </c>
      <c r="H84" s="53">
        <f t="shared" si="20"/>
        <v>204358810.87032774</v>
      </c>
      <c r="I84" s="53">
        <f t="shared" si="20"/>
        <v>234895302.86656067</v>
      </c>
      <c r="J84" s="53">
        <f t="shared" si="20"/>
        <v>269390373.24961174</v>
      </c>
      <c r="K84" s="53">
        <f t="shared" si="20"/>
        <v>269363632.23256451</v>
      </c>
      <c r="L84" s="53">
        <f t="shared" si="20"/>
        <v>269367149.86842775</v>
      </c>
      <c r="M84" s="53">
        <f t="shared" si="20"/>
        <v>248465858.26007342</v>
      </c>
      <c r="N84" s="53">
        <f t="shared" si="20"/>
        <v>267689579.84232929</v>
      </c>
      <c r="O84" s="53">
        <f t="shared" si="20"/>
        <v>338578135.00509107</v>
      </c>
      <c r="P84" s="53">
        <f t="shared" si="20"/>
        <v>369605132.14565909</v>
      </c>
      <c r="Q84" s="53">
        <f t="shared" si="20"/>
        <v>397562619.41618878</v>
      </c>
      <c r="R84" s="53">
        <f t="shared" si="20"/>
        <v>431896447.72222322</v>
      </c>
      <c r="S84" s="53">
        <f t="shared" si="20"/>
        <v>470323455.76177478</v>
      </c>
      <c r="T84" s="53">
        <f t="shared" si="20"/>
        <v>511223218.13498527</v>
      </c>
      <c r="U84" s="53">
        <f t="shared" si="20"/>
        <v>552464559.03548217</v>
      </c>
      <c r="V84" s="53">
        <f t="shared" si="20"/>
        <v>598203359.14697337</v>
      </c>
      <c r="W84" s="53">
        <f t="shared" si="20"/>
        <v>645051879.71123648</v>
      </c>
      <c r="X84" s="53">
        <f t="shared" si="20"/>
        <v>696543223.86990833</v>
      </c>
      <c r="Y84" s="53">
        <f t="shared" si="20"/>
        <v>750459621.39417148</v>
      </c>
      <c r="Z84" s="53">
        <f t="shared" si="20"/>
        <v>806959105.70214486</v>
      </c>
      <c r="AA84" s="53">
        <f t="shared" si="20"/>
        <v>866832076.31436598</v>
      </c>
      <c r="AB84" s="53">
        <f t="shared" si="20"/>
        <v>928895468.89379418</v>
      </c>
      <c r="AC84" s="53">
        <f t="shared" si="20"/>
        <v>991755250.95154023</v>
      </c>
      <c r="AD84" s="53">
        <f t="shared" si="20"/>
        <v>1056030356.510197</v>
      </c>
    </row>
    <row r="85" spans="1:30" ht="15" thickTop="1" x14ac:dyDescent="0.35">
      <c r="A85" s="72"/>
      <c r="B85" s="72"/>
      <c r="C85" s="72"/>
      <c r="D85" s="72"/>
      <c r="E85" s="72"/>
      <c r="F85" s="72"/>
      <c r="G85" s="72"/>
      <c r="H85" s="72"/>
      <c r="I85" s="72"/>
      <c r="J85" s="72"/>
      <c r="K85" s="72"/>
      <c r="L85" s="72"/>
      <c r="M85" s="72"/>
      <c r="N85" s="72"/>
      <c r="O85" s="72"/>
      <c r="P85" s="72"/>
      <c r="Q85" s="72"/>
      <c r="R85" s="72"/>
      <c r="S85" s="72"/>
      <c r="T85" s="72"/>
      <c r="U85" s="72"/>
      <c r="V85" s="72"/>
      <c r="W85" s="72"/>
      <c r="X85" s="72"/>
      <c r="Y85" s="72"/>
      <c r="Z85" s="72"/>
      <c r="AA85" s="72"/>
      <c r="AB85" s="72"/>
      <c r="AC85" s="72"/>
      <c r="AD85" s="72"/>
    </row>
    <row r="86" spans="1:30" ht="20" thickBot="1" x14ac:dyDescent="0.5">
      <c r="A86" s="134" t="s">
        <v>150</v>
      </c>
      <c r="B86" s="134"/>
      <c r="C86" s="18">
        <f>Summary!$D$11</f>
        <v>429</v>
      </c>
      <c r="D86" s="72"/>
      <c r="E86" s="72"/>
      <c r="F86" s="72"/>
      <c r="G86" s="72"/>
      <c r="H86" s="72"/>
      <c r="I86" s="72"/>
      <c r="J86" s="72"/>
      <c r="K86" s="72"/>
      <c r="L86" s="72"/>
      <c r="M86" s="72"/>
      <c r="N86" s="72"/>
      <c r="O86" s="72"/>
      <c r="P86" s="72"/>
      <c r="Q86" s="72"/>
      <c r="R86" s="72"/>
      <c r="S86" s="72"/>
      <c r="T86" s="72"/>
      <c r="U86" s="72"/>
      <c r="V86" s="72"/>
      <c r="W86" s="72"/>
      <c r="X86" s="72"/>
      <c r="Y86" s="72"/>
      <c r="Z86" s="72"/>
      <c r="AA86" s="72"/>
      <c r="AB86" s="72"/>
      <c r="AC86" s="72"/>
      <c r="AD86" s="72"/>
    </row>
    <row r="87" spans="1:30" ht="15" thickTop="1" x14ac:dyDescent="0.35">
      <c r="A87" s="72"/>
      <c r="B87" s="72"/>
      <c r="C87" s="72"/>
      <c r="D87" s="72"/>
      <c r="E87" s="72"/>
      <c r="F87" s="72"/>
      <c r="G87" s="72"/>
      <c r="H87" s="72"/>
      <c r="I87" s="72"/>
      <c r="J87" s="72"/>
      <c r="K87" s="72"/>
      <c r="L87" s="72"/>
      <c r="M87" s="72"/>
      <c r="N87" s="72"/>
      <c r="O87" s="72"/>
      <c r="P87" s="72"/>
      <c r="Q87" s="72"/>
      <c r="R87" s="72"/>
      <c r="S87" s="72"/>
      <c r="T87" s="72"/>
      <c r="U87" s="72"/>
      <c r="V87" s="72"/>
      <c r="W87" s="72"/>
      <c r="X87" s="72"/>
      <c r="Y87" s="72"/>
      <c r="Z87" s="72"/>
      <c r="AA87" s="72"/>
      <c r="AB87" s="72"/>
      <c r="AC87" s="72"/>
      <c r="AD87" s="72"/>
    </row>
    <row r="88" spans="1:30" ht="20" thickBot="1" x14ac:dyDescent="0.5">
      <c r="A88" s="134" t="s">
        <v>7</v>
      </c>
      <c r="B88" s="134"/>
      <c r="C88" s="46">
        <f>C84/C86</f>
        <v>6.4464967569333957</v>
      </c>
      <c r="D88" s="72"/>
      <c r="E88" s="72"/>
      <c r="F88" s="72"/>
      <c r="G88" s="72"/>
      <c r="H88" s="72"/>
      <c r="I88" s="72"/>
      <c r="J88" s="72"/>
      <c r="K88" s="72"/>
      <c r="L88" s="72"/>
      <c r="M88" s="72"/>
      <c r="N88" s="72"/>
      <c r="O88" s="72"/>
      <c r="P88" s="72"/>
      <c r="Q88" s="72"/>
      <c r="R88" s="72"/>
      <c r="S88" s="72"/>
      <c r="T88" s="72"/>
      <c r="U88" s="72"/>
      <c r="V88" s="72"/>
      <c r="W88" s="72"/>
      <c r="X88" s="72"/>
      <c r="Y88" s="72"/>
      <c r="Z88" s="72"/>
      <c r="AA88" s="72"/>
      <c r="AB88" s="72"/>
      <c r="AC88" s="72"/>
      <c r="AD88" s="72"/>
    </row>
    <row r="89" spans="1:30" ht="15" thickTop="1" x14ac:dyDescent="0.35">
      <c r="A89" s="72"/>
      <c r="B89" s="72"/>
      <c r="C89" s="72"/>
      <c r="D89" s="72"/>
      <c r="E89" s="72"/>
      <c r="F89" s="72"/>
      <c r="G89" s="72"/>
      <c r="H89" s="72"/>
      <c r="I89" s="72"/>
      <c r="J89" s="72"/>
      <c r="K89" s="72"/>
      <c r="L89" s="72"/>
      <c r="M89" s="72"/>
      <c r="N89" s="72"/>
      <c r="O89" s="72"/>
      <c r="P89" s="72"/>
      <c r="Q89" s="72"/>
      <c r="R89" s="72"/>
      <c r="S89" s="72"/>
      <c r="T89" s="72"/>
      <c r="U89" s="72"/>
      <c r="V89" s="72"/>
      <c r="W89" s="72"/>
      <c r="X89" s="72"/>
      <c r="Y89" s="72"/>
      <c r="Z89" s="72"/>
      <c r="AA89" s="72"/>
      <c r="AB89" s="72"/>
      <c r="AC89" s="72"/>
      <c r="AD89" s="72"/>
    </row>
    <row r="90" spans="1:30" s="52" customFormat="1" ht="42.65" customHeight="1" thickBot="1" x14ac:dyDescent="0.5">
      <c r="A90" s="181" t="s">
        <v>156</v>
      </c>
      <c r="B90" s="181"/>
      <c r="C90" s="72"/>
      <c r="D90" s="53"/>
      <c r="E90" s="53"/>
      <c r="F90" s="53"/>
      <c r="G90" s="53"/>
      <c r="H90" s="53"/>
      <c r="I90" s="53"/>
      <c r="J90" s="53"/>
      <c r="K90" s="53"/>
      <c r="L90" s="53"/>
      <c r="M90" s="53"/>
      <c r="N90" s="53"/>
      <c r="O90" s="53"/>
      <c r="P90" s="53"/>
      <c r="Q90" s="53"/>
      <c r="R90" s="53">
        <v>3265.0389405245214</v>
      </c>
      <c r="S90" s="53">
        <v>3851.558535655663</v>
      </c>
      <c r="T90" s="53">
        <v>4438.0781307868046</v>
      </c>
      <c r="U90" s="53">
        <v>5024.5977259179463</v>
      </c>
      <c r="V90" s="53">
        <v>5611.1173210490879</v>
      </c>
      <c r="W90" s="53">
        <v>6197.6369161802286</v>
      </c>
      <c r="X90" s="53">
        <v>6423.3457519768572</v>
      </c>
      <c r="Y90" s="53">
        <v>6649.0545877734858</v>
      </c>
      <c r="Z90" s="53">
        <v>6874.7634235701144</v>
      </c>
      <c r="AA90" s="53">
        <v>7100.4722593667429</v>
      </c>
      <c r="AB90" s="53">
        <v>7326.1810951633724</v>
      </c>
      <c r="AC90" s="53">
        <v>7407.5890976029677</v>
      </c>
      <c r="AD90" s="53">
        <v>7488.997100042563</v>
      </c>
    </row>
    <row r="91" spans="1:30" ht="15" thickTop="1" x14ac:dyDescent="0.35">
      <c r="A91" s="72"/>
      <c r="B91" s="72"/>
      <c r="C91" s="72"/>
      <c r="D91" s="72"/>
      <c r="E91" s="72"/>
      <c r="F91" s="72"/>
      <c r="G91" s="72"/>
      <c r="H91" s="72"/>
      <c r="I91" s="72"/>
      <c r="J91" s="72"/>
      <c r="K91" s="72"/>
      <c r="L91" s="72"/>
      <c r="M91" s="72"/>
      <c r="N91" s="72"/>
      <c r="O91" s="72"/>
      <c r="P91" s="72"/>
      <c r="Q91" s="72"/>
      <c r="R91" s="72"/>
      <c r="S91" s="72"/>
      <c r="T91" s="72"/>
      <c r="U91" s="72"/>
      <c r="V91" s="72"/>
      <c r="W91" s="72"/>
      <c r="X91" s="72"/>
      <c r="Y91" s="72"/>
      <c r="Z91" s="72"/>
      <c r="AA91" s="72"/>
      <c r="AB91" s="72"/>
      <c r="AC91" s="72"/>
      <c r="AD91" s="72"/>
    </row>
  </sheetData>
  <mergeCells count="9">
    <mergeCell ref="B18:B31"/>
    <mergeCell ref="B2:B15"/>
    <mergeCell ref="A90:B90"/>
    <mergeCell ref="B40:AD40"/>
    <mergeCell ref="A58:AD59"/>
    <mergeCell ref="A83:B83"/>
    <mergeCell ref="A86:B86"/>
    <mergeCell ref="A88:B88"/>
    <mergeCell ref="A84:B84"/>
  </mergeCells>
  <pageMargins left="0.7" right="0.7" top="0.75" bottom="0.75" header="0.3" footer="0.3"/>
  <pageSetup orientation="portrait" horizontalDpi="1200" verticalDpi="12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D92"/>
  <sheetViews>
    <sheetView zoomScale="89" zoomScaleNormal="89" workbookViewId="0"/>
  </sheetViews>
  <sheetFormatPr defaultRowHeight="14.5" x14ac:dyDescent="0.35"/>
  <cols>
    <col min="1" max="1" width="19" customWidth="1"/>
    <col min="2" max="2" width="29.453125" customWidth="1"/>
    <col min="3" max="3" width="17.1796875" bestFit="1" customWidth="1"/>
    <col min="4" max="6" width="14.81640625" customWidth="1"/>
    <col min="7" max="20" width="15.7265625" bestFit="1" customWidth="1"/>
    <col min="21" max="28" width="17.453125" bestFit="1" customWidth="1"/>
    <col min="29" max="30" width="17.7265625" bestFit="1" customWidth="1"/>
  </cols>
  <sheetData>
    <row r="1" spans="1:30" ht="20" thickBot="1" x14ac:dyDescent="0.5">
      <c r="A1" s="113"/>
      <c r="B1" s="122"/>
      <c r="C1" s="113" t="s">
        <v>105</v>
      </c>
      <c r="D1" s="113">
        <v>2022</v>
      </c>
      <c r="E1" s="113">
        <v>2023</v>
      </c>
      <c r="F1" s="113">
        <v>2024</v>
      </c>
      <c r="G1" s="113">
        <v>2025</v>
      </c>
      <c r="H1" s="113">
        <v>2026</v>
      </c>
      <c r="I1" s="113">
        <v>2027</v>
      </c>
      <c r="J1" s="113">
        <v>2028</v>
      </c>
      <c r="K1" s="113">
        <v>2029</v>
      </c>
      <c r="L1" s="113">
        <v>2030</v>
      </c>
      <c r="M1" s="113">
        <v>2031</v>
      </c>
      <c r="N1" s="113">
        <v>2032</v>
      </c>
      <c r="O1" s="113">
        <v>2033</v>
      </c>
      <c r="P1" s="113">
        <v>2034</v>
      </c>
      <c r="Q1" s="113">
        <v>2035</v>
      </c>
      <c r="R1" s="113">
        <v>2036</v>
      </c>
      <c r="S1" s="113">
        <v>2037</v>
      </c>
      <c r="T1" s="113">
        <v>2038</v>
      </c>
      <c r="U1" s="113">
        <v>2039</v>
      </c>
      <c r="V1" s="113">
        <v>2040</v>
      </c>
      <c r="W1" s="113">
        <v>2041</v>
      </c>
      <c r="X1" s="113">
        <v>2042</v>
      </c>
      <c r="Y1" s="113">
        <v>2043</v>
      </c>
      <c r="Z1" s="113">
        <v>2044</v>
      </c>
      <c r="AA1" s="113">
        <v>2045</v>
      </c>
      <c r="AB1" s="113">
        <v>2046</v>
      </c>
      <c r="AC1" s="113">
        <v>2047</v>
      </c>
      <c r="AD1" s="113">
        <v>2048</v>
      </c>
    </row>
    <row r="2" spans="1:30" ht="15" thickTop="1" x14ac:dyDescent="0.35">
      <c r="A2" s="72"/>
      <c r="B2" s="179" t="s">
        <v>26</v>
      </c>
      <c r="C2" s="72" t="s">
        <v>107</v>
      </c>
      <c r="D2" s="53">
        <f>'Baseline System Analysis'!D2</f>
        <v>49666.999999999534</v>
      </c>
      <c r="E2" s="53">
        <f>'Baseline System Analysis'!E2</f>
        <v>50103.790384614935</v>
      </c>
      <c r="F2" s="53">
        <f>'Baseline System Analysis'!F2</f>
        <v>50540.580769230335</v>
      </c>
      <c r="G2" s="53">
        <f>'Baseline System Analysis'!G2</f>
        <v>50977.371153845736</v>
      </c>
      <c r="H2" s="53">
        <f>'Baseline System Analysis'!H2</f>
        <v>51414.161538461136</v>
      </c>
      <c r="I2" s="53">
        <f>'Baseline System Analysis'!I2</f>
        <v>51850.951923076536</v>
      </c>
      <c r="J2" s="53">
        <f>'Baseline System Analysis'!J2</f>
        <v>52287.742307691937</v>
      </c>
      <c r="K2" s="53">
        <f>'Baseline System Analysis'!K2</f>
        <v>51698.184615384183</v>
      </c>
      <c r="L2" s="53">
        <f>'Baseline System Analysis'!L2</f>
        <v>51988.353846153419</v>
      </c>
      <c r="M2" s="53">
        <f>'Baseline System Analysis'!M2</f>
        <v>52278.523076922655</v>
      </c>
      <c r="N2" s="53">
        <f>'Baseline System Analysis'!N2</f>
        <v>52568.69230769189</v>
      </c>
      <c r="O2" s="53">
        <f>'Baseline System Analysis'!O2</f>
        <v>52858.861538461126</v>
      </c>
      <c r="P2" s="53">
        <f>'Baseline System Analysis'!P2</f>
        <v>53149.030769230361</v>
      </c>
      <c r="Q2" s="53">
        <f>'Baseline System Analysis'!Q2</f>
        <v>53439.199999999597</v>
      </c>
      <c r="R2" s="53">
        <f>'Baseline System Analysis'!R2</f>
        <v>53729.369230768832</v>
      </c>
      <c r="S2" s="53">
        <f>'Baseline System Analysis'!S2</f>
        <v>54019.538461538068</v>
      </c>
      <c r="T2" s="53">
        <f>'Baseline System Analysis'!T2</f>
        <v>54309.707692307304</v>
      </c>
      <c r="U2" s="53">
        <f>'Baseline System Analysis'!U2</f>
        <v>54599.876923076539</v>
      </c>
      <c r="V2" s="53">
        <f>'Baseline System Analysis'!V2</f>
        <v>54890.046153845775</v>
      </c>
      <c r="W2" s="53">
        <f>'Baseline System Analysis'!W2</f>
        <v>55180.21538461501</v>
      </c>
      <c r="X2" s="53">
        <f>'Baseline System Analysis'!X2</f>
        <v>55470.384615384246</v>
      </c>
      <c r="Y2" s="53">
        <f>'Baseline System Analysis'!Y2</f>
        <v>55760.553846153482</v>
      </c>
      <c r="Z2" s="53">
        <f>'Baseline System Analysis'!Z2</f>
        <v>56050.723076922717</v>
      </c>
      <c r="AA2" s="53">
        <f>'Baseline System Analysis'!AA2</f>
        <v>56340.892307691953</v>
      </c>
      <c r="AB2" s="53">
        <f>'Baseline System Analysis'!AB2</f>
        <v>56631.061538461188</v>
      </c>
      <c r="AC2" s="53">
        <f>'Baseline System Analysis'!AC2</f>
        <v>56921.230769230424</v>
      </c>
      <c r="AD2" s="53">
        <f>'Baseline System Analysis'!AD2</f>
        <v>57211.399999999638</v>
      </c>
    </row>
    <row r="3" spans="1:30" x14ac:dyDescent="0.35">
      <c r="A3" s="72" t="s">
        <v>30</v>
      </c>
      <c r="B3" s="180"/>
      <c r="C3" s="72" t="s">
        <v>31</v>
      </c>
      <c r="D3" s="53">
        <f>'Baseline System Analysis'!D3</f>
        <v>10</v>
      </c>
      <c r="E3" s="53">
        <f>'Baseline System Analysis'!E3</f>
        <v>20.5</v>
      </c>
      <c r="F3" s="53">
        <f>'Baseline System Analysis'!F3</f>
        <v>29.879999999999995</v>
      </c>
      <c r="G3" s="53">
        <f>'Baseline System Analysis'!G3</f>
        <v>39.259999999999991</v>
      </c>
      <c r="H3" s="53">
        <f>'Baseline System Analysis'!H3</f>
        <v>48.639999999999986</v>
      </c>
      <c r="I3" s="53">
        <f>'Baseline System Analysis'!I3</f>
        <v>58.019999999999982</v>
      </c>
      <c r="J3" s="53">
        <f>'Baseline System Analysis'!J3</f>
        <v>67.399999999999977</v>
      </c>
      <c r="K3" s="53">
        <f>'Baseline System Analysis'!K3</f>
        <v>57.599999999999966</v>
      </c>
      <c r="L3" s="53">
        <f>'Baseline System Analysis'!L3</f>
        <v>49.800000000000011</v>
      </c>
      <c r="M3" s="53">
        <f>'Baseline System Analysis'!M3</f>
        <v>41.5</v>
      </c>
      <c r="N3" s="53">
        <f>'Baseline System Analysis'!N3</f>
        <v>53.700000000000017</v>
      </c>
      <c r="O3" s="53">
        <f>'Baseline System Analysis'!O3</f>
        <v>75.066666666666691</v>
      </c>
      <c r="P3" s="53">
        <f>'Baseline System Analysis'!P3</f>
        <v>96.433333333333366</v>
      </c>
      <c r="Q3" s="53">
        <f>'Baseline System Analysis'!Q3</f>
        <v>117.80000000000004</v>
      </c>
      <c r="R3" s="53">
        <f>'Baseline System Analysis'!R3</f>
        <v>139.16666666666671</v>
      </c>
      <c r="S3" s="53">
        <f>'Baseline System Analysis'!S3</f>
        <v>160.53333333333339</v>
      </c>
      <c r="T3" s="53">
        <f>'Baseline System Analysis'!T3</f>
        <v>181.90000000000003</v>
      </c>
      <c r="U3" s="53">
        <f>'Baseline System Analysis'!U3</f>
        <v>244.23000000000002</v>
      </c>
      <c r="V3" s="53">
        <f>'Baseline System Analysis'!V3</f>
        <v>306.56</v>
      </c>
      <c r="W3" s="53">
        <f>'Baseline System Analysis'!W3</f>
        <v>368.89</v>
      </c>
      <c r="X3" s="53">
        <f>'Baseline System Analysis'!X3</f>
        <v>431.21999999999997</v>
      </c>
      <c r="Y3" s="53">
        <f>'Baseline System Analysis'!Y3</f>
        <v>453.7000000000001</v>
      </c>
      <c r="Z3" s="53">
        <f>'Baseline System Analysis'!Z3</f>
        <v>524.00000000000011</v>
      </c>
      <c r="AA3" s="53">
        <f>'Baseline System Analysis'!AA3</f>
        <v>594.30000000000007</v>
      </c>
      <c r="AB3" s="53">
        <f>'Baseline System Analysis'!AB3</f>
        <v>664.6</v>
      </c>
      <c r="AC3" s="53">
        <f>'Baseline System Analysis'!AC3</f>
        <v>734.9</v>
      </c>
      <c r="AD3" s="53">
        <f>'Baseline System Analysis'!AD3</f>
        <v>805.2</v>
      </c>
    </row>
    <row r="4" spans="1:30" x14ac:dyDescent="0.35">
      <c r="A4" s="72" t="s">
        <v>30</v>
      </c>
      <c r="B4" s="180"/>
      <c r="C4" s="72" t="s">
        <v>32</v>
      </c>
      <c r="D4" s="53">
        <f>'Baseline System Analysis'!D4</f>
        <v>2</v>
      </c>
      <c r="E4" s="53">
        <f>'Baseline System Analysis'!E4</f>
        <v>3</v>
      </c>
      <c r="F4" s="53">
        <f>'Baseline System Analysis'!F4</f>
        <v>4.6799999999999953</v>
      </c>
      <c r="G4" s="53">
        <f>'Baseline System Analysis'!G4</f>
        <v>6.3599999999999905</v>
      </c>
      <c r="H4" s="53">
        <f>'Baseline System Analysis'!H4</f>
        <v>8.0399999999999867</v>
      </c>
      <c r="I4" s="53">
        <f>'Baseline System Analysis'!I4</f>
        <v>9.7199999999999829</v>
      </c>
      <c r="J4" s="53">
        <f>'Baseline System Analysis'!J4</f>
        <v>11.399999999999977</v>
      </c>
      <c r="K4" s="53">
        <f>'Baseline System Analysis'!K4</f>
        <v>10.199999999999989</v>
      </c>
      <c r="L4" s="53">
        <f>'Baseline System Analysis'!L4</f>
        <v>8.5999999999999943</v>
      </c>
      <c r="M4" s="53">
        <f>'Baseline System Analysis'!M4</f>
        <v>6.8000000000000114</v>
      </c>
      <c r="N4" s="53">
        <f>'Baseline System Analysis'!N4</f>
        <v>9.6000000000000227</v>
      </c>
      <c r="O4" s="53">
        <f>'Baseline System Analysis'!O4</f>
        <v>11.333333333333352</v>
      </c>
      <c r="P4" s="53">
        <f>'Baseline System Analysis'!P4</f>
        <v>13.066666666666681</v>
      </c>
      <c r="Q4" s="53">
        <f>'Baseline System Analysis'!Q4</f>
        <v>14.80000000000001</v>
      </c>
      <c r="R4" s="53">
        <f>'Baseline System Analysis'!R4</f>
        <v>16.533333333333339</v>
      </c>
      <c r="S4" s="53">
        <f>'Baseline System Analysis'!S4</f>
        <v>18.266666666666669</v>
      </c>
      <c r="T4" s="53">
        <f>'Baseline System Analysis'!T4</f>
        <v>20</v>
      </c>
      <c r="U4" s="53">
        <f>'Baseline System Analysis'!U4</f>
        <v>21.860000000000003</v>
      </c>
      <c r="V4" s="53">
        <f>'Baseline System Analysis'!V4</f>
        <v>23.720000000000006</v>
      </c>
      <c r="W4" s="53">
        <f>'Baseline System Analysis'!W4</f>
        <v>25.580000000000009</v>
      </c>
      <c r="X4" s="53">
        <f>'Baseline System Analysis'!X4</f>
        <v>27.440000000000012</v>
      </c>
      <c r="Y4" s="53">
        <f>'Baseline System Analysis'!Y4</f>
        <v>29.300000000000011</v>
      </c>
      <c r="Z4" s="53">
        <f>'Baseline System Analysis'!Z4</f>
        <v>30.480000000000008</v>
      </c>
      <c r="AA4" s="53">
        <f>'Baseline System Analysis'!AA4</f>
        <v>31.660000000000004</v>
      </c>
      <c r="AB4" s="53">
        <f>'Baseline System Analysis'!AB4</f>
        <v>32.839999999999996</v>
      </c>
      <c r="AC4" s="53">
        <f>'Baseline System Analysis'!AC4</f>
        <v>34.019999999999989</v>
      </c>
      <c r="AD4" s="53">
        <f>'Baseline System Analysis'!AD4</f>
        <v>35.199999999999989</v>
      </c>
    </row>
    <row r="5" spans="1:30" x14ac:dyDescent="0.35">
      <c r="A5" s="72" t="s">
        <v>30</v>
      </c>
      <c r="B5" s="180"/>
      <c r="C5" s="72" t="s">
        <v>33</v>
      </c>
      <c r="D5" s="53">
        <f>'Baseline System Analysis'!D5</f>
        <v>8.4812112193331513E-2</v>
      </c>
      <c r="E5" s="53">
        <f>'Baseline System Analysis'!E5</f>
        <v>0.24283371212350299</v>
      </c>
      <c r="F5" s="53">
        <f>'Baseline System Analysis'!F5</f>
        <v>0.34046276046663143</v>
      </c>
      <c r="G5" s="53">
        <f>'Baseline System Analysis'!G5</f>
        <v>0.43809180880975984</v>
      </c>
      <c r="H5" s="53">
        <f>'Baseline System Analysis'!H5</f>
        <v>0.53572085715288831</v>
      </c>
      <c r="I5" s="53">
        <f>'Baseline System Analysis'!I5</f>
        <v>0.63334990549601677</v>
      </c>
      <c r="J5" s="53">
        <f>'Baseline System Analysis'!J5</f>
        <v>0.73097895383914513</v>
      </c>
      <c r="K5" s="53">
        <f>'Baseline System Analysis'!K5</f>
        <v>0.61764830497225676</v>
      </c>
      <c r="L5" s="53">
        <f>'Baseline System Analysis'!L5</f>
        <v>0.52957812632109091</v>
      </c>
      <c r="M5" s="53">
        <f>'Baseline System Analysis'!M5</f>
        <v>0.48185121670948772</v>
      </c>
      <c r="N5" s="53">
        <f>'Baseline System Analysis'!N5</f>
        <v>0.56680711827214547</v>
      </c>
      <c r="O5" s="53">
        <f>'Baseline System Analysis'!O5</f>
        <v>0.96980348799493798</v>
      </c>
      <c r="P5" s="53">
        <f>'Baseline System Analysis'!P5</f>
        <v>1.3727998577177305</v>
      </c>
      <c r="Q5" s="53">
        <f>'Baseline System Analysis'!Q5</f>
        <v>1.775796227440523</v>
      </c>
      <c r="R5" s="53">
        <f>'Baseline System Analysis'!R5</f>
        <v>2.1787925971633153</v>
      </c>
      <c r="S5" s="53">
        <f>'Baseline System Analysis'!S5</f>
        <v>2.5817889668861076</v>
      </c>
      <c r="T5" s="53">
        <f>'Baseline System Analysis'!T5</f>
        <v>2.9847853366089003</v>
      </c>
      <c r="U5" s="53">
        <f>'Baseline System Analysis'!U5</f>
        <v>21.070525908414965</v>
      </c>
      <c r="V5" s="53">
        <f>'Baseline System Analysis'!V5</f>
        <v>39.156266480221028</v>
      </c>
      <c r="W5" s="53">
        <f>'Baseline System Analysis'!W5</f>
        <v>57.242007052027091</v>
      </c>
      <c r="X5" s="53">
        <f>'Baseline System Analysis'!X5</f>
        <v>75.327747623833147</v>
      </c>
      <c r="Y5" s="53">
        <f>'Baseline System Analysis'!Y5</f>
        <v>93.413488195639218</v>
      </c>
      <c r="Z5" s="53">
        <f>'Baseline System Analysis'!Z5</f>
        <v>81.062212021092932</v>
      </c>
      <c r="AA5" s="53">
        <f>'Baseline System Analysis'!AA5</f>
        <v>68.710935846546647</v>
      </c>
      <c r="AB5" s="53">
        <f>'Baseline System Analysis'!AB5</f>
        <v>56.359659672000362</v>
      </c>
      <c r="AC5" s="53">
        <f>'Baseline System Analysis'!AC5</f>
        <v>44.008383497454076</v>
      </c>
      <c r="AD5" s="53">
        <f>'Baseline System Analysis'!AD5</f>
        <v>31.657107322907791</v>
      </c>
    </row>
    <row r="6" spans="1:30" x14ac:dyDescent="0.35">
      <c r="A6" s="72" t="s">
        <v>30</v>
      </c>
      <c r="B6" s="180"/>
      <c r="C6" s="72" t="s">
        <v>34</v>
      </c>
      <c r="D6" s="53">
        <f>'Baseline System Analysis'!D6</f>
        <v>6.0580080138093939E-3</v>
      </c>
      <c r="E6" s="53">
        <f>'Baseline System Analysis'!E6</f>
        <v>1.7771756236396739E-2</v>
      </c>
      <c r="F6" s="53">
        <f>'Baseline System Analysis'!F6</f>
        <v>2.504677784712513E-2</v>
      </c>
      <c r="G6" s="53">
        <f>'Baseline System Analysis'!G6</f>
        <v>3.2321799457853517E-2</v>
      </c>
      <c r="H6" s="53">
        <f>'Baseline System Analysis'!H6</f>
        <v>3.9596821068581908E-2</v>
      </c>
      <c r="I6" s="53">
        <f>'Baseline System Analysis'!I6</f>
        <v>4.6871842679310299E-2</v>
      </c>
      <c r="J6" s="53">
        <f>'Baseline System Analysis'!J6</f>
        <v>5.414686429003869E-2</v>
      </c>
      <c r="K6" s="53">
        <f>'Baseline System Analysis'!K6</f>
        <v>4.57170533491131E-2</v>
      </c>
      <c r="L6" s="53">
        <f>'Baseline System Analysis'!L6</f>
        <v>3.8991796004088156E-2</v>
      </c>
      <c r="M6" s="53">
        <f>'Baseline System Analysis'!M6</f>
        <v>3.1792887361975948E-2</v>
      </c>
      <c r="N6" s="53">
        <f>'Baseline System Analysis'!N6</f>
        <v>4.2212624824281168E-2</v>
      </c>
      <c r="O6" s="53">
        <f>'Baseline System Analysis'!O6</f>
        <v>5.9766414638595444E-2</v>
      </c>
      <c r="P6" s="53">
        <f>'Baseline System Analysis'!P6</f>
        <v>7.7320204452909727E-2</v>
      </c>
      <c r="Q6" s="53">
        <f>'Baseline System Analysis'!Q6</f>
        <v>9.487399426722401E-2</v>
      </c>
      <c r="R6" s="53">
        <f>'Baseline System Analysis'!R6</f>
        <v>0.11242778408153829</v>
      </c>
      <c r="S6" s="53">
        <f>'Baseline System Analysis'!S6</f>
        <v>0.12998157389585258</v>
      </c>
      <c r="T6" s="53">
        <f>'Baseline System Analysis'!T6</f>
        <v>0.14753536371016684</v>
      </c>
      <c r="U6" s="53">
        <f>'Baseline System Analysis'!U6</f>
        <v>0.40051087482777559</v>
      </c>
      <c r="V6" s="53">
        <f>'Baseline System Analysis'!V6</f>
        <v>0.65348638594538433</v>
      </c>
      <c r="W6" s="53">
        <f>'Baseline System Analysis'!W6</f>
        <v>0.90646189706299307</v>
      </c>
      <c r="X6" s="53">
        <f>'Baseline System Analysis'!X6</f>
        <v>1.1594374081806018</v>
      </c>
      <c r="Y6" s="53">
        <f>'Baseline System Analysis'!Y6</f>
        <v>1.4124129192982104</v>
      </c>
      <c r="Z6" s="53">
        <f>'Baseline System Analysis'!Z6</f>
        <v>1.2710233198999881</v>
      </c>
      <c r="AA6" s="53">
        <f>'Baseline System Analysis'!AA6</f>
        <v>1.1296337205017657</v>
      </c>
      <c r="AB6" s="53">
        <f>'Baseline System Analysis'!AB6</f>
        <v>0.98824412110354332</v>
      </c>
      <c r="AC6" s="53">
        <f>'Baseline System Analysis'!AC6</f>
        <v>0.84685452170532094</v>
      </c>
      <c r="AD6" s="53">
        <f>'Baseline System Analysis'!AD6</f>
        <v>0.70546492230709823</v>
      </c>
    </row>
    <row r="7" spans="1:30" x14ac:dyDescent="0.35">
      <c r="A7" s="72" t="s">
        <v>30</v>
      </c>
      <c r="B7" s="180"/>
      <c r="C7" s="72" t="s">
        <v>35</v>
      </c>
      <c r="D7" s="53">
        <f>'Baseline System Analysis'!D7</f>
        <v>14</v>
      </c>
      <c r="E7" s="53">
        <f>'Baseline System Analysis'!E7</f>
        <v>21</v>
      </c>
      <c r="F7" s="53">
        <f>'Baseline System Analysis'!F7</f>
        <v>23.2</v>
      </c>
      <c r="G7" s="53">
        <f>'Baseline System Analysis'!G7</f>
        <v>25.4</v>
      </c>
      <c r="H7" s="53">
        <f>'Baseline System Analysis'!H7</f>
        <v>27.599999999999998</v>
      </c>
      <c r="I7" s="53">
        <f>'Baseline System Analysis'!I7</f>
        <v>29.799999999999997</v>
      </c>
      <c r="J7" s="53">
        <f>'Baseline System Analysis'!J7</f>
        <v>32</v>
      </c>
      <c r="K7" s="53">
        <f>'Baseline System Analysis'!K7</f>
        <v>30</v>
      </c>
      <c r="L7" s="53">
        <f>'Baseline System Analysis'!L7</f>
        <v>29</v>
      </c>
      <c r="M7" s="53">
        <f>'Baseline System Analysis'!M7</f>
        <v>29</v>
      </c>
      <c r="N7" s="53">
        <f>'Baseline System Analysis'!N7</f>
        <v>29</v>
      </c>
      <c r="O7" s="53">
        <f>'Baseline System Analysis'!O7</f>
        <v>32.666666666666664</v>
      </c>
      <c r="P7" s="53">
        <f>'Baseline System Analysis'!P7</f>
        <v>36.333333333333329</v>
      </c>
      <c r="Q7" s="53">
        <f>'Baseline System Analysis'!Q7</f>
        <v>39.999999999999993</v>
      </c>
      <c r="R7" s="53">
        <f>'Baseline System Analysis'!R7</f>
        <v>43.666666666666657</v>
      </c>
      <c r="S7" s="53">
        <f>'Baseline System Analysis'!S7</f>
        <v>47.333333333333321</v>
      </c>
      <c r="T7" s="53">
        <f>'Baseline System Analysis'!T7</f>
        <v>51</v>
      </c>
      <c r="U7" s="53">
        <f>'Baseline System Analysis'!U7</f>
        <v>56.6</v>
      </c>
      <c r="V7" s="53">
        <f>'Baseline System Analysis'!V7</f>
        <v>62.2</v>
      </c>
      <c r="W7" s="53">
        <f>'Baseline System Analysis'!W7</f>
        <v>67.8</v>
      </c>
      <c r="X7" s="53">
        <f>'Baseline System Analysis'!X7</f>
        <v>73.399999999999991</v>
      </c>
      <c r="Y7" s="53">
        <f>'Baseline System Analysis'!Y7</f>
        <v>79</v>
      </c>
      <c r="Z7" s="53">
        <f>'Baseline System Analysis'!Z7</f>
        <v>82</v>
      </c>
      <c r="AA7" s="53">
        <f>'Baseline System Analysis'!AA7</f>
        <v>85</v>
      </c>
      <c r="AB7" s="53">
        <f>'Baseline System Analysis'!AB7</f>
        <v>88</v>
      </c>
      <c r="AC7" s="53">
        <f>'Baseline System Analysis'!AC7</f>
        <v>91</v>
      </c>
      <c r="AD7" s="53">
        <f>'Baseline System Analysis'!AD7</f>
        <v>94</v>
      </c>
    </row>
    <row r="8" spans="1:30" x14ac:dyDescent="0.35">
      <c r="A8" s="72" t="s">
        <v>39</v>
      </c>
      <c r="B8" s="180"/>
      <c r="C8" s="72" t="s">
        <v>31</v>
      </c>
      <c r="D8" s="53">
        <f>'Baseline System Analysis'!D8</f>
        <v>22.2</v>
      </c>
      <c r="E8" s="53">
        <f>'Baseline System Analysis'!E8</f>
        <v>65.8</v>
      </c>
      <c r="F8" s="53">
        <f>'Baseline System Analysis'!F8</f>
        <v>102.72</v>
      </c>
      <c r="G8" s="53">
        <f>'Baseline System Analysis'!G8</f>
        <v>139.63999999999999</v>
      </c>
      <c r="H8" s="53">
        <f>'Baseline System Analysis'!H8</f>
        <v>176.56</v>
      </c>
      <c r="I8" s="53">
        <f>'Baseline System Analysis'!I8</f>
        <v>213.48000000000002</v>
      </c>
      <c r="J8" s="53">
        <f>'Baseline System Analysis'!J8</f>
        <v>250.4</v>
      </c>
      <c r="K8" s="53">
        <f>'Baseline System Analysis'!K8</f>
        <v>216.60000000000014</v>
      </c>
      <c r="L8" s="53">
        <f>'Baseline System Analysis'!L8</f>
        <v>182.59999999999991</v>
      </c>
      <c r="M8" s="53">
        <f>'Baseline System Analysis'!M8</f>
        <v>151.20000000000005</v>
      </c>
      <c r="N8" s="53">
        <f>'Baseline System Analysis'!N8</f>
        <v>202.60000000000014</v>
      </c>
      <c r="O8" s="53">
        <f>'Baseline System Analysis'!O8</f>
        <v>292.1666666666668</v>
      </c>
      <c r="P8" s="53">
        <f>'Baseline System Analysis'!P8</f>
        <v>381.73333333333346</v>
      </c>
      <c r="Q8" s="53">
        <f>'Baseline System Analysis'!Q8</f>
        <v>471.30000000000013</v>
      </c>
      <c r="R8" s="53">
        <f>'Baseline System Analysis'!R8</f>
        <v>560.86666666666679</v>
      </c>
      <c r="S8" s="53">
        <f>'Baseline System Analysis'!S8</f>
        <v>650.43333333333339</v>
      </c>
      <c r="T8" s="53">
        <f>'Baseline System Analysis'!T8</f>
        <v>740</v>
      </c>
      <c r="U8" s="53">
        <f>'Baseline System Analysis'!U8</f>
        <v>930.87999999999988</v>
      </c>
      <c r="V8" s="53">
        <f>'Baseline System Analysis'!V8</f>
        <v>1121.7599999999998</v>
      </c>
      <c r="W8" s="53">
        <f>'Baseline System Analysis'!W8</f>
        <v>1312.6399999999996</v>
      </c>
      <c r="X8" s="53">
        <f>'Baseline System Analysis'!X8</f>
        <v>1503.5199999999995</v>
      </c>
      <c r="Y8" s="53">
        <f>'Baseline System Analysis'!Y8</f>
        <v>1694.3999999999994</v>
      </c>
      <c r="Z8" s="53">
        <f>'Baseline System Analysis'!Z8</f>
        <v>1887.3999999999994</v>
      </c>
      <c r="AA8" s="53">
        <f>'Baseline System Analysis'!AA8</f>
        <v>2080.3999999999996</v>
      </c>
      <c r="AB8" s="53">
        <f>'Baseline System Analysis'!AB8</f>
        <v>2273.3999999999996</v>
      </c>
      <c r="AC8" s="53">
        <f>'Baseline System Analysis'!AC8</f>
        <v>2466.3999999999996</v>
      </c>
      <c r="AD8" s="53">
        <f>'Baseline System Analysis'!AD8</f>
        <v>2659.3999999999996</v>
      </c>
    </row>
    <row r="9" spans="1:30" x14ac:dyDescent="0.35">
      <c r="A9" s="72" t="s">
        <v>39</v>
      </c>
      <c r="B9" s="180"/>
      <c r="C9" s="72" t="s">
        <v>32</v>
      </c>
      <c r="D9" s="53">
        <f>'Baseline System Analysis'!D9</f>
        <v>13</v>
      </c>
      <c r="E9" s="53">
        <f>'Baseline System Analysis'!E9</f>
        <v>27</v>
      </c>
      <c r="F9" s="53">
        <f>'Baseline System Analysis'!F9</f>
        <v>34.519999999999982</v>
      </c>
      <c r="G9" s="53">
        <f>'Baseline System Analysis'!G9</f>
        <v>42.039999999999964</v>
      </c>
      <c r="H9" s="53">
        <f>'Baseline System Analysis'!H9</f>
        <v>49.559999999999945</v>
      </c>
      <c r="I9" s="53">
        <f>'Baseline System Analysis'!I9</f>
        <v>57.079999999999927</v>
      </c>
      <c r="J9" s="53">
        <f>'Baseline System Analysis'!J9</f>
        <v>64.599999999999909</v>
      </c>
      <c r="K9" s="53">
        <f>'Baseline System Analysis'!K9</f>
        <v>59.799999999999955</v>
      </c>
      <c r="L9" s="53">
        <f>'Baseline System Analysis'!L9</f>
        <v>52.799999999999955</v>
      </c>
      <c r="M9" s="53">
        <f>'Baseline System Analysis'!M9</f>
        <v>46</v>
      </c>
      <c r="N9" s="53">
        <f>'Baseline System Analysis'!N9</f>
        <v>57.400000000000091</v>
      </c>
      <c r="O9" s="53">
        <f>'Baseline System Analysis'!O9</f>
        <v>67.333333333333414</v>
      </c>
      <c r="P9" s="53">
        <f>'Baseline System Analysis'!P9</f>
        <v>77.266666666666737</v>
      </c>
      <c r="Q9" s="53">
        <f>'Baseline System Analysis'!Q9</f>
        <v>87.20000000000006</v>
      </c>
      <c r="R9" s="53">
        <f>'Baseline System Analysis'!R9</f>
        <v>97.133333333333383</v>
      </c>
      <c r="S9" s="53">
        <f>'Baseline System Analysis'!S9</f>
        <v>107.06666666666671</v>
      </c>
      <c r="T9" s="53">
        <f>'Baseline System Analysis'!T9</f>
        <v>117</v>
      </c>
      <c r="U9" s="53">
        <f>'Baseline System Analysis'!U9</f>
        <v>126.6</v>
      </c>
      <c r="V9" s="53">
        <f>'Baseline System Analysis'!V9</f>
        <v>136.19999999999999</v>
      </c>
      <c r="W9" s="53">
        <f>'Baseline System Analysis'!W9</f>
        <v>145.79999999999998</v>
      </c>
      <c r="X9" s="53">
        <f>'Baseline System Analysis'!X9</f>
        <v>155.39999999999998</v>
      </c>
      <c r="Y9" s="53">
        <f>'Baseline System Analysis'!Y9</f>
        <v>165</v>
      </c>
      <c r="Z9" s="53">
        <f>'Baseline System Analysis'!Z9</f>
        <v>171.84</v>
      </c>
      <c r="AA9" s="53">
        <f>'Baseline System Analysis'!AA9</f>
        <v>178.68</v>
      </c>
      <c r="AB9" s="53">
        <f>'Baseline System Analysis'!AB9</f>
        <v>185.52</v>
      </c>
      <c r="AC9" s="53">
        <f>'Baseline System Analysis'!AC9</f>
        <v>192.36</v>
      </c>
      <c r="AD9" s="53">
        <f>'Baseline System Analysis'!AD9</f>
        <v>199.20000000000005</v>
      </c>
    </row>
    <row r="10" spans="1:30" x14ac:dyDescent="0.35">
      <c r="A10" s="72" t="s">
        <v>39</v>
      </c>
      <c r="B10" s="180"/>
      <c r="C10" s="72" t="s">
        <v>33</v>
      </c>
      <c r="D10" s="53">
        <f>'Baseline System Analysis'!D10</f>
        <v>4.7253529883901121E-2</v>
      </c>
      <c r="E10" s="53">
        <f>'Baseline System Analysis'!E10</f>
        <v>0.28011551949195379</v>
      </c>
      <c r="F10" s="53">
        <f>'Baseline System Analysis'!F10</f>
        <v>0.59718244793816533</v>
      </c>
      <c r="G10" s="53">
        <f>'Baseline System Analysis'!G10</f>
        <v>0.91424937638437687</v>
      </c>
      <c r="H10" s="53">
        <f>'Baseline System Analysis'!H10</f>
        <v>1.2313163048305884</v>
      </c>
      <c r="I10" s="53">
        <f>'Baseline System Analysis'!I10</f>
        <v>1.5483832332767999</v>
      </c>
      <c r="J10" s="53">
        <f>'Baseline System Analysis'!J10</f>
        <v>1.8654501617230115</v>
      </c>
      <c r="K10" s="53">
        <f>'Baseline System Analysis'!K10</f>
        <v>1.6136441894137561</v>
      </c>
      <c r="L10" s="53">
        <f>'Baseline System Analysis'!L10</f>
        <v>1.1660127779459895</v>
      </c>
      <c r="M10" s="53">
        <f>'Baseline System Analysis'!M10</f>
        <v>0.80458713045561225</v>
      </c>
      <c r="N10" s="53">
        <f>'Baseline System Analysis'!N10</f>
        <v>0.56680711827214547</v>
      </c>
      <c r="O10" s="53">
        <f>'Baseline System Analysis'!O10</f>
        <v>3.0445179689462347</v>
      </c>
      <c r="P10" s="53">
        <f>'Baseline System Analysis'!P10</f>
        <v>4.5886299372095039</v>
      </c>
      <c r="Q10" s="53">
        <f>'Baseline System Analysis'!Q10</f>
        <v>6.1327419054727734</v>
      </c>
      <c r="R10" s="53">
        <f>'Baseline System Analysis'!R10</f>
        <v>7.676853873736043</v>
      </c>
      <c r="S10" s="53">
        <f>'Baseline System Analysis'!S10</f>
        <v>9.2209658419993126</v>
      </c>
      <c r="T10" s="53">
        <f>'Baseline System Analysis'!T10</f>
        <v>10.765077810262582</v>
      </c>
      <c r="U10" s="53">
        <f>'Baseline System Analysis'!U10</f>
        <v>11.285969377257926</v>
      </c>
      <c r="V10" s="53">
        <f>'Baseline System Analysis'!V10</f>
        <v>11.80686094425327</v>
      </c>
      <c r="W10" s="53">
        <f>'Baseline System Analysis'!W10</f>
        <v>12.327752511248613</v>
      </c>
      <c r="X10" s="53">
        <f>'Baseline System Analysis'!X10</f>
        <v>12.848644078243957</v>
      </c>
      <c r="Y10" s="53">
        <f>'Baseline System Analysis'!Y10</f>
        <v>13.369535645239303</v>
      </c>
      <c r="Z10" s="53">
        <f>'Baseline System Analysis'!Z10</f>
        <v>31.024884631077057</v>
      </c>
      <c r="AA10" s="53">
        <f>'Baseline System Analysis'!AA10</f>
        <v>48.680233616914812</v>
      </c>
      <c r="AB10" s="53">
        <f>'Baseline System Analysis'!AB10</f>
        <v>66.335582602752567</v>
      </c>
      <c r="AC10" s="53">
        <f>'Baseline System Analysis'!AC10</f>
        <v>83.990931588590314</v>
      </c>
      <c r="AD10" s="53">
        <f>'Baseline System Analysis'!AD10</f>
        <v>101.64628057442808</v>
      </c>
    </row>
    <row r="11" spans="1:30" x14ac:dyDescent="0.35">
      <c r="A11" s="72" t="s">
        <v>39</v>
      </c>
      <c r="B11" s="180"/>
      <c r="C11" s="72" t="s">
        <v>34</v>
      </c>
      <c r="D11" s="53">
        <f>'Baseline System Analysis'!D11</f>
        <v>2.3626764941950561E-2</v>
      </c>
      <c r="E11" s="53">
        <f>'Baseline System Analysis'!E11</f>
        <v>7.0028879872988448E-2</v>
      </c>
      <c r="F11" s="53">
        <f>'Baseline System Analysis'!F11</f>
        <v>0.10932167994761965</v>
      </c>
      <c r="G11" s="53">
        <f>'Baseline System Analysis'!G11</f>
        <v>0.14861448002225086</v>
      </c>
      <c r="H11" s="53">
        <f>'Baseline System Analysis'!H11</f>
        <v>0.18790728009688207</v>
      </c>
      <c r="I11" s="53">
        <f>'Baseline System Analysis'!I11</f>
        <v>0.22720008017151327</v>
      </c>
      <c r="J11" s="53">
        <f>'Baseline System Analysis'!J11</f>
        <v>0.26649288024614448</v>
      </c>
      <c r="K11" s="53">
        <f>'Baseline System Analysis'!K11</f>
        <v>0.23052059848767945</v>
      </c>
      <c r="L11" s="53">
        <f>'Baseline System Analysis'!L11</f>
        <v>0.19433546299099821</v>
      </c>
      <c r="M11" s="53">
        <f>'Baseline System Analysis'!M11</f>
        <v>0.16091742609112245</v>
      </c>
      <c r="N11" s="53">
        <f>'Baseline System Analysis'!N11</f>
        <v>4.2212624824281168E-2</v>
      </c>
      <c r="O11" s="53">
        <f>'Baseline System Analysis'!O11</f>
        <v>0.30677545020347896</v>
      </c>
      <c r="P11" s="53">
        <f>'Baseline System Analysis'!P11</f>
        <v>0.39920718602367722</v>
      </c>
      <c r="Q11" s="53">
        <f>'Baseline System Analysis'!Q11</f>
        <v>0.49163892184387548</v>
      </c>
      <c r="R11" s="53">
        <f>'Baseline System Analysis'!R11</f>
        <v>0.58407065766407373</v>
      </c>
      <c r="S11" s="53">
        <f>'Baseline System Analysis'!S11</f>
        <v>0.67650239348427199</v>
      </c>
      <c r="T11" s="53">
        <f>'Baseline System Analysis'!T11</f>
        <v>0.76893412930447014</v>
      </c>
      <c r="U11" s="53">
        <f>'Baseline System Analysis'!U11</f>
        <v>0.69278283231502535</v>
      </c>
      <c r="V11" s="53">
        <f>'Baseline System Analysis'!V11</f>
        <v>0.61663153532558057</v>
      </c>
      <c r="W11" s="53">
        <f>'Baseline System Analysis'!W11</f>
        <v>0.54048023833613579</v>
      </c>
      <c r="X11" s="53">
        <f>'Baseline System Analysis'!X11</f>
        <v>0.464328941346691</v>
      </c>
      <c r="Y11" s="53">
        <f>'Baseline System Analysis'!Y11</f>
        <v>0.38817764435724611</v>
      </c>
      <c r="Z11" s="53">
        <f>'Baseline System Analysis'!Z11</f>
        <v>0.85998146994216484</v>
      </c>
      <c r="AA11" s="53">
        <f>'Baseline System Analysis'!AA11</f>
        <v>1.3317852955270837</v>
      </c>
      <c r="AB11" s="53">
        <f>'Baseline System Analysis'!AB11</f>
        <v>1.8035891211120025</v>
      </c>
      <c r="AC11" s="53">
        <f>'Baseline System Analysis'!AC11</f>
        <v>2.2753929466969214</v>
      </c>
      <c r="AD11" s="53">
        <f>'Baseline System Analysis'!AD11</f>
        <v>2.74719677228184</v>
      </c>
    </row>
    <row r="12" spans="1:30" x14ac:dyDescent="0.35">
      <c r="A12" s="72" t="s">
        <v>39</v>
      </c>
      <c r="B12" s="180"/>
      <c r="C12" s="72" t="s">
        <v>35</v>
      </c>
      <c r="D12" s="53">
        <f>'Baseline System Analysis'!D12</f>
        <v>2</v>
      </c>
      <c r="E12" s="53">
        <f>'Baseline System Analysis'!E12</f>
        <v>4</v>
      </c>
      <c r="F12" s="53">
        <f>'Baseline System Analysis'!F12</f>
        <v>4.5999999999999996</v>
      </c>
      <c r="G12" s="53">
        <f>'Baseline System Analysis'!G12</f>
        <v>5.1999999999999993</v>
      </c>
      <c r="H12" s="53">
        <f>'Baseline System Analysis'!H12</f>
        <v>5.7999999999999989</v>
      </c>
      <c r="I12" s="53">
        <f>'Baseline System Analysis'!I12</f>
        <v>6.3999999999999986</v>
      </c>
      <c r="J12" s="53">
        <f>'Baseline System Analysis'!J12</f>
        <v>7</v>
      </c>
      <c r="K12" s="53">
        <f>'Baseline System Analysis'!K12</f>
        <v>7</v>
      </c>
      <c r="L12" s="53">
        <f>'Baseline System Analysis'!L12</f>
        <v>6</v>
      </c>
      <c r="M12" s="53">
        <f>'Baseline System Analysis'!M12</f>
        <v>5</v>
      </c>
      <c r="N12" s="53">
        <f>'Baseline System Analysis'!N12</f>
        <v>7</v>
      </c>
      <c r="O12" s="53">
        <f>'Baseline System Analysis'!O12</f>
        <v>8.1666666666666661</v>
      </c>
      <c r="P12" s="53">
        <f>'Baseline System Analysis'!P12</f>
        <v>9.3333333333333321</v>
      </c>
      <c r="Q12" s="53">
        <f>'Baseline System Analysis'!Q12</f>
        <v>10.499999999999998</v>
      </c>
      <c r="R12" s="53">
        <f>'Baseline System Analysis'!R12</f>
        <v>11.666666666666664</v>
      </c>
      <c r="S12" s="53">
        <f>'Baseline System Analysis'!S12</f>
        <v>12.83333333333333</v>
      </c>
      <c r="T12" s="53">
        <f>'Baseline System Analysis'!T12</f>
        <v>14</v>
      </c>
      <c r="U12" s="53">
        <f>'Baseline System Analysis'!U12</f>
        <v>17</v>
      </c>
      <c r="V12" s="53">
        <f>'Baseline System Analysis'!V12</f>
        <v>20</v>
      </c>
      <c r="W12" s="53">
        <f>'Baseline System Analysis'!W12</f>
        <v>23</v>
      </c>
      <c r="X12" s="53">
        <f>'Baseline System Analysis'!X12</f>
        <v>26</v>
      </c>
      <c r="Y12" s="53">
        <f>'Baseline System Analysis'!Y12</f>
        <v>29</v>
      </c>
      <c r="Z12" s="53">
        <f>'Baseline System Analysis'!Z12</f>
        <v>30.6</v>
      </c>
      <c r="AA12" s="53">
        <f>'Baseline System Analysis'!AA12</f>
        <v>32.200000000000003</v>
      </c>
      <c r="AB12" s="53">
        <f>'Baseline System Analysis'!AB12</f>
        <v>33.800000000000004</v>
      </c>
      <c r="AC12" s="53">
        <f>'Baseline System Analysis'!AC12</f>
        <v>35.400000000000006</v>
      </c>
      <c r="AD12" s="53">
        <f>'Baseline System Analysis'!AD12</f>
        <v>37</v>
      </c>
    </row>
    <row r="13" spans="1:30" s="52" customFormat="1" x14ac:dyDescent="0.35">
      <c r="A13" s="72" t="s">
        <v>30</v>
      </c>
      <c r="B13" s="180"/>
      <c r="C13" s="72" t="s">
        <v>108</v>
      </c>
      <c r="D13" s="53">
        <f>'Baseline System Analysis'!D13</f>
        <v>5445.825674993449</v>
      </c>
      <c r="E13" s="53">
        <f>'Baseline System Analysis'!E13</f>
        <v>7241.293555071361</v>
      </c>
      <c r="F13" s="53">
        <f>'Baseline System Analysis'!F13</f>
        <v>9036.7614351492721</v>
      </c>
      <c r="G13" s="53">
        <f>'Baseline System Analysis'!G13</f>
        <v>10832.229315227183</v>
      </c>
      <c r="H13" s="53">
        <f>'Baseline System Analysis'!H13</f>
        <v>12627.697195305094</v>
      </c>
      <c r="I13" s="53">
        <f>'Baseline System Analysis'!I13</f>
        <v>14423.165075383005</v>
      </c>
      <c r="J13" s="53">
        <f>'Baseline System Analysis'!J13</f>
        <v>16218.632955460916</v>
      </c>
      <c r="K13" s="53">
        <f>'Baseline System Analysis'!K13</f>
        <v>15620.143662101613</v>
      </c>
      <c r="L13" s="53">
        <f>'Baseline System Analysis'!L13</f>
        <v>15021.654368742309</v>
      </c>
      <c r="M13" s="53">
        <f>'Baseline System Analysis'!M13</f>
        <v>13525.43113534405</v>
      </c>
      <c r="N13" s="53">
        <f>'Baseline System Analysis'!N13</f>
        <v>14423.165075383005</v>
      </c>
      <c r="O13" s="53">
        <f>'Baseline System Analysis'!O13</f>
        <v>16913.232955460899</v>
      </c>
      <c r="P13" s="53">
        <f>'Baseline System Analysis'!P13</f>
        <v>17831.369243247562</v>
      </c>
      <c r="Q13" s="53">
        <f>'Baseline System Analysis'!Q13</f>
        <v>18749.505531034225</v>
      </c>
      <c r="R13" s="53">
        <f>'Baseline System Analysis'!R13</f>
        <v>19667.641818820888</v>
      </c>
      <c r="S13" s="53">
        <f>'Baseline System Analysis'!S13</f>
        <v>20585.778106607551</v>
      </c>
      <c r="T13" s="53">
        <f>'Baseline System Analysis'!T13</f>
        <v>21503.914394394214</v>
      </c>
      <c r="U13" s="53">
        <f>'Baseline System Analysis'!U13</f>
        <v>22422.050682180878</v>
      </c>
      <c r="V13" s="53">
        <f>'Baseline System Analysis'!V13</f>
        <v>23340.186969967541</v>
      </c>
      <c r="W13" s="53">
        <f>'Baseline System Analysis'!W13</f>
        <v>24258.323257754204</v>
      </c>
      <c r="X13" s="53">
        <f>'Baseline System Analysis'!X13</f>
        <v>25176.459545540867</v>
      </c>
      <c r="Y13" s="53">
        <f>'Baseline System Analysis'!Y13</f>
        <v>26094.59583332753</v>
      </c>
      <c r="Z13" s="53">
        <f>'Baseline System Analysis'!Z13</f>
        <v>27012.732121114193</v>
      </c>
      <c r="AA13" s="53">
        <f>'Baseline System Analysis'!AA13</f>
        <v>27930.868408900857</v>
      </c>
      <c r="AB13" s="53">
        <f>'Baseline System Analysis'!AB13</f>
        <v>28849.00469668752</v>
      </c>
      <c r="AC13" s="53">
        <f>'Baseline System Analysis'!AC13</f>
        <v>29767.140984474183</v>
      </c>
      <c r="AD13" s="53">
        <f>'Baseline System Analysis'!AD13</f>
        <v>30685.277272260842</v>
      </c>
    </row>
    <row r="14" spans="1:30" s="52" customFormat="1" x14ac:dyDescent="0.35">
      <c r="A14" s="72" t="s">
        <v>30</v>
      </c>
      <c r="B14" s="180"/>
      <c r="C14" s="72" t="s">
        <v>109</v>
      </c>
      <c r="D14" s="53">
        <f>'Baseline System Analysis'!D14</f>
        <v>192864.66620394157</v>
      </c>
      <c r="E14" s="53">
        <f>'Baseline System Analysis'!E14</f>
        <v>195239.2419650236</v>
      </c>
      <c r="F14" s="53">
        <f>'Baseline System Analysis'!F14</f>
        <v>196366.76544203321</v>
      </c>
      <c r="G14" s="53">
        <f>'Baseline System Analysis'!G14</f>
        <v>197525.37556068008</v>
      </c>
      <c r="H14" s="53">
        <f>'Baseline System Analysis'!H14</f>
        <v>198743.92387830256</v>
      </c>
      <c r="I14" s="53">
        <f>'Baseline System Analysis'!I14</f>
        <v>200140.93841202525</v>
      </c>
      <c r="J14" s="53">
        <f>'Baseline System Analysis'!J14</f>
        <v>201537.7102617296</v>
      </c>
      <c r="K14" s="53">
        <f>'Baseline System Analysis'!K14</f>
        <v>200616.89493678272</v>
      </c>
      <c r="L14" s="53">
        <f>'Baseline System Analysis'!L14</f>
        <v>199696.14928779242</v>
      </c>
      <c r="M14" s="53">
        <f>'Baseline System Analysis'!M14</f>
        <v>198775.23322502323</v>
      </c>
      <c r="N14" s="53">
        <f>'Baseline System Analysis'!N14</f>
        <v>200250.33489773443</v>
      </c>
      <c r="O14" s="53">
        <f>'Baseline System Analysis'!O14</f>
        <v>201766.1654636735</v>
      </c>
      <c r="P14" s="53">
        <f>'Baseline System Analysis'!P14</f>
        <v>203325.96278464468</v>
      </c>
      <c r="Q14" s="53">
        <f>'Baseline System Analysis'!Q14</f>
        <v>204856.96017693213</v>
      </c>
      <c r="R14" s="53">
        <f>'Baseline System Analysis'!R14</f>
        <v>206421.18825616254</v>
      </c>
      <c r="S14" s="53">
        <f>'Baseline System Analysis'!S14</f>
        <v>208013.70502273936</v>
      </c>
      <c r="T14" s="53">
        <f>'Baseline System Analysis'!T14</f>
        <v>209643.37199318074</v>
      </c>
      <c r="U14" s="53">
        <f>'Baseline System Analysis'!U14</f>
        <v>211125.2902170599</v>
      </c>
      <c r="V14" s="53">
        <f>'Baseline System Analysis'!V14</f>
        <v>212613.854578328</v>
      </c>
      <c r="W14" s="53">
        <f>'Baseline System Analysis'!W14</f>
        <v>214101.90769825791</v>
      </c>
      <c r="X14" s="53">
        <f>'Baseline System Analysis'!X14</f>
        <v>215599.50398982322</v>
      </c>
      <c r="Y14" s="53">
        <f>'Baseline System Analysis'!Y14</f>
        <v>216849.14823265999</v>
      </c>
      <c r="Z14" s="53">
        <f>'Baseline System Analysis'!Z14</f>
        <v>218069.3108916957</v>
      </c>
      <c r="AA14" s="53">
        <f>'Baseline System Analysis'!AA14</f>
        <v>219248.74465750376</v>
      </c>
      <c r="AB14" s="53">
        <f>'Baseline System Analysis'!AB14</f>
        <v>220395.79980526475</v>
      </c>
      <c r="AC14" s="53">
        <f>'Baseline System Analysis'!AC14</f>
        <v>221214.46760051764</v>
      </c>
      <c r="AD14" s="53">
        <f>'Baseline System Analysis'!AD14</f>
        <v>221946.05395460132</v>
      </c>
    </row>
    <row r="15" spans="1:30" s="52" customFormat="1" x14ac:dyDescent="0.35">
      <c r="A15" s="72" t="s">
        <v>30</v>
      </c>
      <c r="B15" s="180"/>
      <c r="C15" s="72" t="s">
        <v>110</v>
      </c>
      <c r="D15" s="53">
        <f>'Baseline System Analysis'!D15</f>
        <v>57814.1637958055</v>
      </c>
      <c r="E15" s="53">
        <f>'Baseline System Analysis'!E15</f>
        <v>62191.746894023359</v>
      </c>
      <c r="F15" s="53">
        <f>'Baseline System Analysis'!F15</f>
        <v>64361.105239567863</v>
      </c>
      <c r="G15" s="53">
        <f>'Baseline System Analysis'!G15</f>
        <v>66628.501001105484</v>
      </c>
      <c r="H15" s="53">
        <f>'Baseline System Analysis'!H15</f>
        <v>69068.22672153436</v>
      </c>
      <c r="I15" s="53">
        <f>'Baseline System Analysis'!I15</f>
        <v>71918.961016641551</v>
      </c>
      <c r="J15" s="53">
        <f>'Baseline System Analysis'!J15</f>
        <v>74820.679205256296</v>
      </c>
      <c r="K15" s="53">
        <f>'Baseline System Analysis'!K15</f>
        <v>72899.28225345345</v>
      </c>
      <c r="L15" s="53">
        <f>'Baseline System Analysis'!L15</f>
        <v>71006.352594376862</v>
      </c>
      <c r="M15" s="53">
        <f>'Baseline System Analysis'!M15</f>
        <v>69131.616141376318</v>
      </c>
      <c r="N15" s="53">
        <f>'Baseline System Analysis'!N15</f>
        <v>72143.764963991809</v>
      </c>
      <c r="O15" s="53">
        <f>'Baseline System Analysis'!O15</f>
        <v>75301.925896232133</v>
      </c>
      <c r="P15" s="53">
        <f>'Baseline System Analysis'!P15</f>
        <v>78629.627518656707</v>
      </c>
      <c r="Q15" s="53">
        <f>'Baseline System Analysis'!Q15</f>
        <v>81951.057574073071</v>
      </c>
      <c r="R15" s="53">
        <f>'Baseline System Analysis'!R15</f>
        <v>85383.424638269789</v>
      </c>
      <c r="S15" s="53">
        <f>'Baseline System Analysis'!S15</f>
        <v>88945.971119594135</v>
      </c>
      <c r="T15" s="53">
        <f>'Baseline System Analysis'!T15</f>
        <v>92676.895920951385</v>
      </c>
      <c r="U15" s="53">
        <f>'Baseline System Analysis'!U15</f>
        <v>96145.729908431153</v>
      </c>
      <c r="V15" s="53">
        <f>'Baseline System Analysis'!V15</f>
        <v>99700.858162341799</v>
      </c>
      <c r="W15" s="53">
        <f>'Baseline System Analysis'!W15</f>
        <v>103340.20977892888</v>
      </c>
      <c r="X15" s="53">
        <f>'Baseline System Analysis'!X15</f>
        <v>107065.51818072386</v>
      </c>
      <c r="Y15" s="53">
        <f>'Baseline System Analysis'!Y15</f>
        <v>110237.64392344528</v>
      </c>
      <c r="Z15" s="53">
        <f>'Baseline System Analysis'!Z15</f>
        <v>113355.67104643886</v>
      </c>
      <c r="AA15" s="53">
        <f>'Baseline System Analysis'!AA15</f>
        <v>116394.79841235251</v>
      </c>
      <c r="AB15" s="53">
        <f>'Baseline System Analysis'!AB15</f>
        <v>119393.94598127359</v>
      </c>
      <c r="AC15" s="53">
        <f>'Baseline System Analysis'!AC15</f>
        <v>121552.79504833522</v>
      </c>
      <c r="AD15" s="53">
        <f>'Baseline System Analysis'!AD15</f>
        <v>123501.36707164065</v>
      </c>
    </row>
    <row r="16" spans="1:30" s="52" customFormat="1" x14ac:dyDescent="0.35">
      <c r="A16" s="72"/>
      <c r="B16" s="72"/>
      <c r="C16" s="72"/>
      <c r="D16" s="72"/>
      <c r="E16" s="72"/>
      <c r="F16" s="72"/>
      <c r="G16" s="72"/>
      <c r="H16" s="72"/>
      <c r="I16" s="72"/>
      <c r="J16" s="72"/>
      <c r="K16" s="72"/>
      <c r="L16" s="72"/>
      <c r="M16" s="72"/>
      <c r="N16" s="72"/>
      <c r="O16" s="72"/>
      <c r="P16" s="72"/>
      <c r="Q16" s="72"/>
      <c r="R16" s="72"/>
      <c r="S16" s="72"/>
      <c r="T16" s="72"/>
      <c r="U16" s="72"/>
      <c r="V16" s="72"/>
      <c r="W16" s="72"/>
      <c r="X16" s="72"/>
      <c r="Y16" s="72"/>
      <c r="Z16" s="72"/>
      <c r="AA16" s="72"/>
      <c r="AB16" s="72"/>
      <c r="AC16" s="72"/>
      <c r="AD16" s="72"/>
    </row>
    <row r="17" spans="1:30" ht="20" thickBot="1" x14ac:dyDescent="0.5">
      <c r="A17" s="113"/>
      <c r="B17" s="122"/>
      <c r="C17" s="113" t="s">
        <v>105</v>
      </c>
      <c r="D17" s="113">
        <v>2022</v>
      </c>
      <c r="E17" s="113">
        <v>2023</v>
      </c>
      <c r="F17" s="113">
        <v>2024</v>
      </c>
      <c r="G17" s="113">
        <v>2025</v>
      </c>
      <c r="H17" s="113">
        <v>2026</v>
      </c>
      <c r="I17" s="113">
        <v>2027</v>
      </c>
      <c r="J17" s="113">
        <v>2028</v>
      </c>
      <c r="K17" s="113">
        <v>2029</v>
      </c>
      <c r="L17" s="113">
        <v>2030</v>
      </c>
      <c r="M17" s="113">
        <v>2031</v>
      </c>
      <c r="N17" s="113">
        <v>2032</v>
      </c>
      <c r="O17" s="113">
        <v>2033</v>
      </c>
      <c r="P17" s="113">
        <v>2034</v>
      </c>
      <c r="Q17" s="113">
        <v>2035</v>
      </c>
      <c r="R17" s="113">
        <v>2036</v>
      </c>
      <c r="S17" s="113">
        <v>2037</v>
      </c>
      <c r="T17" s="113">
        <v>2038</v>
      </c>
      <c r="U17" s="113">
        <v>2039</v>
      </c>
      <c r="V17" s="113">
        <v>2040</v>
      </c>
      <c r="W17" s="113">
        <v>2041</v>
      </c>
      <c r="X17" s="113">
        <v>2042</v>
      </c>
      <c r="Y17" s="113">
        <v>2043</v>
      </c>
      <c r="Z17" s="113">
        <v>2044</v>
      </c>
      <c r="AA17" s="113">
        <v>2045</v>
      </c>
      <c r="AB17" s="113">
        <v>2046</v>
      </c>
      <c r="AC17" s="113">
        <v>2047</v>
      </c>
      <c r="AD17" s="113">
        <v>2048</v>
      </c>
    </row>
    <row r="18" spans="1:30" ht="49.75" customHeight="1" thickTop="1" x14ac:dyDescent="0.35">
      <c r="A18" s="72"/>
      <c r="B18" s="179" t="s">
        <v>13</v>
      </c>
      <c r="C18" s="72" t="s">
        <v>107</v>
      </c>
      <c r="D18" s="53">
        <v>49328.200000000405</v>
      </c>
      <c r="E18" s="53">
        <v>49736.291346154219</v>
      </c>
      <c r="F18" s="53">
        <v>50144.382692308034</v>
      </c>
      <c r="G18" s="53">
        <v>50552.474038461849</v>
      </c>
      <c r="H18" s="53">
        <v>50960.565384615664</v>
      </c>
      <c r="I18" s="53">
        <v>51368.656730769479</v>
      </c>
      <c r="J18" s="53">
        <v>51776.748076923293</v>
      </c>
      <c r="K18" s="53">
        <v>51088.999999999942</v>
      </c>
      <c r="L18" s="53">
        <v>50877.450000000033</v>
      </c>
      <c r="M18" s="53">
        <v>50664.200000000375</v>
      </c>
      <c r="N18" s="53">
        <v>51004.824999999888</v>
      </c>
      <c r="O18" s="53">
        <v>51341.95156249986</v>
      </c>
      <c r="P18" s="53">
        <v>51679.078124999833</v>
      </c>
      <c r="Q18" s="53">
        <v>52016.204687499805</v>
      </c>
      <c r="R18" s="53">
        <v>52353.331249999777</v>
      </c>
      <c r="S18" s="53">
        <v>52690.45781249975</v>
      </c>
      <c r="T18" s="53">
        <v>53027.584374999722</v>
      </c>
      <c r="U18" s="53">
        <v>53364.710937499694</v>
      </c>
      <c r="V18" s="53">
        <v>53701.837499999667</v>
      </c>
      <c r="W18" s="53">
        <v>54038.964062499639</v>
      </c>
      <c r="X18" s="53">
        <v>54376.090624999611</v>
      </c>
      <c r="Y18" s="53">
        <v>54713.217187499584</v>
      </c>
      <c r="Z18" s="53">
        <v>55050.343749999556</v>
      </c>
      <c r="AA18" s="53">
        <v>55387.470312499529</v>
      </c>
      <c r="AB18" s="53">
        <v>55724.596874999501</v>
      </c>
      <c r="AC18" s="53">
        <v>56061.723437499473</v>
      </c>
      <c r="AD18" s="53">
        <v>56398.849999999438</v>
      </c>
    </row>
    <row r="19" spans="1:30" x14ac:dyDescent="0.35">
      <c r="A19" s="72" t="s">
        <v>30</v>
      </c>
      <c r="B19" s="180"/>
      <c r="C19" s="72" t="s">
        <v>31</v>
      </c>
      <c r="D19" s="53">
        <v>5.7999999999999829</v>
      </c>
      <c r="E19" s="53">
        <v>14.48333333333332</v>
      </c>
      <c r="F19" s="53">
        <v>23.166666666666657</v>
      </c>
      <c r="G19" s="53">
        <v>31.849999999999994</v>
      </c>
      <c r="H19" s="53">
        <v>40.533333333333331</v>
      </c>
      <c r="I19" s="53">
        <v>49.216666666666669</v>
      </c>
      <c r="J19" s="53">
        <v>57.900000000000006</v>
      </c>
      <c r="K19" s="53">
        <v>52.5</v>
      </c>
      <c r="L19" s="53">
        <v>44.099999999999966</v>
      </c>
      <c r="M19" s="53">
        <v>35.900000000000006</v>
      </c>
      <c r="N19" s="53">
        <v>48.499999999999972</v>
      </c>
      <c r="O19" s="53">
        <v>61.10000000000008</v>
      </c>
      <c r="P19" s="53">
        <v>82.380000000000067</v>
      </c>
      <c r="Q19" s="53">
        <v>103.66000000000005</v>
      </c>
      <c r="R19" s="53">
        <v>124.94000000000004</v>
      </c>
      <c r="S19" s="53">
        <v>146.22000000000003</v>
      </c>
      <c r="T19" s="53">
        <v>167.5</v>
      </c>
      <c r="U19" s="53">
        <v>220.02</v>
      </c>
      <c r="V19" s="53">
        <v>272.54000000000002</v>
      </c>
      <c r="W19" s="53">
        <v>325.06</v>
      </c>
      <c r="X19" s="53">
        <v>377.58</v>
      </c>
      <c r="Y19" s="53">
        <v>430.1</v>
      </c>
      <c r="Z19" s="53">
        <v>490.70000000000005</v>
      </c>
      <c r="AA19" s="53">
        <v>551.30000000000007</v>
      </c>
      <c r="AB19" s="53">
        <v>611.90000000000009</v>
      </c>
      <c r="AC19" s="53">
        <v>672.50000000000011</v>
      </c>
      <c r="AD19" s="53">
        <v>733.1</v>
      </c>
    </row>
    <row r="20" spans="1:30" x14ac:dyDescent="0.35">
      <c r="A20" s="72" t="s">
        <v>30</v>
      </c>
      <c r="B20" s="180"/>
      <c r="C20" s="72" t="s">
        <v>32</v>
      </c>
      <c r="D20" s="53">
        <v>3</v>
      </c>
      <c r="E20" s="53">
        <v>4.916666666666667</v>
      </c>
      <c r="F20" s="53">
        <v>6.8333333333333339</v>
      </c>
      <c r="G20" s="53">
        <v>8.75</v>
      </c>
      <c r="H20" s="53">
        <v>10.666666666666666</v>
      </c>
      <c r="I20" s="53">
        <v>12.583333333333332</v>
      </c>
      <c r="J20" s="53">
        <v>14.5</v>
      </c>
      <c r="K20" s="53">
        <v>13.5</v>
      </c>
      <c r="L20" s="53">
        <v>11.800000000000011</v>
      </c>
      <c r="M20" s="53">
        <v>10.100000000000023</v>
      </c>
      <c r="N20" s="53">
        <v>12.899999999999977</v>
      </c>
      <c r="O20" s="53">
        <v>15.100000000000023</v>
      </c>
      <c r="P20" s="53">
        <v>17.260000000000012</v>
      </c>
      <c r="Q20" s="53">
        <v>19.420000000000002</v>
      </c>
      <c r="R20" s="53">
        <v>21.579999999999991</v>
      </c>
      <c r="S20" s="53">
        <v>23.739999999999981</v>
      </c>
      <c r="T20" s="53">
        <v>25.899999999999977</v>
      </c>
      <c r="U20" s="53">
        <v>27.819999999999983</v>
      </c>
      <c r="V20" s="53">
        <v>29.739999999999988</v>
      </c>
      <c r="W20" s="53">
        <v>31.659999999999993</v>
      </c>
      <c r="X20" s="53">
        <v>33.58</v>
      </c>
      <c r="Y20" s="53">
        <v>35.5</v>
      </c>
      <c r="Z20" s="53">
        <v>36.58</v>
      </c>
      <c r="AA20" s="53">
        <v>37.659999999999997</v>
      </c>
      <c r="AB20" s="53">
        <v>38.739999999999995</v>
      </c>
      <c r="AC20" s="53">
        <v>39.819999999999993</v>
      </c>
      <c r="AD20" s="53">
        <v>40.899999999999977</v>
      </c>
    </row>
    <row r="21" spans="1:30" x14ac:dyDescent="0.35">
      <c r="A21" s="72" t="s">
        <v>30</v>
      </c>
      <c r="B21" s="180"/>
      <c r="C21" s="72" t="s">
        <v>33</v>
      </c>
      <c r="D21" s="53">
        <v>1.589413014335395E-2</v>
      </c>
      <c r="E21" s="53">
        <v>8.3763892766986259E-2</v>
      </c>
      <c r="F21" s="53">
        <v>0.15163365539061857</v>
      </c>
      <c r="G21" s="53">
        <v>0.21950341801425088</v>
      </c>
      <c r="H21" s="53">
        <v>0.2873731806378832</v>
      </c>
      <c r="I21" s="53">
        <v>0.35524294326151551</v>
      </c>
      <c r="J21" s="53">
        <v>0.42311270588514782</v>
      </c>
      <c r="K21" s="53">
        <v>0.33569499009670084</v>
      </c>
      <c r="L21" s="53">
        <v>0.28198379168122845</v>
      </c>
      <c r="M21" s="53">
        <v>0.19675836970565813</v>
      </c>
      <c r="N21" s="53">
        <v>0.31011822894647584</v>
      </c>
      <c r="O21" s="53">
        <v>0.44649717322249682</v>
      </c>
      <c r="P21" s="53">
        <v>0.87624427563870033</v>
      </c>
      <c r="Q21" s="53">
        <v>1.305991378054904</v>
      </c>
      <c r="R21" s="53">
        <v>1.7357384804711073</v>
      </c>
      <c r="S21" s="53">
        <v>2.1654855828873107</v>
      </c>
      <c r="T21" s="53">
        <v>2.5952326853035141</v>
      </c>
      <c r="U21" s="53">
        <v>4.3787527413114233</v>
      </c>
      <c r="V21" s="53">
        <v>6.162272797319333</v>
      </c>
      <c r="W21" s="53">
        <v>7.9457928533272426</v>
      </c>
      <c r="X21" s="53">
        <v>9.7293129093351514</v>
      </c>
      <c r="Y21" s="53">
        <v>11.512832965343062</v>
      </c>
      <c r="Z21" s="53">
        <v>14.811529356203364</v>
      </c>
      <c r="AA21" s="53">
        <v>18.110225747063666</v>
      </c>
      <c r="AB21" s="53">
        <v>21.408922137923966</v>
      </c>
      <c r="AC21" s="53">
        <v>24.707618528784266</v>
      </c>
      <c r="AD21" s="53">
        <v>28.00631491964457</v>
      </c>
    </row>
    <row r="22" spans="1:30" x14ac:dyDescent="0.35">
      <c r="A22" s="72" t="s">
        <v>30</v>
      </c>
      <c r="B22" s="180"/>
      <c r="C22" s="72" t="s">
        <v>34</v>
      </c>
      <c r="D22" s="53">
        <v>5.2980433811179832E-3</v>
      </c>
      <c r="E22" s="53">
        <v>1.3229884190205566E-2</v>
      </c>
      <c r="F22" s="53">
        <v>2.1161724999293148E-2</v>
      </c>
      <c r="G22" s="53">
        <v>2.9093565808380732E-2</v>
      </c>
      <c r="H22" s="53">
        <v>3.7025406617468316E-2</v>
      </c>
      <c r="I22" s="53">
        <v>4.4957247426555901E-2</v>
      </c>
      <c r="J22" s="53">
        <v>5.2889088235643478E-2</v>
      </c>
      <c r="K22" s="53">
        <v>4.7956427156671547E-2</v>
      </c>
      <c r="L22" s="53">
        <v>4.0283398811604067E-2</v>
      </c>
      <c r="M22" s="53">
        <v>3.2793061617609691E-2</v>
      </c>
      <c r="N22" s="53">
        <v>4.4302604135210831E-2</v>
      </c>
      <c r="O22" s="53">
        <v>5.5812146652812103E-2</v>
      </c>
      <c r="P22" s="53">
        <v>7.5253192874087688E-2</v>
      </c>
      <c r="Q22" s="53">
        <v>9.4694239095363286E-2</v>
      </c>
      <c r="R22" s="53">
        <v>0.11413528531663888</v>
      </c>
      <c r="S22" s="53">
        <v>0.13357633153791448</v>
      </c>
      <c r="T22" s="53">
        <v>0.15301737775919005</v>
      </c>
      <c r="U22" s="53">
        <v>0.20155147472899532</v>
      </c>
      <c r="V22" s="53">
        <v>0.25008557169880058</v>
      </c>
      <c r="W22" s="53">
        <v>0.29861966866860584</v>
      </c>
      <c r="X22" s="53">
        <v>0.3471537656384111</v>
      </c>
      <c r="Y22" s="53">
        <v>0.39568786260821631</v>
      </c>
      <c r="Z22" s="53">
        <v>0.45221430727952383</v>
      </c>
      <c r="AA22" s="53">
        <v>0.50874075195083135</v>
      </c>
      <c r="AB22" s="53">
        <v>0.56526719662213887</v>
      </c>
      <c r="AC22" s="53">
        <v>0.62179364129344639</v>
      </c>
      <c r="AD22" s="53">
        <v>0.67832008596475402</v>
      </c>
    </row>
    <row r="23" spans="1:30" x14ac:dyDescent="0.35">
      <c r="A23" s="72" t="s">
        <v>30</v>
      </c>
      <c r="B23" s="180"/>
      <c r="C23" s="72" t="s">
        <v>35</v>
      </c>
      <c r="D23" s="53">
        <v>3</v>
      </c>
      <c r="E23" s="53">
        <v>3.8333333333333335</v>
      </c>
      <c r="F23" s="53">
        <v>4.666666666666667</v>
      </c>
      <c r="G23" s="53">
        <v>5.5</v>
      </c>
      <c r="H23" s="53">
        <v>6.333333333333333</v>
      </c>
      <c r="I23" s="53">
        <v>7.1666666666666661</v>
      </c>
      <c r="J23" s="53">
        <v>8</v>
      </c>
      <c r="K23" s="53">
        <v>7</v>
      </c>
      <c r="L23" s="53">
        <v>6.9999999999999991</v>
      </c>
      <c r="M23" s="53">
        <v>6</v>
      </c>
      <c r="N23" s="53">
        <v>7</v>
      </c>
      <c r="O23" s="53">
        <v>8</v>
      </c>
      <c r="P23" s="53">
        <v>9.8000000000000007</v>
      </c>
      <c r="Q23" s="53">
        <v>11.600000000000001</v>
      </c>
      <c r="R23" s="53">
        <v>13.400000000000002</v>
      </c>
      <c r="S23" s="53">
        <v>15.200000000000003</v>
      </c>
      <c r="T23" s="53">
        <v>17</v>
      </c>
      <c r="U23" s="53">
        <v>19.600000000000001</v>
      </c>
      <c r="V23" s="53">
        <v>22.200000000000003</v>
      </c>
      <c r="W23" s="53">
        <v>24.800000000000004</v>
      </c>
      <c r="X23" s="53">
        <v>27.400000000000006</v>
      </c>
      <c r="Y23" s="53">
        <v>30</v>
      </c>
      <c r="Z23" s="53">
        <v>32.799999999999997</v>
      </c>
      <c r="AA23" s="53">
        <v>35.599999999999994</v>
      </c>
      <c r="AB23" s="53">
        <v>38.399999999999991</v>
      </c>
      <c r="AC23" s="53">
        <v>41.199999999999989</v>
      </c>
      <c r="AD23" s="53">
        <v>44</v>
      </c>
    </row>
    <row r="24" spans="1:30" x14ac:dyDescent="0.35">
      <c r="A24" s="72" t="s">
        <v>30</v>
      </c>
      <c r="B24" s="180"/>
      <c r="C24" s="72" t="s">
        <v>108</v>
      </c>
      <c r="D24" s="53">
        <v>3808.3606649666053</v>
      </c>
      <c r="E24" s="53">
        <v>5063.9625989576198</v>
      </c>
      <c r="F24" s="53">
        <v>6319.5645329486342</v>
      </c>
      <c r="G24" s="53">
        <v>7575.1664669396487</v>
      </c>
      <c r="H24" s="53">
        <v>8830.7684009306613</v>
      </c>
      <c r="I24" s="53">
        <v>10086.370334921676</v>
      </c>
      <c r="J24" s="53">
        <v>11341.97226891269</v>
      </c>
      <c r="K24" s="53">
        <v>10868.455604166578</v>
      </c>
      <c r="L24" s="53">
        <v>10394.938939420466</v>
      </c>
      <c r="M24" s="53">
        <v>9921.4222746743526</v>
      </c>
      <c r="N24" s="53">
        <v>10158.180607047409</v>
      </c>
      <c r="O24" s="53">
        <v>11732.447696763189</v>
      </c>
      <c r="P24" s="53">
        <v>12452.819245108331</v>
      </c>
      <c r="Q24" s="53">
        <v>13173.190793453474</v>
      </c>
      <c r="R24" s="53">
        <v>13893.562341798617</v>
      </c>
      <c r="S24" s="53">
        <v>14613.933890143759</v>
      </c>
      <c r="T24" s="53">
        <v>15334.3054384889</v>
      </c>
      <c r="U24" s="53">
        <v>16054.676986834043</v>
      </c>
      <c r="V24" s="53">
        <v>16775.048535179187</v>
      </c>
      <c r="W24" s="53">
        <v>17495.420083524328</v>
      </c>
      <c r="X24" s="53">
        <v>18215.79163186947</v>
      </c>
      <c r="Y24" s="53">
        <v>18936.163180214615</v>
      </c>
      <c r="Z24" s="53">
        <v>19656.534728559756</v>
      </c>
      <c r="AA24" s="53">
        <v>20376.906276904898</v>
      </c>
      <c r="AB24" s="53">
        <v>21097.277825250039</v>
      </c>
      <c r="AC24" s="53">
        <v>21817.649373595181</v>
      </c>
      <c r="AD24" s="53">
        <v>22538.02092194033</v>
      </c>
    </row>
    <row r="25" spans="1:30" x14ac:dyDescent="0.35">
      <c r="A25" s="72" t="s">
        <v>30</v>
      </c>
      <c r="B25" s="180"/>
      <c r="C25" s="72" t="s">
        <v>109</v>
      </c>
      <c r="D25" s="53">
        <v>192864.66620394157</v>
      </c>
      <c r="E25" s="53">
        <v>195239.2419650236</v>
      </c>
      <c r="F25" s="53">
        <v>196366.76544203321</v>
      </c>
      <c r="G25" s="53">
        <v>197525.37556068008</v>
      </c>
      <c r="H25" s="53">
        <v>198743.92387830256</v>
      </c>
      <c r="I25" s="53">
        <v>200140.93841202525</v>
      </c>
      <c r="J25" s="53">
        <v>201537.7102617296</v>
      </c>
      <c r="K25" s="53">
        <v>200616.89493678272</v>
      </c>
      <c r="L25" s="53">
        <v>199696.14928779242</v>
      </c>
      <c r="M25" s="53">
        <v>198775.23322502323</v>
      </c>
      <c r="N25" s="53">
        <v>200250.33489773443</v>
      </c>
      <c r="O25" s="53">
        <v>201766.1654636735</v>
      </c>
      <c r="P25" s="53">
        <v>203325.96278464468</v>
      </c>
      <c r="Q25" s="53">
        <v>204856.96017693213</v>
      </c>
      <c r="R25" s="53">
        <v>206421.18825616254</v>
      </c>
      <c r="S25" s="53">
        <v>208013.70502273936</v>
      </c>
      <c r="T25" s="53">
        <v>209643.37199318074</v>
      </c>
      <c r="U25" s="53">
        <v>211125.2902170599</v>
      </c>
      <c r="V25" s="53">
        <v>212613.854578328</v>
      </c>
      <c r="W25" s="53">
        <v>214101.90769825791</v>
      </c>
      <c r="X25" s="53">
        <v>215599.50398982322</v>
      </c>
      <c r="Y25" s="53">
        <v>216849.14823265999</v>
      </c>
      <c r="Z25" s="53">
        <v>218069.3108916957</v>
      </c>
      <c r="AA25" s="53">
        <v>219248.74465750376</v>
      </c>
      <c r="AB25" s="53">
        <v>220395.79980526475</v>
      </c>
      <c r="AC25" s="53">
        <v>221214.46760051764</v>
      </c>
      <c r="AD25" s="53">
        <v>221946.05395460132</v>
      </c>
    </row>
    <row r="26" spans="1:30" s="66" customFormat="1" x14ac:dyDescent="0.35">
      <c r="A26" s="72" t="s">
        <v>30</v>
      </c>
      <c r="B26" s="180"/>
      <c r="C26" s="72" t="s">
        <v>110</v>
      </c>
      <c r="D26" s="53">
        <v>15863.846476217259</v>
      </c>
      <c r="E26" s="53">
        <v>17648.293767042403</v>
      </c>
      <c r="F26" s="53">
        <v>18532.244523148096</v>
      </c>
      <c r="G26" s="53">
        <v>19475.148233995918</v>
      </c>
      <c r="H26" s="53">
        <v>20493.678762344603</v>
      </c>
      <c r="I26" s="53">
        <v>21703.196239143919</v>
      </c>
      <c r="J26" s="53">
        <v>22945.987241384046</v>
      </c>
      <c r="K26" s="53">
        <v>22121.167384204149</v>
      </c>
      <c r="L26" s="53">
        <v>21313.216847513409</v>
      </c>
      <c r="M26" s="53">
        <v>20520.343055199748</v>
      </c>
      <c r="N26" s="53">
        <v>21799.181944671545</v>
      </c>
      <c r="O26" s="53">
        <v>23155.160797144639</v>
      </c>
      <c r="P26" s="53">
        <v>24606.212858334246</v>
      </c>
      <c r="Q26" s="53">
        <v>26062.534655766136</v>
      </c>
      <c r="R26" s="53">
        <v>27614.352629039277</v>
      </c>
      <c r="S26" s="53">
        <v>29256.497034562006</v>
      </c>
      <c r="T26" s="53">
        <v>30979.052125443355</v>
      </c>
      <c r="U26" s="53">
        <v>32583.371772255432</v>
      </c>
      <c r="V26" s="53">
        <v>34238.68977756815</v>
      </c>
      <c r="W26" s="53">
        <v>35926.36101064668</v>
      </c>
      <c r="X26" s="53">
        <v>37681.745153968404</v>
      </c>
      <c r="Y26" s="53">
        <v>39178.670783861744</v>
      </c>
      <c r="Z26" s="53">
        <v>40662.761386946149</v>
      </c>
      <c r="AA26" s="53">
        <v>42131.111721124595</v>
      </c>
      <c r="AB26" s="53">
        <v>43588.039918084593</v>
      </c>
      <c r="AC26" s="53">
        <v>44646.029972745077</v>
      </c>
      <c r="AD26" s="53">
        <v>45597.096228981674</v>
      </c>
    </row>
    <row r="27" spans="1:30" s="66" customFormat="1" x14ac:dyDescent="0.35">
      <c r="A27" s="72" t="s">
        <v>39</v>
      </c>
      <c r="B27" s="180"/>
      <c r="C27" s="72" t="s">
        <v>153</v>
      </c>
      <c r="D27" s="53">
        <v>0</v>
      </c>
      <c r="E27" s="53">
        <v>0</v>
      </c>
      <c r="F27" s="53">
        <v>0</v>
      </c>
      <c r="G27" s="53">
        <v>0</v>
      </c>
      <c r="H27" s="53">
        <v>0</v>
      </c>
      <c r="I27" s="53">
        <v>0</v>
      </c>
      <c r="J27" s="53">
        <v>0</v>
      </c>
      <c r="K27" s="53">
        <v>0</v>
      </c>
      <c r="L27" s="53">
        <v>0</v>
      </c>
      <c r="M27" s="53">
        <v>0</v>
      </c>
      <c r="N27" s="53">
        <v>0</v>
      </c>
      <c r="O27" s="53">
        <v>0</v>
      </c>
      <c r="P27" s="53">
        <v>0</v>
      </c>
      <c r="Q27" s="53">
        <v>0</v>
      </c>
      <c r="R27" s="53">
        <v>0</v>
      </c>
      <c r="S27" s="53">
        <v>0</v>
      </c>
      <c r="T27" s="53">
        <v>0</v>
      </c>
      <c r="U27" s="53">
        <v>0</v>
      </c>
      <c r="V27" s="53">
        <v>0</v>
      </c>
      <c r="W27" s="53">
        <v>0</v>
      </c>
      <c r="X27" s="53">
        <v>0</v>
      </c>
      <c r="Y27" s="53">
        <v>0</v>
      </c>
      <c r="Z27" s="53">
        <v>0</v>
      </c>
      <c r="AA27" s="53">
        <v>0</v>
      </c>
      <c r="AB27" s="53">
        <v>0</v>
      </c>
      <c r="AC27" s="53">
        <v>0</v>
      </c>
      <c r="AD27" s="53">
        <v>0</v>
      </c>
    </row>
    <row r="28" spans="1:30" x14ac:dyDescent="0.35">
      <c r="A28" s="72" t="s">
        <v>39</v>
      </c>
      <c r="B28" s="180"/>
      <c r="C28" s="72" t="s">
        <v>154</v>
      </c>
      <c r="D28" s="53">
        <v>0</v>
      </c>
      <c r="E28" s="53">
        <v>0</v>
      </c>
      <c r="F28" s="53">
        <v>0</v>
      </c>
      <c r="G28" s="53">
        <v>0</v>
      </c>
      <c r="H28" s="53">
        <v>0</v>
      </c>
      <c r="I28" s="53">
        <v>0</v>
      </c>
      <c r="J28" s="53">
        <v>0</v>
      </c>
      <c r="K28" s="53">
        <v>0</v>
      </c>
      <c r="L28" s="53">
        <v>0</v>
      </c>
      <c r="M28" s="53">
        <v>0</v>
      </c>
      <c r="N28" s="53">
        <v>0</v>
      </c>
      <c r="O28" s="53">
        <v>0</v>
      </c>
      <c r="P28" s="53">
        <v>0</v>
      </c>
      <c r="Q28" s="53">
        <v>0</v>
      </c>
      <c r="R28" s="53">
        <v>0</v>
      </c>
      <c r="S28" s="53">
        <v>0</v>
      </c>
      <c r="T28" s="54">
        <v>0</v>
      </c>
      <c r="U28" s="54">
        <v>0</v>
      </c>
      <c r="V28" s="54">
        <v>1</v>
      </c>
      <c r="W28" s="54">
        <v>31.933333333333394</v>
      </c>
      <c r="X28" s="54">
        <v>62.866666666666788</v>
      </c>
      <c r="Y28" s="54">
        <v>93.800000000000182</v>
      </c>
      <c r="Z28" s="54">
        <v>225.00000000000017</v>
      </c>
      <c r="AA28" s="54">
        <v>356.20000000000016</v>
      </c>
      <c r="AB28" s="54">
        <v>487.40000000000015</v>
      </c>
      <c r="AC28" s="54">
        <v>618.60000000000014</v>
      </c>
      <c r="AD28" s="54">
        <v>749.80000000000018</v>
      </c>
    </row>
    <row r="29" spans="1:30" x14ac:dyDescent="0.35">
      <c r="A29" s="72" t="s">
        <v>39</v>
      </c>
      <c r="B29" s="180"/>
      <c r="C29" s="72" t="s">
        <v>32</v>
      </c>
      <c r="D29" s="53">
        <v>0</v>
      </c>
      <c r="E29" s="53">
        <v>0</v>
      </c>
      <c r="F29" s="53">
        <v>0</v>
      </c>
      <c r="G29" s="53">
        <v>0</v>
      </c>
      <c r="H29" s="53">
        <v>0</v>
      </c>
      <c r="I29" s="53">
        <v>0</v>
      </c>
      <c r="J29" s="53">
        <v>0</v>
      </c>
      <c r="K29" s="53">
        <v>0</v>
      </c>
      <c r="L29" s="53">
        <v>0</v>
      </c>
      <c r="M29" s="53">
        <v>0</v>
      </c>
      <c r="N29" s="53">
        <v>0</v>
      </c>
      <c r="O29" s="53">
        <v>0</v>
      </c>
      <c r="P29" s="53">
        <v>0</v>
      </c>
      <c r="Q29" s="53">
        <v>0</v>
      </c>
      <c r="R29" s="53">
        <v>0</v>
      </c>
      <c r="S29" s="53">
        <v>0</v>
      </c>
      <c r="T29" s="54">
        <v>0</v>
      </c>
      <c r="U29" s="54">
        <v>0</v>
      </c>
      <c r="V29" s="54">
        <v>1</v>
      </c>
      <c r="W29" s="54">
        <v>17.066666666666759</v>
      </c>
      <c r="X29" s="54">
        <v>33.133333333333518</v>
      </c>
      <c r="Y29" s="54">
        <v>49.200000000000273</v>
      </c>
      <c r="Z29" s="54">
        <v>79.680000000000248</v>
      </c>
      <c r="AA29" s="54">
        <v>110.16000000000022</v>
      </c>
      <c r="AB29" s="54">
        <v>140.64000000000019</v>
      </c>
      <c r="AC29" s="54">
        <v>171.12000000000015</v>
      </c>
      <c r="AD29" s="54">
        <v>201.60000000000014</v>
      </c>
    </row>
    <row r="30" spans="1:30" x14ac:dyDescent="0.35">
      <c r="A30" s="72" t="s">
        <v>39</v>
      </c>
      <c r="B30" s="180"/>
      <c r="C30" s="72" t="s">
        <v>33</v>
      </c>
      <c r="D30" s="53">
        <v>0</v>
      </c>
      <c r="E30" s="53">
        <v>0</v>
      </c>
      <c r="F30" s="53">
        <v>0</v>
      </c>
      <c r="G30" s="53">
        <v>0</v>
      </c>
      <c r="H30" s="53">
        <v>0</v>
      </c>
      <c r="I30" s="53">
        <v>0</v>
      </c>
      <c r="J30" s="53">
        <v>0</v>
      </c>
      <c r="K30" s="53">
        <v>0</v>
      </c>
      <c r="L30" s="53">
        <v>0</v>
      </c>
      <c r="M30" s="53">
        <v>0</v>
      </c>
      <c r="N30" s="53">
        <v>0</v>
      </c>
      <c r="O30" s="53">
        <v>0</v>
      </c>
      <c r="P30" s="53">
        <v>0</v>
      </c>
      <c r="Q30" s="53">
        <v>0</v>
      </c>
      <c r="R30" s="53">
        <v>0</v>
      </c>
      <c r="S30" s="53">
        <v>0</v>
      </c>
      <c r="T30" s="54">
        <v>0</v>
      </c>
      <c r="U30" s="54">
        <v>0</v>
      </c>
      <c r="V30" s="54">
        <v>1E-4</v>
      </c>
      <c r="W30" s="54">
        <v>0.23539421547051567</v>
      </c>
      <c r="X30" s="54">
        <v>0.47068843094103135</v>
      </c>
      <c r="Y30" s="54">
        <v>0.70598264641154707</v>
      </c>
      <c r="Z30" s="54">
        <v>4.1389048013183505</v>
      </c>
      <c r="AA30" s="54">
        <v>7.5718269562251539</v>
      </c>
      <c r="AB30" s="54">
        <v>11.004749111131957</v>
      </c>
      <c r="AC30" s="54">
        <v>14.437671266038761</v>
      </c>
      <c r="AD30" s="54">
        <v>17.870593420945568</v>
      </c>
    </row>
    <row r="31" spans="1:30" x14ac:dyDescent="0.35">
      <c r="A31" s="72" t="s">
        <v>39</v>
      </c>
      <c r="B31" s="180"/>
      <c r="C31" s="72" t="s">
        <v>34</v>
      </c>
      <c r="D31" s="53">
        <v>0</v>
      </c>
      <c r="E31" s="53">
        <v>0</v>
      </c>
      <c r="F31" s="53">
        <v>0</v>
      </c>
      <c r="G31" s="53">
        <v>0</v>
      </c>
      <c r="H31" s="53">
        <v>0</v>
      </c>
      <c r="I31" s="53">
        <v>0</v>
      </c>
      <c r="J31" s="53">
        <v>0</v>
      </c>
      <c r="K31" s="53">
        <v>0</v>
      </c>
      <c r="L31" s="53">
        <v>0</v>
      </c>
      <c r="M31" s="53">
        <v>0</v>
      </c>
      <c r="N31" s="53">
        <v>0</v>
      </c>
      <c r="O31" s="53">
        <v>0</v>
      </c>
      <c r="P31" s="53">
        <v>0</v>
      </c>
      <c r="Q31" s="53">
        <v>0</v>
      </c>
      <c r="R31" s="53">
        <v>0</v>
      </c>
      <c r="S31" s="53">
        <v>0</v>
      </c>
      <c r="T31" s="54">
        <v>0</v>
      </c>
      <c r="U31" s="54">
        <v>0</v>
      </c>
      <c r="V31" s="54">
        <v>1E-4</v>
      </c>
      <c r="W31" s="54">
        <v>3.9287924800641506E-2</v>
      </c>
      <c r="X31" s="54">
        <v>7.847584960128301E-2</v>
      </c>
      <c r="Y31" s="54">
        <v>0.11766377440192451</v>
      </c>
      <c r="Z31" s="54">
        <v>0.28224252921570347</v>
      </c>
      <c r="AA31" s="54">
        <v>0.4468212840294824</v>
      </c>
      <c r="AB31" s="54">
        <v>0.61140003884326133</v>
      </c>
      <c r="AC31" s="54">
        <v>0.77597879365704026</v>
      </c>
      <c r="AD31" s="54">
        <v>0.94055754847081929</v>
      </c>
    </row>
    <row r="32" spans="1:30" x14ac:dyDescent="0.35">
      <c r="A32" s="72" t="s">
        <v>39</v>
      </c>
      <c r="B32" s="180"/>
      <c r="C32" s="72" t="s">
        <v>35</v>
      </c>
      <c r="D32" s="53">
        <v>0</v>
      </c>
      <c r="E32" s="53">
        <v>0</v>
      </c>
      <c r="F32" s="53">
        <v>0</v>
      </c>
      <c r="G32" s="53">
        <v>0</v>
      </c>
      <c r="H32" s="53">
        <v>0</v>
      </c>
      <c r="I32" s="53">
        <v>0</v>
      </c>
      <c r="J32" s="53">
        <v>0</v>
      </c>
      <c r="K32" s="53">
        <v>0</v>
      </c>
      <c r="L32" s="53">
        <v>0</v>
      </c>
      <c r="M32" s="53">
        <v>0</v>
      </c>
      <c r="N32" s="53">
        <v>0</v>
      </c>
      <c r="O32" s="53">
        <v>0</v>
      </c>
      <c r="P32" s="53">
        <v>0</v>
      </c>
      <c r="Q32" s="53">
        <v>0</v>
      </c>
      <c r="R32" s="53">
        <v>0</v>
      </c>
      <c r="S32" s="53">
        <v>0</v>
      </c>
      <c r="T32" s="54">
        <v>0</v>
      </c>
      <c r="U32" s="54">
        <v>0</v>
      </c>
      <c r="V32" s="54">
        <v>1</v>
      </c>
      <c r="W32" s="54">
        <v>2.666666666666667</v>
      </c>
      <c r="X32" s="54">
        <v>4.3333333333333339</v>
      </c>
      <c r="Y32" s="54">
        <v>6</v>
      </c>
      <c r="Z32" s="54">
        <v>8.6</v>
      </c>
      <c r="AA32" s="54">
        <v>11.2</v>
      </c>
      <c r="AB32" s="54">
        <v>13.799999999999999</v>
      </c>
      <c r="AC32" s="54">
        <v>16.399999999999999</v>
      </c>
      <c r="AD32" s="54">
        <v>19</v>
      </c>
    </row>
    <row r="33" spans="1:30" x14ac:dyDescent="0.35">
      <c r="A33" s="72" t="s">
        <v>130</v>
      </c>
      <c r="B33" s="72" t="s">
        <v>111</v>
      </c>
      <c r="C33" s="72" t="s">
        <v>131</v>
      </c>
      <c r="D33" s="53">
        <v>0</v>
      </c>
      <c r="E33" s="53">
        <v>0</v>
      </c>
      <c r="F33" s="53">
        <v>0</v>
      </c>
      <c r="G33" s="53">
        <v>0</v>
      </c>
      <c r="H33" s="53">
        <v>0</v>
      </c>
      <c r="I33" s="53">
        <v>0</v>
      </c>
      <c r="J33" s="53">
        <v>0</v>
      </c>
      <c r="K33" s="53">
        <v>0</v>
      </c>
      <c r="L33" s="53">
        <v>0</v>
      </c>
      <c r="M33" s="53">
        <v>0</v>
      </c>
      <c r="N33" s="53">
        <v>0</v>
      </c>
      <c r="O33" s="53">
        <v>0</v>
      </c>
      <c r="P33" s="53">
        <v>0</v>
      </c>
      <c r="Q33" s="53">
        <v>0</v>
      </c>
      <c r="R33" s="53">
        <v>0</v>
      </c>
      <c r="S33" s="53">
        <v>0</v>
      </c>
      <c r="T33" s="53">
        <v>0</v>
      </c>
      <c r="U33" s="53">
        <v>0</v>
      </c>
      <c r="V33" s="53">
        <v>13378.685343511281</v>
      </c>
      <c r="W33" s="54">
        <v>184613.54315218912</v>
      </c>
      <c r="X33" s="54">
        <v>655744.9507371221</v>
      </c>
      <c r="Y33" s="54">
        <v>1176150.7446169092</v>
      </c>
      <c r="Z33" s="54">
        <v>1859058.0491611338</v>
      </c>
      <c r="AA33" s="54">
        <v>2929109.3857803079</v>
      </c>
      <c r="AB33" s="54">
        <v>3949158.6180419442</v>
      </c>
      <c r="AC33" s="54">
        <v>5053459.3235525154</v>
      </c>
      <c r="AD33" s="54">
        <v>6408936.1761768414</v>
      </c>
    </row>
    <row r="34" spans="1:30" x14ac:dyDescent="0.35">
      <c r="A34" s="72" t="s">
        <v>130</v>
      </c>
      <c r="B34" s="72" t="s">
        <v>132</v>
      </c>
      <c r="C34" s="72" t="s">
        <v>131</v>
      </c>
      <c r="D34" s="53">
        <v>0</v>
      </c>
      <c r="E34" s="53">
        <v>0</v>
      </c>
      <c r="F34" s="53">
        <v>0</v>
      </c>
      <c r="G34" s="53">
        <v>0</v>
      </c>
      <c r="H34" s="53">
        <v>0</v>
      </c>
      <c r="I34" s="53">
        <v>0</v>
      </c>
      <c r="J34" s="53">
        <v>0</v>
      </c>
      <c r="K34" s="53">
        <v>0</v>
      </c>
      <c r="L34" s="53">
        <v>0</v>
      </c>
      <c r="M34" s="53">
        <v>0</v>
      </c>
      <c r="N34" s="53">
        <v>0</v>
      </c>
      <c r="O34" s="53">
        <v>0</v>
      </c>
      <c r="P34" s="53">
        <v>0</v>
      </c>
      <c r="Q34" s="53">
        <v>0</v>
      </c>
      <c r="R34" s="53">
        <v>0</v>
      </c>
      <c r="S34" s="53">
        <v>0</v>
      </c>
      <c r="T34" s="53">
        <v>0</v>
      </c>
      <c r="U34" s="53">
        <v>0</v>
      </c>
      <c r="V34" s="53">
        <v>80036.654733656382</v>
      </c>
      <c r="W34" s="54">
        <v>1104432.1645246765</v>
      </c>
      <c r="X34" s="54">
        <v>3740697.1497465489</v>
      </c>
      <c r="Y34" s="54">
        <v>6181651.0287370011</v>
      </c>
      <c r="Z34" s="54">
        <v>8806685.1830686163</v>
      </c>
      <c r="AA34" s="54">
        <v>13335315.490911461</v>
      </c>
      <c r="AB34" s="54">
        <v>17196082.678458896</v>
      </c>
      <c r="AC34" s="54">
        <v>21988181.24792935</v>
      </c>
      <c r="AD34" s="54">
        <v>28116925.805449199</v>
      </c>
    </row>
    <row r="35" spans="1:30" x14ac:dyDescent="0.35">
      <c r="A35" s="72" t="s">
        <v>133</v>
      </c>
      <c r="B35" s="72" t="s">
        <v>111</v>
      </c>
      <c r="C35" s="72" t="s">
        <v>131</v>
      </c>
      <c r="D35" s="53">
        <v>1269.4984609921005</v>
      </c>
      <c r="E35" s="53">
        <v>3507.3998571021511</v>
      </c>
      <c r="F35" s="53">
        <v>5745.301253212202</v>
      </c>
      <c r="G35" s="53">
        <v>7983.2026493222529</v>
      </c>
      <c r="H35" s="53">
        <v>10221.104045432305</v>
      </c>
      <c r="I35" s="53">
        <v>12459.005441542355</v>
      </c>
      <c r="J35" s="53">
        <v>14696.906837652406</v>
      </c>
      <c r="K35" s="53">
        <v>13659.366134735234</v>
      </c>
      <c r="L35" s="53">
        <v>11760.714242007025</v>
      </c>
      <c r="M35" s="53">
        <v>9813.2626376474818</v>
      </c>
      <c r="N35" s="53">
        <v>13588.908603733982</v>
      </c>
      <c r="O35" s="53">
        <v>17547.203578976321</v>
      </c>
      <c r="P35" s="53">
        <v>24911.682783246899</v>
      </c>
      <c r="Q35" s="53">
        <v>32276.161987517477</v>
      </c>
      <c r="R35" s="53">
        <v>39640.641191788054</v>
      </c>
      <c r="S35" s="53">
        <v>47005.120396058635</v>
      </c>
      <c r="T35" s="53">
        <v>54369.599600329217</v>
      </c>
      <c r="U35" s="53">
        <v>77256.78591830263</v>
      </c>
      <c r="V35" s="53">
        <v>100143.97223627605</v>
      </c>
      <c r="W35" s="53">
        <v>123031.15855424947</v>
      </c>
      <c r="X35" s="53">
        <v>145918.34487222289</v>
      </c>
      <c r="Y35" s="53">
        <v>168805.53119019631</v>
      </c>
      <c r="Z35" s="53">
        <v>204593.57758659072</v>
      </c>
      <c r="AA35" s="53">
        <v>240381.62398298515</v>
      </c>
      <c r="AB35" s="53">
        <v>276169.67037937959</v>
      </c>
      <c r="AC35" s="53">
        <v>311957.71677577402</v>
      </c>
      <c r="AD35" s="53">
        <v>347745.7631721684</v>
      </c>
    </row>
    <row r="36" spans="1:30" x14ac:dyDescent="0.35">
      <c r="A36" s="72" t="s">
        <v>133</v>
      </c>
      <c r="B36" s="72" t="s">
        <v>132</v>
      </c>
      <c r="C36" s="72" t="s">
        <v>131</v>
      </c>
      <c r="D36" s="53">
        <v>5267.7658737530246</v>
      </c>
      <c r="E36" s="53">
        <v>14553.906003485823</v>
      </c>
      <c r="F36" s="53">
        <v>23840.046133218624</v>
      </c>
      <c r="G36" s="53">
        <v>33126.186262951422</v>
      </c>
      <c r="H36" s="53">
        <v>42412.326392684219</v>
      </c>
      <c r="I36" s="53">
        <v>51698.466522417017</v>
      </c>
      <c r="J36" s="53">
        <v>60984.606652149814</v>
      </c>
      <c r="K36" s="53">
        <v>56679.346208442345</v>
      </c>
      <c r="L36" s="53">
        <v>48800.91708546882</v>
      </c>
      <c r="M36" s="53">
        <v>40719.994250624492</v>
      </c>
      <c r="N36" s="53">
        <v>56386.983682010279</v>
      </c>
      <c r="O36" s="53">
        <v>72811.872588558865</v>
      </c>
      <c r="P36" s="53">
        <v>103370.67468423292</v>
      </c>
      <c r="Q36" s="53">
        <v>133929.47677990695</v>
      </c>
      <c r="R36" s="53">
        <v>164488.27887558099</v>
      </c>
      <c r="S36" s="53">
        <v>195047.08097125503</v>
      </c>
      <c r="T36" s="53">
        <v>225605.88306692912</v>
      </c>
      <c r="U36" s="53">
        <v>320575.93835776235</v>
      </c>
      <c r="V36" s="53">
        <v>415545.99364859558</v>
      </c>
      <c r="W36" s="53">
        <v>510516.04893942882</v>
      </c>
      <c r="X36" s="53">
        <v>605486.10423026211</v>
      </c>
      <c r="Y36" s="53">
        <v>700456.15952109534</v>
      </c>
      <c r="Z36" s="53">
        <v>848958.1508885267</v>
      </c>
      <c r="AA36" s="53">
        <v>997460.14225595805</v>
      </c>
      <c r="AB36" s="53">
        <v>1145962.1336233895</v>
      </c>
      <c r="AC36" s="53">
        <v>1294464.1249908209</v>
      </c>
      <c r="AD36" s="53">
        <v>1442966.1163582522</v>
      </c>
    </row>
    <row r="37" spans="1:30" ht="29" x14ac:dyDescent="0.35">
      <c r="A37" s="3" t="s">
        <v>134</v>
      </c>
      <c r="B37" s="3" t="s">
        <v>135</v>
      </c>
      <c r="C37" s="72" t="s">
        <v>131</v>
      </c>
      <c r="D37" s="53">
        <v>4851883.8074179851</v>
      </c>
      <c r="E37" s="53">
        <v>5548866.4783700239</v>
      </c>
      <c r="F37" s="53">
        <v>5954619.7490993757</v>
      </c>
      <c r="G37" s="53">
        <v>6363793.177570492</v>
      </c>
      <c r="H37" s="53">
        <v>6862681.5291777924</v>
      </c>
      <c r="I37" s="53">
        <v>7430776.4174247123</v>
      </c>
      <c r="J37" s="53">
        <v>7958064.5940639684</v>
      </c>
      <c r="K37" s="53">
        <v>7957168.0490261456</v>
      </c>
      <c r="L37" s="53">
        <v>7874171.1774361301</v>
      </c>
      <c r="M37" s="53">
        <v>7776287.7266217675</v>
      </c>
      <c r="N37" s="53">
        <v>8450702.8694002908</v>
      </c>
      <c r="O37" s="53">
        <v>9080603.7963677123</v>
      </c>
      <c r="P37" s="53">
        <v>9916810.7160479799</v>
      </c>
      <c r="Q37" s="53">
        <v>10742147.081796253</v>
      </c>
      <c r="R37" s="53">
        <v>11532452.826251276</v>
      </c>
      <c r="S37" s="53">
        <v>12410650.170190752</v>
      </c>
      <c r="T37" s="53">
        <v>13427370.439666543</v>
      </c>
      <c r="U37" s="53">
        <v>14508754.442283049</v>
      </c>
      <c r="V37" s="53">
        <v>15576671.591655424</v>
      </c>
      <c r="W37" s="53">
        <v>16678510.376912402</v>
      </c>
      <c r="X37" s="53">
        <v>17727086.423294671</v>
      </c>
      <c r="Y37" s="53">
        <v>18931202.45624445</v>
      </c>
      <c r="Z37" s="53">
        <v>20126360.67314858</v>
      </c>
      <c r="AA37" s="53">
        <v>21277070.972831454</v>
      </c>
      <c r="AB37" s="53">
        <v>22513024.658740595</v>
      </c>
      <c r="AC37" s="53">
        <v>23603677.486926477</v>
      </c>
      <c r="AD37" s="53">
        <v>24710377.8005694</v>
      </c>
    </row>
    <row r="39" spans="1:30" x14ac:dyDescent="0.35">
      <c r="A39" s="72"/>
      <c r="B39" s="72"/>
      <c r="C39" s="72" t="s">
        <v>136</v>
      </c>
      <c r="D39" s="53">
        <f>'Cost Assumptions'!$B$4</f>
        <v>40</v>
      </c>
      <c r="E39" s="53">
        <f>D39*'Cost Assumptions'!$B$5</f>
        <v>41</v>
      </c>
      <c r="F39" s="53">
        <f>E39*'Cost Assumptions'!$B$5</f>
        <v>42.024999999999999</v>
      </c>
      <c r="G39" s="53">
        <f>F39*'Cost Assumptions'!$B$5</f>
        <v>43.075624999999995</v>
      </c>
      <c r="H39" s="9">
        <f>G39*'Cost Assumptions'!$B$5</f>
        <v>44.152515624999992</v>
      </c>
      <c r="I39" s="9">
        <f>H39*'Cost Assumptions'!$B$5</f>
        <v>45.256328515624986</v>
      </c>
      <c r="J39" s="9">
        <f>I39*'Cost Assumptions'!$B$5</f>
        <v>46.387736728515605</v>
      </c>
      <c r="K39" s="9">
        <f>J39*'Cost Assumptions'!$B$5</f>
        <v>47.547430146728495</v>
      </c>
      <c r="L39" s="9">
        <f>K39*'Cost Assumptions'!$B$5</f>
        <v>48.736115900396705</v>
      </c>
      <c r="M39" s="9">
        <f>L39*'Cost Assumptions'!$B$5</f>
        <v>49.954518797906616</v>
      </c>
      <c r="N39" s="9">
        <f>M39*'Cost Assumptions'!$B$5</f>
        <v>51.203381767854275</v>
      </c>
      <c r="O39" s="9">
        <f>N39*'Cost Assumptions'!$B$5</f>
        <v>52.483466312050624</v>
      </c>
      <c r="P39" s="9">
        <f>O39*'Cost Assumptions'!$B$5</f>
        <v>53.795552969851883</v>
      </c>
      <c r="Q39" s="9">
        <f>P39*'Cost Assumptions'!$B$5</f>
        <v>55.140441794098173</v>
      </c>
      <c r="R39" s="9">
        <f>Q39*'Cost Assumptions'!$B$5</f>
        <v>56.518952838950625</v>
      </c>
      <c r="S39" s="9">
        <f>R39*'Cost Assumptions'!$B$5</f>
        <v>57.931926659924386</v>
      </c>
      <c r="T39" s="9">
        <f>S39*'Cost Assumptions'!$B$5</f>
        <v>59.380224826422491</v>
      </c>
      <c r="U39" s="9">
        <f>T39*'Cost Assumptions'!$B$5</f>
        <v>60.864730447083048</v>
      </c>
      <c r="V39" s="9">
        <f>U39*'Cost Assumptions'!$B$5</f>
        <v>62.386348708260115</v>
      </c>
      <c r="W39" s="9">
        <f>V39*'Cost Assumptions'!$B$5</f>
        <v>63.946007425966613</v>
      </c>
      <c r="X39" s="9">
        <f>W39*'Cost Assumptions'!$B$5</f>
        <v>65.544657611615776</v>
      </c>
      <c r="Y39" s="9">
        <f>X39*'Cost Assumptions'!$B$5</f>
        <v>67.183274051906167</v>
      </c>
      <c r="Z39" s="9">
        <f>Y39*'Cost Assumptions'!$B$5</f>
        <v>68.862855903203823</v>
      </c>
      <c r="AA39" s="9">
        <f>Z39*'Cost Assumptions'!$B$5</f>
        <v>70.584427300783915</v>
      </c>
      <c r="AB39" s="9">
        <f>AA39*'Cost Assumptions'!$B$5</f>
        <v>72.349037983303504</v>
      </c>
      <c r="AC39" s="9">
        <f>AB39*'Cost Assumptions'!$B$5</f>
        <v>74.157763932886084</v>
      </c>
      <c r="AD39" s="9">
        <f>AC39*'Cost Assumptions'!$B$5</f>
        <v>76.011708031208229</v>
      </c>
    </row>
    <row r="40" spans="1:30" x14ac:dyDescent="0.35">
      <c r="A40" s="72"/>
      <c r="B40" s="72"/>
      <c r="C40" s="72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</row>
    <row r="41" spans="1:30" ht="23.5" x14ac:dyDescent="0.55000000000000004">
      <c r="A41" s="72"/>
      <c r="B41" s="178" t="s">
        <v>137</v>
      </c>
      <c r="C41" s="178"/>
      <c r="D41" s="178"/>
      <c r="E41" s="178"/>
      <c r="F41" s="178"/>
      <c r="G41" s="178"/>
      <c r="H41" s="178"/>
      <c r="I41" s="178"/>
      <c r="J41" s="178"/>
      <c r="K41" s="178"/>
      <c r="L41" s="178"/>
      <c r="M41" s="178"/>
      <c r="N41" s="178"/>
      <c r="O41" s="178"/>
      <c r="P41" s="178"/>
      <c r="Q41" s="178"/>
      <c r="R41" s="178"/>
      <c r="S41" s="178"/>
      <c r="T41" s="178"/>
      <c r="U41" s="178"/>
      <c r="V41" s="178"/>
      <c r="W41" s="178"/>
      <c r="X41" s="178"/>
      <c r="Y41" s="178"/>
      <c r="Z41" s="178"/>
      <c r="AA41" s="178"/>
      <c r="AB41" s="178"/>
      <c r="AC41" s="178"/>
      <c r="AD41" s="178"/>
    </row>
    <row r="42" spans="1:30" ht="20" thickBot="1" x14ac:dyDescent="0.5">
      <c r="A42" s="113"/>
      <c r="B42" s="122" t="s">
        <v>138</v>
      </c>
      <c r="C42" s="113" t="s">
        <v>105</v>
      </c>
      <c r="D42" s="113">
        <v>2022</v>
      </c>
      <c r="E42" s="113">
        <v>2023</v>
      </c>
      <c r="F42" s="113">
        <v>2024</v>
      </c>
      <c r="G42" s="113">
        <v>2025</v>
      </c>
      <c r="H42" s="113">
        <v>2026</v>
      </c>
      <c r="I42" s="113">
        <v>2027</v>
      </c>
      <c r="J42" s="113">
        <v>2028</v>
      </c>
      <c r="K42" s="113">
        <v>2029</v>
      </c>
      <c r="L42" s="113">
        <v>2030</v>
      </c>
      <c r="M42" s="113">
        <v>2031</v>
      </c>
      <c r="N42" s="113">
        <v>2032</v>
      </c>
      <c r="O42" s="113">
        <v>2033</v>
      </c>
      <c r="P42" s="113">
        <v>2034</v>
      </c>
      <c r="Q42" s="113">
        <v>2035</v>
      </c>
      <c r="R42" s="113">
        <v>2036</v>
      </c>
      <c r="S42" s="113">
        <v>2037</v>
      </c>
      <c r="T42" s="113">
        <v>2038</v>
      </c>
      <c r="U42" s="113">
        <v>2039</v>
      </c>
      <c r="V42" s="113">
        <v>2040</v>
      </c>
      <c r="W42" s="113">
        <v>2041</v>
      </c>
      <c r="X42" s="113">
        <v>2042</v>
      </c>
      <c r="Y42" s="113">
        <v>2043</v>
      </c>
      <c r="Z42" s="113">
        <v>2044</v>
      </c>
      <c r="AA42" s="113">
        <v>2045</v>
      </c>
      <c r="AB42" s="113">
        <v>2046</v>
      </c>
      <c r="AC42" s="113">
        <v>2047</v>
      </c>
      <c r="AD42" s="113">
        <v>2048</v>
      </c>
    </row>
    <row r="43" spans="1:30" ht="15" thickTop="1" x14ac:dyDescent="0.35">
      <c r="A43" s="72"/>
      <c r="B43" s="10">
        <f>NPV('Cost Assumptions'!$B$3,'VS to VN &amp; Distributed BESS VS'!D43:'VS to VN &amp; Distributed BESS VS'!AD43)</f>
        <v>7386.6021281514886</v>
      </c>
      <c r="C43" s="72" t="s">
        <v>107</v>
      </c>
      <c r="D43" s="53">
        <f t="shared" ref="D43:AD43" si="0">D2-D18</f>
        <v>338.7999999991298</v>
      </c>
      <c r="E43" s="53">
        <f t="shared" si="0"/>
        <v>367.49903846071538</v>
      </c>
      <c r="F43" s="53">
        <f t="shared" si="0"/>
        <v>396.19807692230097</v>
      </c>
      <c r="G43" s="53">
        <f t="shared" si="0"/>
        <v>424.89711538388656</v>
      </c>
      <c r="H43" s="53">
        <f t="shared" si="0"/>
        <v>453.59615384547214</v>
      </c>
      <c r="I43" s="53">
        <f t="shared" si="0"/>
        <v>482.29519230705773</v>
      </c>
      <c r="J43" s="53">
        <f t="shared" si="0"/>
        <v>510.99423076864332</v>
      </c>
      <c r="K43" s="53">
        <f t="shared" si="0"/>
        <v>609.18461538424162</v>
      </c>
      <c r="L43" s="53">
        <f t="shared" si="0"/>
        <v>1110.9038461533855</v>
      </c>
      <c r="M43" s="53">
        <f t="shared" si="0"/>
        <v>1614.3230769222791</v>
      </c>
      <c r="N43" s="53">
        <f t="shared" si="0"/>
        <v>1563.8673076920022</v>
      </c>
      <c r="O43" s="53">
        <f t="shared" si="0"/>
        <v>1516.9099759612654</v>
      </c>
      <c r="P43" s="53">
        <f t="shared" si="0"/>
        <v>1469.9526442305287</v>
      </c>
      <c r="Q43" s="53">
        <f t="shared" si="0"/>
        <v>1422.9953124997919</v>
      </c>
      <c r="R43" s="53">
        <f t="shared" si="0"/>
        <v>1376.0379807690551</v>
      </c>
      <c r="S43" s="53">
        <f t="shared" si="0"/>
        <v>1329.0806490383184</v>
      </c>
      <c r="T43" s="53">
        <f t="shared" si="0"/>
        <v>1282.1233173075816</v>
      </c>
      <c r="U43" s="53">
        <f t="shared" si="0"/>
        <v>1235.1659855768448</v>
      </c>
      <c r="V43" s="53">
        <f t="shared" si="0"/>
        <v>1188.2086538461081</v>
      </c>
      <c r="W43" s="53">
        <f t="shared" si="0"/>
        <v>1141.2513221153713</v>
      </c>
      <c r="X43" s="53">
        <f t="shared" si="0"/>
        <v>1094.2939903846345</v>
      </c>
      <c r="Y43" s="53">
        <f t="shared" si="0"/>
        <v>1047.3366586538978</v>
      </c>
      <c r="Z43" s="53">
        <f t="shared" si="0"/>
        <v>1000.379326923161</v>
      </c>
      <c r="AA43" s="53">
        <f t="shared" si="0"/>
        <v>953.42199519242422</v>
      </c>
      <c r="AB43" s="53">
        <f t="shared" si="0"/>
        <v>906.46466346168745</v>
      </c>
      <c r="AC43" s="53">
        <f t="shared" si="0"/>
        <v>859.50733173095068</v>
      </c>
      <c r="AD43" s="53">
        <f t="shared" si="0"/>
        <v>812.55000000019936</v>
      </c>
    </row>
    <row r="44" spans="1:30" x14ac:dyDescent="0.35">
      <c r="A44" s="72"/>
      <c r="B44" s="10">
        <f>NPV('Cost Assumptions'!$B$3,'VS to VN &amp; Distributed BESS VS'!D44:'VS to VN &amp; Distributed BESS VS'!AD44)</f>
        <v>387169.66315450199</v>
      </c>
      <c r="C44" s="72" t="s">
        <v>139</v>
      </c>
      <c r="D44" s="53">
        <f t="shared" ref="D44:AD44" si="1">D43*D39</f>
        <v>13551.999999965192</v>
      </c>
      <c r="E44" s="53">
        <f t="shared" si="1"/>
        <v>15067.460576889331</v>
      </c>
      <c r="F44" s="53">
        <f t="shared" si="1"/>
        <v>16650.224182659698</v>
      </c>
      <c r="G44" s="53">
        <f t="shared" si="1"/>
        <v>18302.708805858027</v>
      </c>
      <c r="H44" s="53">
        <f t="shared" si="1"/>
        <v>20027.411270102108</v>
      </c>
      <c r="I44" s="53">
        <f t="shared" si="1"/>
        <v>21826.909664554732</v>
      </c>
      <c r="J44" s="53">
        <f t="shared" si="1"/>
        <v>23703.865846686174</v>
      </c>
      <c r="K44" s="53">
        <f t="shared" si="1"/>
        <v>28965.162946443892</v>
      </c>
      <c r="L44" s="53">
        <f t="shared" si="1"/>
        <v>54141.138600327868</v>
      </c>
      <c r="M44" s="53">
        <f t="shared" si="1"/>
        <v>80642.732492008436</v>
      </c>
      <c r="N44" s="53">
        <f t="shared" si="1"/>
        <v>80075.294790020023</v>
      </c>
      <c r="O44" s="53">
        <f t="shared" si="1"/>
        <v>79612.693621776591</v>
      </c>
      <c r="P44" s="53">
        <f t="shared" si="1"/>
        <v>79076.915335877246</v>
      </c>
      <c r="Q44" s="53">
        <f t="shared" si="1"/>
        <v>78464.590202169318</v>
      </c>
      <c r="R44" s="53">
        <f t="shared" si="1"/>
        <v>77772.225739691072</v>
      </c>
      <c r="S44" s="53">
        <f t="shared" si="1"/>
        <v>76996.202685212556</v>
      </c>
      <c r="T44" s="53">
        <f t="shared" si="1"/>
        <v>76132.77083692282</v>
      </c>
      <c r="U44" s="53">
        <f t="shared" si="1"/>
        <v>75178.044769540327</v>
      </c>
      <c r="V44" s="53">
        <f t="shared" si="1"/>
        <v>74127.999417015628</v>
      </c>
      <c r="W44" s="53">
        <f t="shared" si="1"/>
        <v>72978.46551888375</v>
      </c>
      <c r="X44" s="53">
        <f t="shared" si="1"/>
        <v>71725.124926209639</v>
      </c>
      <c r="Y44" s="53">
        <f t="shared" si="1"/>
        <v>70363.505762952511</v>
      </c>
      <c r="Z44" s="53">
        <f t="shared" si="1"/>
        <v>68888.977438453658</v>
      </c>
      <c r="AA44" s="53">
        <f t="shared" si="1"/>
        <v>67296.745506628024</v>
      </c>
      <c r="AB44" s="53">
        <f t="shared" si="1"/>
        <v>65581.846367312057</v>
      </c>
      <c r="AC44" s="53">
        <f t="shared" si="1"/>
        <v>63739.14180508865</v>
      </c>
      <c r="AD44" s="53">
        <f t="shared" si="1"/>
        <v>61763.313360773398</v>
      </c>
    </row>
    <row r="45" spans="1:30" x14ac:dyDescent="0.35">
      <c r="A45" s="72" t="s">
        <v>30</v>
      </c>
      <c r="B45" s="10">
        <f>NPV('Cost Assumptions'!$B$3,'VS to VN &amp; Distributed BESS VS'!D45:'VS to VN &amp; Distributed BESS VS'!AD45)</f>
        <v>114.42912412587738</v>
      </c>
      <c r="C45" s="72" t="s">
        <v>31</v>
      </c>
      <c r="D45" s="53">
        <f t="shared" ref="D45:AD45" si="2">D3-D19</f>
        <v>4.2000000000000171</v>
      </c>
      <c r="E45" s="53">
        <f t="shared" si="2"/>
        <v>6.0166666666666799</v>
      </c>
      <c r="F45" s="53">
        <f t="shared" si="2"/>
        <v>6.7133333333333383</v>
      </c>
      <c r="G45" s="53">
        <f t="shared" si="2"/>
        <v>7.4099999999999966</v>
      </c>
      <c r="H45" s="53">
        <f t="shared" si="2"/>
        <v>8.1066666666666549</v>
      </c>
      <c r="I45" s="53">
        <f t="shared" si="2"/>
        <v>8.8033333333333132</v>
      </c>
      <c r="J45" s="53">
        <f t="shared" si="2"/>
        <v>9.4999999999999716</v>
      </c>
      <c r="K45" s="53">
        <f t="shared" si="2"/>
        <v>5.0999999999999659</v>
      </c>
      <c r="L45" s="53">
        <f t="shared" si="2"/>
        <v>5.7000000000000455</v>
      </c>
      <c r="M45" s="53">
        <f t="shared" si="2"/>
        <v>5.5999999999999943</v>
      </c>
      <c r="N45" s="53">
        <f t="shared" si="2"/>
        <v>5.2000000000000455</v>
      </c>
      <c r="O45" s="53">
        <f t="shared" si="2"/>
        <v>13.966666666666612</v>
      </c>
      <c r="P45" s="53">
        <f t="shared" si="2"/>
        <v>14.053333333333299</v>
      </c>
      <c r="Q45" s="53">
        <f t="shared" si="2"/>
        <v>14.139999999999986</v>
      </c>
      <c r="R45" s="53">
        <f t="shared" si="2"/>
        <v>14.226666666666674</v>
      </c>
      <c r="S45" s="53">
        <f t="shared" si="2"/>
        <v>14.313333333333361</v>
      </c>
      <c r="T45" s="53">
        <f t="shared" si="2"/>
        <v>14.400000000000034</v>
      </c>
      <c r="U45" s="53">
        <f t="shared" si="2"/>
        <v>24.210000000000008</v>
      </c>
      <c r="V45" s="53">
        <f t="shared" si="2"/>
        <v>34.019999999999982</v>
      </c>
      <c r="W45" s="53">
        <f t="shared" si="2"/>
        <v>43.829999999999984</v>
      </c>
      <c r="X45" s="53">
        <f t="shared" si="2"/>
        <v>53.639999999999986</v>
      </c>
      <c r="Y45" s="53">
        <f t="shared" si="2"/>
        <v>23.60000000000008</v>
      </c>
      <c r="Z45" s="53">
        <f t="shared" si="2"/>
        <v>33.300000000000068</v>
      </c>
      <c r="AA45" s="53">
        <f t="shared" si="2"/>
        <v>43</v>
      </c>
      <c r="AB45" s="53">
        <f t="shared" si="2"/>
        <v>52.699999999999932</v>
      </c>
      <c r="AC45" s="53">
        <f t="shared" si="2"/>
        <v>62.399999999999864</v>
      </c>
      <c r="AD45" s="53">
        <f t="shared" si="2"/>
        <v>72.100000000000023</v>
      </c>
    </row>
    <row r="46" spans="1:30" x14ac:dyDescent="0.35">
      <c r="A46" s="72" t="s">
        <v>30</v>
      </c>
      <c r="B46" s="10">
        <f>NPV('Cost Assumptions'!$B$3,'VS to VN &amp; Distributed BESS VS'!D46:'VS to VN &amp; Distributed BESS VS'!AD46)</f>
        <v>-30.412621955669433</v>
      </c>
      <c r="C46" s="72" t="s">
        <v>32</v>
      </c>
      <c r="D46" s="53">
        <f t="shared" ref="D46:AD46" si="3">D4-D20</f>
        <v>-1</v>
      </c>
      <c r="E46" s="53">
        <f t="shared" si="3"/>
        <v>-1.916666666666667</v>
      </c>
      <c r="F46" s="53">
        <f t="shared" si="3"/>
        <v>-2.1533333333333387</v>
      </c>
      <c r="G46" s="53">
        <f t="shared" si="3"/>
        <v>-2.3900000000000095</v>
      </c>
      <c r="H46" s="53">
        <f t="shared" si="3"/>
        <v>-2.6266666666666794</v>
      </c>
      <c r="I46" s="53">
        <f t="shared" si="3"/>
        <v>-2.8633333333333493</v>
      </c>
      <c r="J46" s="53">
        <f t="shared" si="3"/>
        <v>-3.1000000000000227</v>
      </c>
      <c r="K46" s="53">
        <f t="shared" si="3"/>
        <v>-3.3000000000000114</v>
      </c>
      <c r="L46" s="53">
        <f t="shared" si="3"/>
        <v>-3.2000000000000171</v>
      </c>
      <c r="M46" s="53">
        <f t="shared" si="3"/>
        <v>-3.3000000000000114</v>
      </c>
      <c r="N46" s="53">
        <f t="shared" si="3"/>
        <v>-3.2999999999999545</v>
      </c>
      <c r="O46" s="53">
        <f t="shared" si="3"/>
        <v>-3.766666666666671</v>
      </c>
      <c r="P46" s="53">
        <f t="shared" si="3"/>
        <v>-4.1933333333333316</v>
      </c>
      <c r="Q46" s="53">
        <f t="shared" si="3"/>
        <v>-4.6199999999999921</v>
      </c>
      <c r="R46" s="53">
        <f t="shared" si="3"/>
        <v>-5.0466666666666526</v>
      </c>
      <c r="S46" s="53">
        <f t="shared" si="3"/>
        <v>-5.4733333333333114</v>
      </c>
      <c r="T46" s="53">
        <f t="shared" si="3"/>
        <v>-5.8999999999999773</v>
      </c>
      <c r="U46" s="53">
        <f t="shared" si="3"/>
        <v>-5.9599999999999795</v>
      </c>
      <c r="V46" s="53">
        <f t="shared" si="3"/>
        <v>-6.0199999999999818</v>
      </c>
      <c r="W46" s="53">
        <f t="shared" si="3"/>
        <v>-6.0799999999999841</v>
      </c>
      <c r="X46" s="53">
        <f t="shared" si="3"/>
        <v>-6.1399999999999864</v>
      </c>
      <c r="Y46" s="53">
        <f t="shared" si="3"/>
        <v>-6.1999999999999886</v>
      </c>
      <c r="Z46" s="53">
        <f t="shared" si="3"/>
        <v>-6.0999999999999908</v>
      </c>
      <c r="AA46" s="53">
        <f t="shared" si="3"/>
        <v>-5.9999999999999929</v>
      </c>
      <c r="AB46" s="53">
        <f t="shared" si="3"/>
        <v>-5.8999999999999986</v>
      </c>
      <c r="AC46" s="53">
        <f t="shared" si="3"/>
        <v>-5.8000000000000043</v>
      </c>
      <c r="AD46" s="53">
        <f t="shared" si="3"/>
        <v>-5.6999999999999886</v>
      </c>
    </row>
    <row r="47" spans="1:30" x14ac:dyDescent="0.35">
      <c r="A47" s="72" t="s">
        <v>30</v>
      </c>
      <c r="B47" s="10">
        <f>NPV('Cost Assumptions'!$B$3,'VS to VN &amp; Distributed BESS VS'!D47:'VS to VN &amp; Distributed BESS VS'!AD47)</f>
        <v>54.408682117250308</v>
      </c>
      <c r="C47" s="72" t="s">
        <v>33</v>
      </c>
      <c r="D47" s="53">
        <f t="shared" ref="D47:AD47" si="4">D5-D21</f>
        <v>6.8917982049977566E-2</v>
      </c>
      <c r="E47" s="53">
        <f t="shared" si="4"/>
        <v>0.15906981935651673</v>
      </c>
      <c r="F47" s="53">
        <f t="shared" si="4"/>
        <v>0.18882910507601286</v>
      </c>
      <c r="G47" s="53">
        <f t="shared" si="4"/>
        <v>0.21858839079550896</v>
      </c>
      <c r="H47" s="53">
        <f t="shared" si="4"/>
        <v>0.24834767651500511</v>
      </c>
      <c r="I47" s="53">
        <f t="shared" si="4"/>
        <v>0.27810696223450126</v>
      </c>
      <c r="J47" s="53">
        <f t="shared" si="4"/>
        <v>0.30786624795399731</v>
      </c>
      <c r="K47" s="53">
        <f t="shared" si="4"/>
        <v>0.28195331487555592</v>
      </c>
      <c r="L47" s="53">
        <f t="shared" si="4"/>
        <v>0.24759433463986247</v>
      </c>
      <c r="M47" s="53">
        <f t="shared" si="4"/>
        <v>0.28509284700382959</v>
      </c>
      <c r="N47" s="53">
        <f t="shared" si="4"/>
        <v>0.25668888932566963</v>
      </c>
      <c r="O47" s="53">
        <f t="shared" si="4"/>
        <v>0.52330631477244116</v>
      </c>
      <c r="P47" s="53">
        <f t="shared" si="4"/>
        <v>0.49655558207903017</v>
      </c>
      <c r="Q47" s="53">
        <f t="shared" si="4"/>
        <v>0.46980484938561906</v>
      </c>
      <c r="R47" s="53">
        <f t="shared" si="4"/>
        <v>0.44305411669220796</v>
      </c>
      <c r="S47" s="53">
        <f t="shared" si="4"/>
        <v>0.41630338399879685</v>
      </c>
      <c r="T47" s="53">
        <f t="shared" si="4"/>
        <v>0.38955265130538619</v>
      </c>
      <c r="U47" s="53">
        <f t="shared" si="4"/>
        <v>16.691773167103541</v>
      </c>
      <c r="V47" s="53">
        <f t="shared" si="4"/>
        <v>32.993993682901696</v>
      </c>
      <c r="W47" s="53">
        <f t="shared" si="4"/>
        <v>49.29621419869985</v>
      </c>
      <c r="X47" s="53">
        <f t="shared" si="4"/>
        <v>65.598434714497998</v>
      </c>
      <c r="Y47" s="53">
        <f t="shared" si="4"/>
        <v>81.900655230296152</v>
      </c>
      <c r="Z47" s="53">
        <f t="shared" si="4"/>
        <v>66.250682664889567</v>
      </c>
      <c r="AA47" s="53">
        <f t="shared" si="4"/>
        <v>50.600710099482981</v>
      </c>
      <c r="AB47" s="53">
        <f t="shared" si="4"/>
        <v>34.950737534076396</v>
      </c>
      <c r="AC47" s="53">
        <f t="shared" si="4"/>
        <v>19.30076496866981</v>
      </c>
      <c r="AD47" s="53">
        <f t="shared" si="4"/>
        <v>3.6507924032632211</v>
      </c>
    </row>
    <row r="48" spans="1:30" x14ac:dyDescent="0.35">
      <c r="A48" s="72" t="s">
        <v>30</v>
      </c>
      <c r="B48" s="10">
        <f>NPV('Cost Assumptions'!$B$3,'VS to VN &amp; Distributed BESS VS'!D48:'VS to VN &amp; Distributed BESS VS'!AD48)</f>
        <v>0.65104463482712971</v>
      </c>
      <c r="C48" s="72" t="s">
        <v>34</v>
      </c>
      <c r="D48" s="53">
        <f t="shared" ref="D48:AD48" si="5">D6-D22</f>
        <v>7.5996463269141067E-4</v>
      </c>
      <c r="E48" s="53">
        <f t="shared" si="5"/>
        <v>4.541872046191173E-3</v>
      </c>
      <c r="F48" s="53">
        <f t="shared" si="5"/>
        <v>3.8850528478319817E-3</v>
      </c>
      <c r="G48" s="53">
        <f t="shared" si="5"/>
        <v>3.2282336494727851E-3</v>
      </c>
      <c r="H48" s="53">
        <f t="shared" si="5"/>
        <v>2.571414451113592E-3</v>
      </c>
      <c r="I48" s="53">
        <f t="shared" si="5"/>
        <v>1.9145952527543988E-3</v>
      </c>
      <c r="J48" s="53">
        <f t="shared" si="5"/>
        <v>1.2577760543952127E-3</v>
      </c>
      <c r="K48" s="53">
        <f t="shared" si="5"/>
        <v>-2.2393738075584466E-3</v>
      </c>
      <c r="L48" s="53">
        <f t="shared" si="5"/>
        <v>-1.2916028075159111E-3</v>
      </c>
      <c r="M48" s="53">
        <f t="shared" si="5"/>
        <v>-1.0001742556337428E-3</v>
      </c>
      <c r="N48" s="53">
        <f t="shared" si="5"/>
        <v>-2.0899793109296627E-3</v>
      </c>
      <c r="O48" s="53">
        <f t="shared" si="5"/>
        <v>3.9542679857833413E-3</v>
      </c>
      <c r="P48" s="53">
        <f t="shared" si="5"/>
        <v>2.0670115788220395E-3</v>
      </c>
      <c r="Q48" s="53">
        <f t="shared" si="5"/>
        <v>1.7975517186072376E-4</v>
      </c>
      <c r="R48" s="53">
        <f t="shared" si="5"/>
        <v>-1.7075012351005919E-3</v>
      </c>
      <c r="S48" s="53">
        <f t="shared" si="5"/>
        <v>-3.5947576420619076E-3</v>
      </c>
      <c r="T48" s="53">
        <f t="shared" si="5"/>
        <v>-5.4820140490232094E-3</v>
      </c>
      <c r="U48" s="53">
        <f t="shared" si="5"/>
        <v>0.19895940009878027</v>
      </c>
      <c r="V48" s="53">
        <f t="shared" si="5"/>
        <v>0.40340081424658375</v>
      </c>
      <c r="W48" s="53">
        <f t="shared" si="5"/>
        <v>0.60784222839438717</v>
      </c>
      <c r="X48" s="53">
        <f t="shared" si="5"/>
        <v>0.81228364254219065</v>
      </c>
      <c r="Y48" s="53">
        <f t="shared" si="5"/>
        <v>1.0167250566899941</v>
      </c>
      <c r="Z48" s="53">
        <f t="shared" si="5"/>
        <v>0.81880901262046424</v>
      </c>
      <c r="AA48" s="53">
        <f t="shared" si="5"/>
        <v>0.62089296855093434</v>
      </c>
      <c r="AB48" s="53">
        <f t="shared" si="5"/>
        <v>0.42297692448140445</v>
      </c>
      <c r="AC48" s="53">
        <f t="shared" si="5"/>
        <v>0.22506088041187455</v>
      </c>
      <c r="AD48" s="53">
        <f t="shared" si="5"/>
        <v>2.7144836342344214E-2</v>
      </c>
    </row>
    <row r="49" spans="1:30" x14ac:dyDescent="0.35">
      <c r="A49" s="72" t="s">
        <v>30</v>
      </c>
      <c r="B49" s="10">
        <f>NPV('Cost Assumptions'!$B$3,'VS to VN &amp; Distributed BESS VS'!D49:'VS to VN &amp; Distributed BESS VS'!AD49)</f>
        <v>225.53030430590292</v>
      </c>
      <c r="C49" s="72" t="s">
        <v>35</v>
      </c>
      <c r="D49" s="53">
        <f t="shared" ref="D49:AD49" si="6">D7-D23</f>
        <v>11</v>
      </c>
      <c r="E49" s="53">
        <f t="shared" si="6"/>
        <v>17.166666666666668</v>
      </c>
      <c r="F49" s="53">
        <f t="shared" si="6"/>
        <v>18.533333333333331</v>
      </c>
      <c r="G49" s="53">
        <f t="shared" si="6"/>
        <v>19.899999999999999</v>
      </c>
      <c r="H49" s="53">
        <f t="shared" si="6"/>
        <v>21.266666666666666</v>
      </c>
      <c r="I49" s="53">
        <f t="shared" si="6"/>
        <v>22.633333333333333</v>
      </c>
      <c r="J49" s="53">
        <f t="shared" si="6"/>
        <v>24</v>
      </c>
      <c r="K49" s="53">
        <f t="shared" si="6"/>
        <v>23</v>
      </c>
      <c r="L49" s="53">
        <f t="shared" si="6"/>
        <v>22</v>
      </c>
      <c r="M49" s="53">
        <f t="shared" si="6"/>
        <v>23</v>
      </c>
      <c r="N49" s="53">
        <f t="shared" si="6"/>
        <v>22</v>
      </c>
      <c r="O49" s="53">
        <f t="shared" si="6"/>
        <v>24.666666666666664</v>
      </c>
      <c r="P49" s="53">
        <f t="shared" si="6"/>
        <v>26.533333333333328</v>
      </c>
      <c r="Q49" s="53">
        <f t="shared" si="6"/>
        <v>28.399999999999991</v>
      </c>
      <c r="R49" s="53">
        <f t="shared" si="6"/>
        <v>30.266666666666655</v>
      </c>
      <c r="S49" s="53">
        <f t="shared" si="6"/>
        <v>32.133333333333319</v>
      </c>
      <c r="T49" s="53">
        <f t="shared" si="6"/>
        <v>34</v>
      </c>
      <c r="U49" s="53">
        <f t="shared" si="6"/>
        <v>37</v>
      </c>
      <c r="V49" s="53">
        <f t="shared" si="6"/>
        <v>40</v>
      </c>
      <c r="W49" s="53">
        <f t="shared" si="6"/>
        <v>42.999999999999993</v>
      </c>
      <c r="X49" s="53">
        <f t="shared" si="6"/>
        <v>45.999999999999986</v>
      </c>
      <c r="Y49" s="53">
        <f t="shared" si="6"/>
        <v>49</v>
      </c>
      <c r="Z49" s="53">
        <f t="shared" si="6"/>
        <v>49.2</v>
      </c>
      <c r="AA49" s="53">
        <f t="shared" si="6"/>
        <v>49.400000000000006</v>
      </c>
      <c r="AB49" s="53">
        <f t="shared" si="6"/>
        <v>49.600000000000009</v>
      </c>
      <c r="AC49" s="53">
        <f t="shared" si="6"/>
        <v>49.800000000000011</v>
      </c>
      <c r="AD49" s="53">
        <f t="shared" si="6"/>
        <v>50</v>
      </c>
    </row>
    <row r="50" spans="1:30" s="52" customFormat="1" x14ac:dyDescent="0.35">
      <c r="A50" s="72" t="s">
        <v>30</v>
      </c>
      <c r="B50" s="10">
        <f>NPV('Cost Assumptions'!$B$3,'VS to VN &amp; Distributed BESS VS'!D50:'VS to VN &amp; Distributed BESS VS'!AD50)</f>
        <v>39141.445534236278</v>
      </c>
      <c r="C50" s="70" t="s">
        <v>140</v>
      </c>
      <c r="D50" s="53">
        <f>D13-D24</f>
        <v>1637.4650100268436</v>
      </c>
      <c r="E50" s="53">
        <f t="shared" ref="E50:AD50" si="7">E13-E24</f>
        <v>2177.3309561137412</v>
      </c>
      <c r="F50" s="53">
        <f t="shared" si="7"/>
        <v>2717.1969022006379</v>
      </c>
      <c r="G50" s="53">
        <f t="shared" si="7"/>
        <v>3257.0628482875345</v>
      </c>
      <c r="H50" s="53">
        <f t="shared" si="7"/>
        <v>3796.928794374433</v>
      </c>
      <c r="I50" s="53">
        <f t="shared" si="7"/>
        <v>4336.7947404613296</v>
      </c>
      <c r="J50" s="53">
        <f t="shared" si="7"/>
        <v>4876.6606865482263</v>
      </c>
      <c r="K50" s="53">
        <f t="shared" si="7"/>
        <v>4751.6880579350345</v>
      </c>
      <c r="L50" s="53">
        <f t="shared" si="7"/>
        <v>4626.7154293218427</v>
      </c>
      <c r="M50" s="53">
        <f t="shared" si="7"/>
        <v>3604.0088606696972</v>
      </c>
      <c r="N50" s="53">
        <f t="shared" si="7"/>
        <v>4264.9844683355968</v>
      </c>
      <c r="O50" s="53">
        <f t="shared" si="7"/>
        <v>5180.7852586977097</v>
      </c>
      <c r="P50" s="53">
        <f t="shared" si="7"/>
        <v>5378.5499981392313</v>
      </c>
      <c r="Q50" s="53">
        <f t="shared" si="7"/>
        <v>5576.3147375807512</v>
      </c>
      <c r="R50" s="53">
        <f t="shared" si="7"/>
        <v>5774.079477022271</v>
      </c>
      <c r="S50" s="53">
        <f t="shared" si="7"/>
        <v>5971.8442164637927</v>
      </c>
      <c r="T50" s="53">
        <f t="shared" si="7"/>
        <v>6169.6089559053144</v>
      </c>
      <c r="U50" s="53">
        <f t="shared" si="7"/>
        <v>6367.3736953468342</v>
      </c>
      <c r="V50" s="53">
        <f t="shared" si="7"/>
        <v>6565.1384347883541</v>
      </c>
      <c r="W50" s="53">
        <f t="shared" si="7"/>
        <v>6762.9031742298757</v>
      </c>
      <c r="X50" s="53">
        <f t="shared" si="7"/>
        <v>6960.6679136713974</v>
      </c>
      <c r="Y50" s="53">
        <f t="shared" si="7"/>
        <v>7158.4326531129154</v>
      </c>
      <c r="Z50" s="53">
        <f t="shared" si="7"/>
        <v>7356.1973925544371</v>
      </c>
      <c r="AA50" s="53">
        <f t="shared" si="7"/>
        <v>7553.9621319959588</v>
      </c>
      <c r="AB50" s="53">
        <f t="shared" si="7"/>
        <v>7751.7268714374804</v>
      </c>
      <c r="AC50" s="53">
        <f t="shared" si="7"/>
        <v>7949.4916108790021</v>
      </c>
      <c r="AD50" s="53">
        <f t="shared" si="7"/>
        <v>8147.2563503205129</v>
      </c>
    </row>
    <row r="51" spans="1:30" s="52" customFormat="1" x14ac:dyDescent="0.35">
      <c r="A51" s="72" t="s">
        <v>30</v>
      </c>
      <c r="B51" s="10">
        <f>NPV('Cost Assumptions'!$B$3,'VS to VN &amp; Distributed BESS VS'!D51:'VS to VN &amp; Distributed BESS VS'!AD51)</f>
        <v>0</v>
      </c>
      <c r="C51" s="70" t="s">
        <v>141</v>
      </c>
      <c r="D51" s="53">
        <f>D14-D25</f>
        <v>0</v>
      </c>
      <c r="E51" s="53">
        <f t="shared" ref="E51:AD51" si="8">E14-E25</f>
        <v>0</v>
      </c>
      <c r="F51" s="53">
        <f t="shared" si="8"/>
        <v>0</v>
      </c>
      <c r="G51" s="53">
        <f t="shared" si="8"/>
        <v>0</v>
      </c>
      <c r="H51" s="53">
        <f t="shared" si="8"/>
        <v>0</v>
      </c>
      <c r="I51" s="53">
        <f t="shared" si="8"/>
        <v>0</v>
      </c>
      <c r="J51" s="53">
        <f t="shared" si="8"/>
        <v>0</v>
      </c>
      <c r="K51" s="53">
        <f t="shared" si="8"/>
        <v>0</v>
      </c>
      <c r="L51" s="53">
        <f t="shared" si="8"/>
        <v>0</v>
      </c>
      <c r="M51" s="53">
        <f t="shared" si="8"/>
        <v>0</v>
      </c>
      <c r="N51" s="53">
        <f t="shared" si="8"/>
        <v>0</v>
      </c>
      <c r="O51" s="53">
        <f t="shared" si="8"/>
        <v>0</v>
      </c>
      <c r="P51" s="53">
        <f t="shared" si="8"/>
        <v>0</v>
      </c>
      <c r="Q51" s="53">
        <f t="shared" si="8"/>
        <v>0</v>
      </c>
      <c r="R51" s="53">
        <f t="shared" si="8"/>
        <v>0</v>
      </c>
      <c r="S51" s="53">
        <f t="shared" si="8"/>
        <v>0</v>
      </c>
      <c r="T51" s="53">
        <f t="shared" si="8"/>
        <v>0</v>
      </c>
      <c r="U51" s="53">
        <f t="shared" si="8"/>
        <v>0</v>
      </c>
      <c r="V51" s="53">
        <f t="shared" si="8"/>
        <v>0</v>
      </c>
      <c r="W51" s="53">
        <f t="shared" si="8"/>
        <v>0</v>
      </c>
      <c r="X51" s="53">
        <f t="shared" si="8"/>
        <v>0</v>
      </c>
      <c r="Y51" s="53">
        <f t="shared" si="8"/>
        <v>0</v>
      </c>
      <c r="Z51" s="53">
        <f t="shared" si="8"/>
        <v>0</v>
      </c>
      <c r="AA51" s="53">
        <f t="shared" si="8"/>
        <v>0</v>
      </c>
      <c r="AB51" s="53">
        <f t="shared" si="8"/>
        <v>0</v>
      </c>
      <c r="AC51" s="53">
        <f t="shared" si="8"/>
        <v>0</v>
      </c>
      <c r="AD51" s="53">
        <f t="shared" si="8"/>
        <v>0</v>
      </c>
    </row>
    <row r="52" spans="1:30" s="66" customFormat="1" x14ac:dyDescent="0.35">
      <c r="A52" s="72" t="s">
        <v>30</v>
      </c>
      <c r="B52" s="10">
        <f>NPV('Cost Assumptions'!$B$3,'VS to VN &amp; Distributed BESS VS'!D52:'VS to VN &amp; Distributed BESS VS'!AD52)</f>
        <v>479183.40573156968</v>
      </c>
      <c r="C52" s="70" t="s">
        <v>142</v>
      </c>
      <c r="D52" s="53">
        <f>D15-D26</f>
        <v>41950.317319588241</v>
      </c>
      <c r="E52" s="53">
        <f t="shared" ref="E52:AD52" si="9">E15-E26</f>
        <v>44543.453126980952</v>
      </c>
      <c r="F52" s="53">
        <f t="shared" si="9"/>
        <v>45828.860716419767</v>
      </c>
      <c r="G52" s="53">
        <f t="shared" si="9"/>
        <v>47153.352767109565</v>
      </c>
      <c r="H52" s="53">
        <f t="shared" si="9"/>
        <v>48574.54795918976</v>
      </c>
      <c r="I52" s="53">
        <f t="shared" si="9"/>
        <v>50215.764777497636</v>
      </c>
      <c r="J52" s="53">
        <f t="shared" si="9"/>
        <v>51874.691963872247</v>
      </c>
      <c r="K52" s="53">
        <f t="shared" si="9"/>
        <v>50778.114869249301</v>
      </c>
      <c r="L52" s="53">
        <f t="shared" si="9"/>
        <v>49693.135746863452</v>
      </c>
      <c r="M52" s="53">
        <f t="shared" si="9"/>
        <v>48611.273086176574</v>
      </c>
      <c r="N52" s="53">
        <f t="shared" si="9"/>
        <v>50344.583019320264</v>
      </c>
      <c r="O52" s="53">
        <f t="shared" si="9"/>
        <v>52146.765099087497</v>
      </c>
      <c r="P52" s="53">
        <f t="shared" si="9"/>
        <v>54023.414660322465</v>
      </c>
      <c r="Q52" s="53">
        <f t="shared" si="9"/>
        <v>55888.522918306931</v>
      </c>
      <c r="R52" s="53">
        <f t="shared" si="9"/>
        <v>57769.072009230513</v>
      </c>
      <c r="S52" s="53">
        <f t="shared" si="9"/>
        <v>59689.474085032125</v>
      </c>
      <c r="T52" s="53">
        <f t="shared" si="9"/>
        <v>61697.84379550803</v>
      </c>
      <c r="U52" s="53">
        <f t="shared" si="9"/>
        <v>63562.358136175724</v>
      </c>
      <c r="V52" s="53">
        <f t="shared" si="9"/>
        <v>65462.168384773649</v>
      </c>
      <c r="W52" s="53">
        <f t="shared" si="9"/>
        <v>67413.848768282201</v>
      </c>
      <c r="X52" s="53">
        <f t="shared" si="9"/>
        <v>69383.773026755458</v>
      </c>
      <c r="Y52" s="53">
        <f t="shared" si="9"/>
        <v>71058.973139583541</v>
      </c>
      <c r="Z52" s="53">
        <f t="shared" si="9"/>
        <v>72692.90965949271</v>
      </c>
      <c r="AA52" s="53">
        <f t="shared" si="9"/>
        <v>74263.686691227922</v>
      </c>
      <c r="AB52" s="53">
        <f t="shared" si="9"/>
        <v>75805.906063189002</v>
      </c>
      <c r="AC52" s="53">
        <f t="shared" si="9"/>
        <v>76906.765075590141</v>
      </c>
      <c r="AD52" s="53">
        <f t="shared" si="9"/>
        <v>77904.270842658967</v>
      </c>
    </row>
    <row r="53" spans="1:30" x14ac:dyDescent="0.35">
      <c r="A53" s="72" t="s">
        <v>39</v>
      </c>
      <c r="B53" s="10">
        <f>NPV('Cost Assumptions'!$B$3,'VS to VN &amp; Distributed BESS VS'!D53:'VS to VN &amp; Distributed BESS VS'!AD53)</f>
        <v>3422.1305658870738</v>
      </c>
      <c r="C53" s="72" t="s">
        <v>31</v>
      </c>
      <c r="D53" s="53">
        <f>D8-SUM(D28,D27)</f>
        <v>22.2</v>
      </c>
      <c r="E53" s="53">
        <f t="shared" ref="E53:AC53" si="10">E8-SUM(E28,E27)</f>
        <v>65.8</v>
      </c>
      <c r="F53" s="53">
        <f t="shared" si="10"/>
        <v>102.72</v>
      </c>
      <c r="G53" s="53">
        <f t="shared" si="10"/>
        <v>139.63999999999999</v>
      </c>
      <c r="H53" s="53">
        <f t="shared" si="10"/>
        <v>176.56</v>
      </c>
      <c r="I53" s="53">
        <f t="shared" si="10"/>
        <v>213.48000000000002</v>
      </c>
      <c r="J53" s="53">
        <f t="shared" si="10"/>
        <v>250.4</v>
      </c>
      <c r="K53" s="53">
        <f t="shared" si="10"/>
        <v>216.60000000000014</v>
      </c>
      <c r="L53" s="53">
        <f t="shared" si="10"/>
        <v>182.59999999999991</v>
      </c>
      <c r="M53" s="53">
        <f t="shared" si="10"/>
        <v>151.20000000000005</v>
      </c>
      <c r="N53" s="53">
        <f t="shared" si="10"/>
        <v>202.60000000000014</v>
      </c>
      <c r="O53" s="53">
        <f t="shared" si="10"/>
        <v>292.1666666666668</v>
      </c>
      <c r="P53" s="53">
        <f t="shared" si="10"/>
        <v>381.73333333333346</v>
      </c>
      <c r="Q53" s="53">
        <f t="shared" si="10"/>
        <v>471.30000000000013</v>
      </c>
      <c r="R53" s="53">
        <f t="shared" si="10"/>
        <v>560.86666666666679</v>
      </c>
      <c r="S53" s="53">
        <f t="shared" si="10"/>
        <v>650.43333333333339</v>
      </c>
      <c r="T53" s="53">
        <f t="shared" si="10"/>
        <v>740</v>
      </c>
      <c r="U53" s="53">
        <f t="shared" si="10"/>
        <v>930.87999999999988</v>
      </c>
      <c r="V53" s="53">
        <f t="shared" si="10"/>
        <v>1120.7599999999998</v>
      </c>
      <c r="W53" s="53">
        <f t="shared" si="10"/>
        <v>1280.7066666666663</v>
      </c>
      <c r="X53" s="53">
        <f t="shared" si="10"/>
        <v>1440.6533333333327</v>
      </c>
      <c r="Y53" s="53">
        <f t="shared" si="10"/>
        <v>1600.5999999999992</v>
      </c>
      <c r="Z53" s="53">
        <f t="shared" si="10"/>
        <v>1662.3999999999992</v>
      </c>
      <c r="AA53" s="53">
        <f t="shared" si="10"/>
        <v>1724.1999999999994</v>
      </c>
      <c r="AB53" s="53">
        <f t="shared" si="10"/>
        <v>1785.9999999999995</v>
      </c>
      <c r="AC53" s="53">
        <f t="shared" si="10"/>
        <v>1847.7999999999995</v>
      </c>
      <c r="AD53" s="53">
        <f>AD8-SUM(AD28,AD27)</f>
        <v>1909.5999999999995</v>
      </c>
    </row>
    <row r="54" spans="1:30" x14ac:dyDescent="0.35">
      <c r="A54" s="72" t="s">
        <v>39</v>
      </c>
      <c r="B54" s="10">
        <f>NPV('Cost Assumptions'!$B$3,'VS to VN &amp; Distributed BESS VS'!D54:'VS to VN &amp; Distributed BESS VS'!AD54)</f>
        <v>527.31679336051275</v>
      </c>
      <c r="C54" s="72" t="s">
        <v>32</v>
      </c>
      <c r="D54" s="53">
        <f t="shared" ref="D54:AD54" si="11">D9-D29</f>
        <v>13</v>
      </c>
      <c r="E54" s="53">
        <f t="shared" si="11"/>
        <v>27</v>
      </c>
      <c r="F54" s="53">
        <f t="shared" si="11"/>
        <v>34.519999999999982</v>
      </c>
      <c r="G54" s="53">
        <f t="shared" si="11"/>
        <v>42.039999999999964</v>
      </c>
      <c r="H54" s="53">
        <f t="shared" si="11"/>
        <v>49.559999999999945</v>
      </c>
      <c r="I54" s="53">
        <f t="shared" si="11"/>
        <v>57.079999999999927</v>
      </c>
      <c r="J54" s="53">
        <f t="shared" si="11"/>
        <v>64.599999999999909</v>
      </c>
      <c r="K54" s="53">
        <f t="shared" si="11"/>
        <v>59.799999999999955</v>
      </c>
      <c r="L54" s="53">
        <f t="shared" si="11"/>
        <v>52.799999999999955</v>
      </c>
      <c r="M54" s="53">
        <f t="shared" si="11"/>
        <v>46</v>
      </c>
      <c r="N54" s="53">
        <f t="shared" si="11"/>
        <v>57.400000000000091</v>
      </c>
      <c r="O54" s="53">
        <f t="shared" si="11"/>
        <v>67.333333333333414</v>
      </c>
      <c r="P54" s="53">
        <f t="shared" si="11"/>
        <v>77.266666666666737</v>
      </c>
      <c r="Q54" s="53">
        <f t="shared" si="11"/>
        <v>87.20000000000006</v>
      </c>
      <c r="R54" s="53">
        <f t="shared" si="11"/>
        <v>97.133333333333383</v>
      </c>
      <c r="S54" s="53">
        <f t="shared" si="11"/>
        <v>107.06666666666671</v>
      </c>
      <c r="T54" s="53">
        <f t="shared" si="11"/>
        <v>117</v>
      </c>
      <c r="U54" s="53">
        <f t="shared" si="11"/>
        <v>126.6</v>
      </c>
      <c r="V54" s="53">
        <f t="shared" si="11"/>
        <v>135.19999999999999</v>
      </c>
      <c r="W54" s="53">
        <f t="shared" si="11"/>
        <v>128.73333333333323</v>
      </c>
      <c r="X54" s="53">
        <f t="shared" si="11"/>
        <v>122.26666666666645</v>
      </c>
      <c r="Y54" s="53">
        <f t="shared" si="11"/>
        <v>115.79999999999973</v>
      </c>
      <c r="Z54" s="53">
        <f t="shared" si="11"/>
        <v>92.159999999999755</v>
      </c>
      <c r="AA54" s="53">
        <f t="shared" si="11"/>
        <v>68.519999999999783</v>
      </c>
      <c r="AB54" s="53">
        <f t="shared" si="11"/>
        <v>44.879999999999825</v>
      </c>
      <c r="AC54" s="53">
        <f t="shared" si="11"/>
        <v>21.239999999999867</v>
      </c>
      <c r="AD54" s="53">
        <f t="shared" si="11"/>
        <v>-2.4000000000000909</v>
      </c>
    </row>
    <row r="55" spans="1:30" x14ac:dyDescent="0.35">
      <c r="A55" s="72" t="s">
        <v>39</v>
      </c>
      <c r="B55" s="10">
        <f>NPV('Cost Assumptions'!$B$3,'VS to VN &amp; Distributed BESS VS'!D55:'VS to VN &amp; Distributed BESS VS'!AD55)</f>
        <v>49.08328766658186</v>
      </c>
      <c r="C55" s="72" t="s">
        <v>33</v>
      </c>
      <c r="D55" s="53">
        <f t="shared" ref="D55:AD55" si="12">D10-D30</f>
        <v>4.7253529883901121E-2</v>
      </c>
      <c r="E55" s="53">
        <f t="shared" si="12"/>
        <v>0.28011551949195379</v>
      </c>
      <c r="F55" s="53">
        <f t="shared" si="12"/>
        <v>0.59718244793816533</v>
      </c>
      <c r="G55" s="53">
        <f t="shared" si="12"/>
        <v>0.91424937638437687</v>
      </c>
      <c r="H55" s="53">
        <f t="shared" si="12"/>
        <v>1.2313163048305884</v>
      </c>
      <c r="I55" s="53">
        <f t="shared" si="12"/>
        <v>1.5483832332767999</v>
      </c>
      <c r="J55" s="53">
        <f t="shared" si="12"/>
        <v>1.8654501617230115</v>
      </c>
      <c r="K55" s="53">
        <f t="shared" si="12"/>
        <v>1.6136441894137561</v>
      </c>
      <c r="L55" s="53">
        <f t="shared" si="12"/>
        <v>1.1660127779459895</v>
      </c>
      <c r="M55" s="53">
        <f t="shared" si="12"/>
        <v>0.80458713045561225</v>
      </c>
      <c r="N55" s="53">
        <f t="shared" si="12"/>
        <v>0.56680711827214547</v>
      </c>
      <c r="O55" s="53">
        <f t="shared" si="12"/>
        <v>3.0445179689462347</v>
      </c>
      <c r="P55" s="53">
        <f t="shared" si="12"/>
        <v>4.5886299372095039</v>
      </c>
      <c r="Q55" s="53">
        <f t="shared" si="12"/>
        <v>6.1327419054727734</v>
      </c>
      <c r="R55" s="53">
        <f t="shared" si="12"/>
        <v>7.676853873736043</v>
      </c>
      <c r="S55" s="53">
        <f t="shared" si="12"/>
        <v>9.2209658419993126</v>
      </c>
      <c r="T55" s="53">
        <f t="shared" si="12"/>
        <v>10.765077810262582</v>
      </c>
      <c r="U55" s="53">
        <f t="shared" si="12"/>
        <v>11.285969377257926</v>
      </c>
      <c r="V55" s="53">
        <f t="shared" si="12"/>
        <v>11.80676094425327</v>
      </c>
      <c r="W55" s="53">
        <f t="shared" si="12"/>
        <v>12.092358295778098</v>
      </c>
      <c r="X55" s="53">
        <f t="shared" si="12"/>
        <v>12.377955647302926</v>
      </c>
      <c r="Y55" s="53">
        <f t="shared" si="12"/>
        <v>12.663552998827756</v>
      </c>
      <c r="Z55" s="53">
        <f t="shared" si="12"/>
        <v>26.885979829758707</v>
      </c>
      <c r="AA55" s="53">
        <f t="shared" si="12"/>
        <v>41.10840666068966</v>
      </c>
      <c r="AB55" s="53">
        <f t="shared" si="12"/>
        <v>55.330833491620609</v>
      </c>
      <c r="AC55" s="53">
        <f t="shared" si="12"/>
        <v>69.553260322551552</v>
      </c>
      <c r="AD55" s="53">
        <f t="shared" si="12"/>
        <v>83.775687153482508</v>
      </c>
    </row>
    <row r="56" spans="1:30" x14ac:dyDescent="0.35">
      <c r="A56" s="72" t="s">
        <v>39</v>
      </c>
      <c r="B56" s="10">
        <f>NPV('Cost Assumptions'!$B$3,'VS to VN &amp; Distributed BESS VS'!D56:'VS to VN &amp; Distributed BESS VS'!AD56)</f>
        <v>2.6067895419981455</v>
      </c>
      <c r="C56" s="72" t="s">
        <v>34</v>
      </c>
      <c r="D56" s="53">
        <f t="shared" ref="D56:AD56" si="13">D11-D31</f>
        <v>2.3626764941950561E-2</v>
      </c>
      <c r="E56" s="53">
        <f t="shared" si="13"/>
        <v>7.0028879872988448E-2</v>
      </c>
      <c r="F56" s="53">
        <f t="shared" si="13"/>
        <v>0.10932167994761965</v>
      </c>
      <c r="G56" s="53">
        <f t="shared" si="13"/>
        <v>0.14861448002225086</v>
      </c>
      <c r="H56" s="53">
        <f t="shared" si="13"/>
        <v>0.18790728009688207</v>
      </c>
      <c r="I56" s="53">
        <f t="shared" si="13"/>
        <v>0.22720008017151327</v>
      </c>
      <c r="J56" s="53">
        <f t="shared" si="13"/>
        <v>0.26649288024614448</v>
      </c>
      <c r="K56" s="53">
        <f t="shared" si="13"/>
        <v>0.23052059848767945</v>
      </c>
      <c r="L56" s="53">
        <f t="shared" si="13"/>
        <v>0.19433546299099821</v>
      </c>
      <c r="M56" s="53">
        <f t="shared" si="13"/>
        <v>0.16091742609112245</v>
      </c>
      <c r="N56" s="53">
        <f t="shared" si="13"/>
        <v>4.2212624824281168E-2</v>
      </c>
      <c r="O56" s="53">
        <f t="shared" si="13"/>
        <v>0.30677545020347896</v>
      </c>
      <c r="P56" s="53">
        <f t="shared" si="13"/>
        <v>0.39920718602367722</v>
      </c>
      <c r="Q56" s="53">
        <f t="shared" si="13"/>
        <v>0.49163892184387548</v>
      </c>
      <c r="R56" s="53">
        <f t="shared" si="13"/>
        <v>0.58407065766407373</v>
      </c>
      <c r="S56" s="53">
        <f t="shared" si="13"/>
        <v>0.67650239348427199</v>
      </c>
      <c r="T56" s="53">
        <f t="shared" si="13"/>
        <v>0.76893412930447014</v>
      </c>
      <c r="U56" s="53">
        <f t="shared" si="13"/>
        <v>0.69278283231502535</v>
      </c>
      <c r="V56" s="53">
        <f t="shared" si="13"/>
        <v>0.61653153532558058</v>
      </c>
      <c r="W56" s="53">
        <f t="shared" si="13"/>
        <v>0.50119231353549432</v>
      </c>
      <c r="X56" s="53">
        <f t="shared" si="13"/>
        <v>0.38585309174540799</v>
      </c>
      <c r="Y56" s="53">
        <f t="shared" si="13"/>
        <v>0.27051386995532162</v>
      </c>
      <c r="Z56" s="53">
        <f t="shared" si="13"/>
        <v>0.57773894072646137</v>
      </c>
      <c r="AA56" s="53">
        <f t="shared" si="13"/>
        <v>0.88496401149760129</v>
      </c>
      <c r="AB56" s="53">
        <f t="shared" si="13"/>
        <v>1.1921890822687411</v>
      </c>
      <c r="AC56" s="53">
        <f t="shared" si="13"/>
        <v>1.499414153039881</v>
      </c>
      <c r="AD56" s="53">
        <f t="shared" si="13"/>
        <v>1.8066392238110207</v>
      </c>
    </row>
    <row r="57" spans="1:30" x14ac:dyDescent="0.35">
      <c r="A57" s="72" t="s">
        <v>39</v>
      </c>
      <c r="B57" s="10">
        <f>NPV('Cost Assumptions'!$B$3,'VS to VN &amp; Distributed BESS VS'!D57:'VS to VN &amp; Distributed BESS VS'!AD57)</f>
        <v>73.897420709513568</v>
      </c>
      <c r="C57" s="72" t="s">
        <v>35</v>
      </c>
      <c r="D57" s="53">
        <f t="shared" ref="D57:AD57" si="14">D12-D32</f>
        <v>2</v>
      </c>
      <c r="E57" s="53">
        <f t="shared" si="14"/>
        <v>4</v>
      </c>
      <c r="F57" s="53">
        <f t="shared" si="14"/>
        <v>4.5999999999999996</v>
      </c>
      <c r="G57" s="53">
        <f t="shared" si="14"/>
        <v>5.1999999999999993</v>
      </c>
      <c r="H57" s="53">
        <f t="shared" si="14"/>
        <v>5.7999999999999989</v>
      </c>
      <c r="I57" s="53">
        <f t="shared" si="14"/>
        <v>6.3999999999999986</v>
      </c>
      <c r="J57" s="53">
        <f t="shared" si="14"/>
        <v>7</v>
      </c>
      <c r="K57" s="53">
        <f t="shared" si="14"/>
        <v>7</v>
      </c>
      <c r="L57" s="53">
        <f t="shared" si="14"/>
        <v>6</v>
      </c>
      <c r="M57" s="53">
        <f t="shared" si="14"/>
        <v>5</v>
      </c>
      <c r="N57" s="53">
        <f t="shared" si="14"/>
        <v>7</v>
      </c>
      <c r="O57" s="53">
        <f t="shared" si="14"/>
        <v>8.1666666666666661</v>
      </c>
      <c r="P57" s="53">
        <f t="shared" si="14"/>
        <v>9.3333333333333321</v>
      </c>
      <c r="Q57" s="53">
        <f t="shared" si="14"/>
        <v>10.499999999999998</v>
      </c>
      <c r="R57" s="53">
        <f t="shared" si="14"/>
        <v>11.666666666666664</v>
      </c>
      <c r="S57" s="53">
        <f t="shared" si="14"/>
        <v>12.83333333333333</v>
      </c>
      <c r="T57" s="53">
        <f t="shared" si="14"/>
        <v>14</v>
      </c>
      <c r="U57" s="53">
        <f t="shared" si="14"/>
        <v>17</v>
      </c>
      <c r="V57" s="53">
        <f t="shared" si="14"/>
        <v>19</v>
      </c>
      <c r="W57" s="53">
        <f t="shared" si="14"/>
        <v>20.333333333333332</v>
      </c>
      <c r="X57" s="53">
        <f t="shared" si="14"/>
        <v>21.666666666666664</v>
      </c>
      <c r="Y57" s="53">
        <f t="shared" si="14"/>
        <v>23</v>
      </c>
      <c r="Z57" s="53">
        <f t="shared" si="14"/>
        <v>22</v>
      </c>
      <c r="AA57" s="53">
        <f t="shared" si="14"/>
        <v>21.000000000000004</v>
      </c>
      <c r="AB57" s="53">
        <f t="shared" si="14"/>
        <v>20.000000000000007</v>
      </c>
      <c r="AC57" s="53">
        <f t="shared" si="14"/>
        <v>19.000000000000007</v>
      </c>
      <c r="AD57" s="53">
        <f t="shared" si="14"/>
        <v>18</v>
      </c>
    </row>
    <row r="59" spans="1:30" ht="15" thickBot="1" x14ac:dyDescent="0.4">
      <c r="A59" s="177" t="s">
        <v>143</v>
      </c>
      <c r="B59" s="177"/>
      <c r="C59" s="177"/>
      <c r="D59" s="177"/>
      <c r="E59" s="177"/>
      <c r="F59" s="177"/>
      <c r="G59" s="177"/>
      <c r="H59" s="177"/>
      <c r="I59" s="177"/>
      <c r="J59" s="177"/>
      <c r="K59" s="177"/>
      <c r="L59" s="177"/>
      <c r="M59" s="177"/>
      <c r="N59" s="177"/>
      <c r="O59" s="177"/>
      <c r="P59" s="177"/>
      <c r="Q59" s="177"/>
      <c r="R59" s="177"/>
      <c r="S59" s="177"/>
      <c r="T59" s="177"/>
      <c r="U59" s="177"/>
      <c r="V59" s="177"/>
      <c r="W59" s="177"/>
      <c r="X59" s="177"/>
      <c r="Y59" s="177"/>
      <c r="Z59" s="177"/>
      <c r="AA59" s="177"/>
      <c r="AB59" s="177"/>
      <c r="AC59" s="177"/>
      <c r="AD59" s="177"/>
    </row>
    <row r="60" spans="1:30" ht="15.5" thickTop="1" thickBot="1" x14ac:dyDescent="0.4">
      <c r="A60" s="177"/>
      <c r="B60" s="177"/>
      <c r="C60" s="177"/>
      <c r="D60" s="177"/>
      <c r="E60" s="177"/>
      <c r="F60" s="177"/>
      <c r="G60" s="177"/>
      <c r="H60" s="177"/>
      <c r="I60" s="177"/>
      <c r="J60" s="177"/>
      <c r="K60" s="177"/>
      <c r="L60" s="177"/>
      <c r="M60" s="177"/>
      <c r="N60" s="177"/>
      <c r="O60" s="177"/>
      <c r="P60" s="177"/>
      <c r="Q60" s="177"/>
      <c r="R60" s="177"/>
      <c r="S60" s="177"/>
      <c r="T60" s="177"/>
      <c r="U60" s="177"/>
      <c r="V60" s="177"/>
      <c r="W60" s="177"/>
      <c r="X60" s="177"/>
      <c r="Y60" s="177"/>
      <c r="Z60" s="177"/>
      <c r="AA60" s="177"/>
      <c r="AB60" s="177"/>
      <c r="AC60" s="177"/>
      <c r="AD60" s="177"/>
    </row>
    <row r="61" spans="1:30" ht="15" thickTop="1" x14ac:dyDescent="0.35">
      <c r="A61" s="72" t="str">
        <f>'Baseline System Analysis'!A17</f>
        <v>Residential</v>
      </c>
      <c r="B61" s="72" t="str">
        <f>'Baseline System Analysis'!B17</f>
        <v>Cost of Reliability (N-1)</v>
      </c>
      <c r="C61" s="72" t="str">
        <f>'Baseline System Analysis'!C17</f>
        <v>$/kWh</v>
      </c>
      <c r="D61" s="4">
        <f>'Baseline System Analysis'!D17</f>
        <v>4.4933261328125003</v>
      </c>
      <c r="E61" s="4">
        <f>'Baseline System Analysis'!E17</f>
        <v>4.6056592861328127</v>
      </c>
      <c r="F61" s="4">
        <f>'Baseline System Analysis'!F17</f>
        <v>4.720800768286133</v>
      </c>
      <c r="G61" s="4">
        <f>'Baseline System Analysis'!G17</f>
        <v>4.8388207874932858</v>
      </c>
      <c r="H61" s="4">
        <f>'Baseline System Analysis'!H17</f>
        <v>4.9597913071806179</v>
      </c>
      <c r="I61" s="4">
        <f>'Baseline System Analysis'!I17</f>
        <v>5.0837860898601326</v>
      </c>
      <c r="J61" s="4">
        <f>'Baseline System Analysis'!J17</f>
        <v>5.2108807421066352</v>
      </c>
      <c r="K61" s="4">
        <f>'Baseline System Analysis'!K17</f>
        <v>5.341152760659301</v>
      </c>
      <c r="L61" s="4">
        <f>'Baseline System Analysis'!L17</f>
        <v>5.4746815796757833</v>
      </c>
      <c r="M61" s="4">
        <f>'Baseline System Analysis'!M17</f>
        <v>5.6115486191676771</v>
      </c>
      <c r="N61" s="4">
        <f>'Baseline System Analysis'!N17</f>
        <v>5.7518373346468685</v>
      </c>
      <c r="O61" s="4">
        <f>'Baseline System Analysis'!O17</f>
        <v>5.8956332680130394</v>
      </c>
      <c r="P61" s="4">
        <f>'Baseline System Analysis'!P17</f>
        <v>6.0430240997133646</v>
      </c>
      <c r="Q61" s="4">
        <f>'Baseline System Analysis'!Q17</f>
        <v>6.1940997022061985</v>
      </c>
      <c r="R61" s="4">
        <f>'Baseline System Analysis'!R17</f>
        <v>6.3489521947613525</v>
      </c>
      <c r="S61" s="4">
        <f>'Baseline System Analysis'!S17</f>
        <v>6.5076759996303855</v>
      </c>
      <c r="T61" s="4">
        <f>'Baseline System Analysis'!T17</f>
        <v>6.6703678996211444</v>
      </c>
      <c r="U61" s="4">
        <f>'Baseline System Analysis'!U17</f>
        <v>6.8371270971116722</v>
      </c>
      <c r="V61" s="4">
        <f>'Baseline System Analysis'!V17</f>
        <v>7.0080552745394638</v>
      </c>
      <c r="W61" s="4">
        <f>'Baseline System Analysis'!W17</f>
        <v>7.1832566564029499</v>
      </c>
      <c r="X61" s="4">
        <f>'Baseline System Analysis'!X17</f>
        <v>7.3628380728130232</v>
      </c>
      <c r="Y61" s="4">
        <f>'Baseline System Analysis'!Y17</f>
        <v>7.5469090246333481</v>
      </c>
      <c r="Z61" s="4">
        <f>'Baseline System Analysis'!Z17</f>
        <v>7.7355817502491808</v>
      </c>
      <c r="AA61" s="4">
        <f>'Baseline System Analysis'!AA17</f>
        <v>7.92897129400541</v>
      </c>
      <c r="AB61" s="4">
        <f>'Baseline System Analysis'!AB17</f>
        <v>8.127195576355545</v>
      </c>
      <c r="AC61" s="4">
        <f>'Baseline System Analysis'!AC17</f>
        <v>8.3303754657644333</v>
      </c>
      <c r="AD61" s="4">
        <f>'Baseline System Analysis'!AD17</f>
        <v>8.5386348524085438</v>
      </c>
    </row>
    <row r="62" spans="1:30" x14ac:dyDescent="0.35">
      <c r="A62" s="72" t="str">
        <f>'Baseline System Analysis'!A18</f>
        <v>Residential</v>
      </c>
      <c r="B62" s="72" t="str">
        <f>'Baseline System Analysis'!B18</f>
        <v>Cost of Reliability (N-0)</v>
      </c>
      <c r="C62" s="72" t="str">
        <f>'Baseline System Analysis'!C18</f>
        <v>$/kWh</v>
      </c>
      <c r="D62" s="4">
        <f>'Baseline System Analysis'!D18</f>
        <v>3.7920011132812497</v>
      </c>
      <c r="E62" s="4">
        <f>'Baseline System Analysis'!E18</f>
        <v>3.8868011411132808</v>
      </c>
      <c r="F62" s="4">
        <f>'Baseline System Analysis'!F18</f>
        <v>3.9839711696411126</v>
      </c>
      <c r="G62" s="4">
        <f>'Baseline System Analysis'!G18</f>
        <v>4.0835704488821403</v>
      </c>
      <c r="H62" s="4">
        <f>'Baseline System Analysis'!H18</f>
        <v>4.1856597101041935</v>
      </c>
      <c r="I62" s="4">
        <f>'Baseline System Analysis'!I18</f>
        <v>4.2903012028567975</v>
      </c>
      <c r="J62" s="4">
        <f>'Baseline System Analysis'!J18</f>
        <v>4.3975587329282169</v>
      </c>
      <c r="K62" s="4">
        <f>'Baseline System Analysis'!K18</f>
        <v>4.5074977012514221</v>
      </c>
      <c r="L62" s="4">
        <f>'Baseline System Analysis'!L18</f>
        <v>4.6201851437827068</v>
      </c>
      <c r="M62" s="4">
        <f>'Baseline System Analysis'!M18</f>
        <v>4.735689772377274</v>
      </c>
      <c r="N62" s="4">
        <f>'Baseline System Analysis'!N18</f>
        <v>4.8540820166867054</v>
      </c>
      <c r="O62" s="4">
        <f>'Baseline System Analysis'!O18</f>
        <v>4.9754340671038726</v>
      </c>
      <c r="P62" s="4">
        <f>'Baseline System Analysis'!P18</f>
        <v>5.0998199187814688</v>
      </c>
      <c r="Q62" s="4">
        <f>'Baseline System Analysis'!Q18</f>
        <v>5.2273154167510052</v>
      </c>
      <c r="R62" s="4">
        <f>'Baseline System Analysis'!R18</f>
        <v>5.3579983021697801</v>
      </c>
      <c r="S62" s="4">
        <f>'Baseline System Analysis'!S18</f>
        <v>5.4919482597240243</v>
      </c>
      <c r="T62" s="4">
        <f>'Baseline System Analysis'!T18</f>
        <v>5.6292469662171243</v>
      </c>
      <c r="U62" s="4">
        <f>'Baseline System Analysis'!U18</f>
        <v>5.7699781403725519</v>
      </c>
      <c r="V62" s="4">
        <f>'Baseline System Analysis'!V18</f>
        <v>5.9142275938818649</v>
      </c>
      <c r="W62" s="4">
        <f>'Baseline System Analysis'!W18</f>
        <v>6.0620832837289109</v>
      </c>
      <c r="X62" s="4">
        <f>'Baseline System Analysis'!X18</f>
        <v>6.2136353658221335</v>
      </c>
      <c r="Y62" s="4">
        <f>'Baseline System Analysis'!Y18</f>
        <v>6.3689762499676865</v>
      </c>
      <c r="Z62" s="4">
        <f>'Baseline System Analysis'!Z18</f>
        <v>6.5282006562168782</v>
      </c>
      <c r="AA62" s="4">
        <f>'Baseline System Analysis'!AA18</f>
        <v>6.6914056726222997</v>
      </c>
      <c r="AB62" s="4">
        <f>'Baseline System Analysis'!AB18</f>
        <v>6.8586908144378569</v>
      </c>
      <c r="AC62" s="4">
        <f>'Baseline System Analysis'!AC18</f>
        <v>7.0301580847988028</v>
      </c>
      <c r="AD62" s="4">
        <f>'Baseline System Analysis'!AD18</f>
        <v>7.2059120369187726</v>
      </c>
    </row>
    <row r="63" spans="1:30" x14ac:dyDescent="0.35">
      <c r="A63" s="72" t="str">
        <f>'Baseline System Analysis'!A19</f>
        <v>Commerical</v>
      </c>
      <c r="B63" s="72" t="str">
        <f>'Baseline System Analysis'!B19</f>
        <v>Cost of Reliability (N-1)</v>
      </c>
      <c r="C63" s="72" t="str">
        <f>'Baseline System Analysis'!C19</f>
        <v>$/kWh</v>
      </c>
      <c r="D63" s="4">
        <f>'Baseline System Analysis'!D19</f>
        <v>166.59767191406246</v>
      </c>
      <c r="E63" s="4">
        <f>'Baseline System Analysis'!E19</f>
        <v>170.76261371191401</v>
      </c>
      <c r="F63" s="4">
        <f>'Baseline System Analysis'!F19</f>
        <v>175.03167905471184</v>
      </c>
      <c r="G63" s="4">
        <f>'Baseline System Analysis'!G19</f>
        <v>179.40747103107964</v>
      </c>
      <c r="H63" s="4">
        <f>'Baseline System Analysis'!H19</f>
        <v>183.89265780685662</v>
      </c>
      <c r="I63" s="4">
        <f>'Baseline System Analysis'!I19</f>
        <v>188.48997425202802</v>
      </c>
      <c r="J63" s="4">
        <f>'Baseline System Analysis'!J19</f>
        <v>193.20222360832869</v>
      </c>
      <c r="K63" s="4">
        <f>'Baseline System Analysis'!K19</f>
        <v>198.03227919853688</v>
      </c>
      <c r="L63" s="4">
        <f>'Baseline System Analysis'!L19</f>
        <v>202.98308617850029</v>
      </c>
      <c r="M63" s="4">
        <f>'Baseline System Analysis'!M19</f>
        <v>208.05766333296279</v>
      </c>
      <c r="N63" s="4">
        <f>'Baseline System Analysis'!N19</f>
        <v>213.25910491628684</v>
      </c>
      <c r="O63" s="4">
        <f>'Baseline System Analysis'!O19</f>
        <v>218.590582539194</v>
      </c>
      <c r="P63" s="4">
        <f>'Baseline System Analysis'!P19</f>
        <v>224.05534710267384</v>
      </c>
      <c r="Q63" s="4">
        <f>'Baseline System Analysis'!Q19</f>
        <v>229.65673078024065</v>
      </c>
      <c r="R63" s="4">
        <f>'Baseline System Analysis'!R19</f>
        <v>235.39814904974665</v>
      </c>
      <c r="S63" s="4">
        <f>'Baseline System Analysis'!S19</f>
        <v>241.2831027759903</v>
      </c>
      <c r="T63" s="4">
        <f>'Baseline System Analysis'!T19</f>
        <v>247.31518034539005</v>
      </c>
      <c r="U63" s="4">
        <f>'Baseline System Analysis'!U19</f>
        <v>253.49805985402477</v>
      </c>
      <c r="V63" s="4">
        <f>'Baseline System Analysis'!V19</f>
        <v>259.83551135037538</v>
      </c>
      <c r="W63" s="4">
        <f>'Baseline System Analysis'!W19</f>
        <v>266.33139913413476</v>
      </c>
      <c r="X63" s="4">
        <f>'Baseline System Analysis'!X19</f>
        <v>272.98968411248808</v>
      </c>
      <c r="Y63" s="4">
        <f>'Baseline System Analysis'!Y19</f>
        <v>279.81442621530027</v>
      </c>
      <c r="Z63" s="4">
        <f>'Baseline System Analysis'!Z19</f>
        <v>286.80978687068273</v>
      </c>
      <c r="AA63" s="4">
        <f>'Baseline System Analysis'!AA19</f>
        <v>293.98003154244975</v>
      </c>
      <c r="AB63" s="4">
        <f>'Baseline System Analysis'!AB19</f>
        <v>301.32953233101097</v>
      </c>
      <c r="AC63" s="4">
        <f>'Baseline System Analysis'!AC19</f>
        <v>308.86277063928623</v>
      </c>
      <c r="AD63" s="4">
        <f>'Baseline System Analysis'!AD19</f>
        <v>316.58433990526834</v>
      </c>
    </row>
    <row r="64" spans="1:30" x14ac:dyDescent="0.35">
      <c r="A64" s="72" t="str">
        <f>'Baseline System Analysis'!A20</f>
        <v>Commerical</v>
      </c>
      <c r="B64" s="72" t="str">
        <f>'Baseline System Analysis'!B20</f>
        <v>Cost of Reliability (N-0)</v>
      </c>
      <c r="C64" s="72" t="str">
        <f>'Baseline System Analysis'!C20</f>
        <v>$/kWh</v>
      </c>
      <c r="D64" s="4">
        <f>'Baseline System Analysis'!D20</f>
        <v>153.83719106445315</v>
      </c>
      <c r="E64" s="4">
        <f>'Baseline System Analysis'!E20</f>
        <v>157.68312084106446</v>
      </c>
      <c r="F64" s="4">
        <f>'Baseline System Analysis'!F20</f>
        <v>161.62519886209105</v>
      </c>
      <c r="G64" s="4">
        <f>'Baseline System Analysis'!G20</f>
        <v>165.6658288336433</v>
      </c>
      <c r="H64" s="4">
        <f>'Baseline System Analysis'!H20</f>
        <v>169.80747455448437</v>
      </c>
      <c r="I64" s="4">
        <f>'Baseline System Analysis'!I20</f>
        <v>174.05266141834647</v>
      </c>
      <c r="J64" s="4">
        <f>'Baseline System Analysis'!J20</f>
        <v>178.40397795380511</v>
      </c>
      <c r="K64" s="4">
        <f>'Baseline System Analysis'!K20</f>
        <v>182.86407740265022</v>
      </c>
      <c r="L64" s="4">
        <f>'Baseline System Analysis'!L20</f>
        <v>187.43567933771646</v>
      </c>
      <c r="M64" s="4">
        <f>'Baseline System Analysis'!M20</f>
        <v>192.12157132115937</v>
      </c>
      <c r="N64" s="4">
        <f>'Baseline System Analysis'!N20</f>
        <v>196.92461060418833</v>
      </c>
      <c r="O64" s="4">
        <f>'Baseline System Analysis'!O20</f>
        <v>201.84772586929301</v>
      </c>
      <c r="P64" s="4">
        <f>'Baseline System Analysis'!P20</f>
        <v>206.89391901602534</v>
      </c>
      <c r="Q64" s="4">
        <f>'Baseline System Analysis'!Q20</f>
        <v>212.06626699142595</v>
      </c>
      <c r="R64" s="4">
        <f>'Baseline System Analysis'!R20</f>
        <v>217.36792366621157</v>
      </c>
      <c r="S64" s="4">
        <f>'Baseline System Analysis'!S20</f>
        <v>222.80212175786684</v>
      </c>
      <c r="T64" s="4">
        <f>'Baseline System Analysis'!T20</f>
        <v>228.37217480181349</v>
      </c>
      <c r="U64" s="4">
        <f>'Baseline System Analysis'!U20</f>
        <v>234.0814791718588</v>
      </c>
      <c r="V64" s="4">
        <f>'Baseline System Analysis'!V20</f>
        <v>239.93351615115526</v>
      </c>
      <c r="W64" s="4">
        <f>'Baseline System Analysis'!W20</f>
        <v>245.93185405493412</v>
      </c>
      <c r="X64" s="4">
        <f>'Baseline System Analysis'!X20</f>
        <v>252.08015040630744</v>
      </c>
      <c r="Y64" s="4">
        <f>'Baseline System Analysis'!Y20</f>
        <v>258.38215416646511</v>
      </c>
      <c r="Z64" s="4">
        <f>'Baseline System Analysis'!Z20</f>
        <v>264.8417080206267</v>
      </c>
      <c r="AA64" s="4">
        <f>'Baseline System Analysis'!AA20</f>
        <v>271.46275072114236</v>
      </c>
      <c r="AB64" s="4">
        <f>'Baseline System Analysis'!AB20</f>
        <v>278.24931948917089</v>
      </c>
      <c r="AC64" s="4">
        <f>'Baseline System Analysis'!AC20</f>
        <v>285.20555247640016</v>
      </c>
      <c r="AD64" s="4">
        <f>'Baseline System Analysis'!AD20</f>
        <v>292.33569128831016</v>
      </c>
    </row>
    <row r="66" spans="1:30" x14ac:dyDescent="0.35">
      <c r="A66" s="72" t="s">
        <v>117</v>
      </c>
      <c r="B66" s="72" t="s">
        <v>31</v>
      </c>
      <c r="C66" s="18">
        <f>NPV('Cost Assumptions'!$B$3,D66:AD66)</f>
        <v>34143.207027077427</v>
      </c>
      <c r="D66" s="4">
        <f>'Baseline System Analysis'!D24-D35</f>
        <v>85.467055666139231</v>
      </c>
      <c r="E66" s="4">
        <f>'Baseline System Analysis'!E24-E35</f>
        <v>-38.570120586914072</v>
      </c>
      <c r="F66" s="4">
        <f>'Baseline System Analysis'!F24-F35</f>
        <v>-162.6072968399676</v>
      </c>
      <c r="G66" s="4">
        <f>'Baseline System Analysis'!G24-G35</f>
        <v>-286.64447309302159</v>
      </c>
      <c r="H66" s="4">
        <f>'Baseline System Analysis'!H24-H35</f>
        <v>-410.68164934607557</v>
      </c>
      <c r="I66" s="4">
        <f>'Baseline System Analysis'!I24-I35</f>
        <v>-534.71882559912774</v>
      </c>
      <c r="J66" s="4">
        <f>'Baseline System Analysis'!J24-J35</f>
        <v>-658.75600185218173</v>
      </c>
      <c r="K66" s="4">
        <f>'Baseline System Analysis'!K24-K35</f>
        <v>-1572.2209183654504</v>
      </c>
      <c r="L66" s="4">
        <f>'Baseline System Analysis'!L24-L35</f>
        <v>-1299.1265165287841</v>
      </c>
      <c r="M66" s="4">
        <f>'Baseline System Analysis'!M24-M35</f>
        <v>-1202.7397104637585</v>
      </c>
      <c r="N66" s="4">
        <f>'Baseline System Analysis'!N24-N35</f>
        <v>-1056.4556606256465</v>
      </c>
      <c r="O66" s="4">
        <f>'Baseline System Analysis'!O24-O35</f>
        <v>1671.6038953372336</v>
      </c>
      <c r="P66" s="4">
        <f>'Baseline System Analysis'!P24-P35</f>
        <v>993.47922227187519</v>
      </c>
      <c r="Q66" s="4">
        <f>'Baseline System Analysis'!Q24-Q35</f>
        <v>315.35454920651682</v>
      </c>
      <c r="R66" s="4">
        <f>'Baseline System Analysis'!R24-R35</f>
        <v>-362.77012385884154</v>
      </c>
      <c r="S66" s="4">
        <f>'Baseline System Analysis'!S24-S35</f>
        <v>-1040.8947969242072</v>
      </c>
      <c r="T66" s="4">
        <f>'Baseline System Analysis'!T24-T35</f>
        <v>-1719.0194699895728</v>
      </c>
      <c r="U66" s="4">
        <f>'Baseline System Analysis'!U24-U35</f>
        <v>4040.5971902026795</v>
      </c>
      <c r="V66" s="4">
        <f>'Baseline System Analysis'!V24-V35</f>
        <v>9800.21385039491</v>
      </c>
      <c r="W66" s="4">
        <f>'Baseline System Analysis'!W24-W35</f>
        <v>15559.83051058714</v>
      </c>
      <c r="X66" s="4">
        <f>'Baseline System Analysis'!X24-X35</f>
        <v>21319.447170779371</v>
      </c>
      <c r="Y66" s="4">
        <f>'Baseline System Analysis'!Y24-Y35</f>
        <v>27079.063830971601</v>
      </c>
      <c r="Z66" s="4">
        <f>'Baseline System Analysis'!Z24-Z35</f>
        <v>37562.495116897771</v>
      </c>
      <c r="AA66" s="4">
        <f>'Baseline System Analysis'!AA24-AA35</f>
        <v>48045.926402823883</v>
      </c>
      <c r="AB66" s="4">
        <f>'Baseline System Analysis'!AB24-AB35</f>
        <v>58529.357688750024</v>
      </c>
      <c r="AC66" s="4">
        <f>'Baseline System Analysis'!AC24-AC35</f>
        <v>69012.788974676165</v>
      </c>
      <c r="AD66" s="4">
        <f>'Baseline System Analysis'!AD24-AD35</f>
        <v>79496.220260602364</v>
      </c>
    </row>
    <row r="67" spans="1:30" x14ac:dyDescent="0.35">
      <c r="A67" s="72" t="s">
        <v>119</v>
      </c>
      <c r="B67" s="72" t="s">
        <v>31</v>
      </c>
      <c r="C67" s="18">
        <f>NPV('Cost Assumptions'!$B$3,D67:AD67)</f>
        <v>141676.75371356108</v>
      </c>
      <c r="D67" s="4">
        <f>'Baseline System Analysis'!D25-D36</f>
        <v>354.64433632821692</v>
      </c>
      <c r="E67" s="4">
        <f>'Baseline System Analysis'!E25-E36</f>
        <v>-160.04616879606328</v>
      </c>
      <c r="F67" s="4">
        <f>'Baseline System Analysis'!F25-F36</f>
        <v>-674.73667392034622</v>
      </c>
      <c r="G67" s="4">
        <f>'Baseline System Analysis'!G25-G36</f>
        <v>-1189.4271790446255</v>
      </c>
      <c r="H67" s="4">
        <f>'Baseline System Analysis'!H25-H36</f>
        <v>-1704.1176841689012</v>
      </c>
      <c r="I67" s="4">
        <f>'Baseline System Analysis'!I25-I36</f>
        <v>-2218.8081892931805</v>
      </c>
      <c r="J67" s="4">
        <f>'Baseline System Analysis'!J25-J36</f>
        <v>-2733.498694417467</v>
      </c>
      <c r="K67" s="4">
        <f>'Baseline System Analysis'!K25-K36</f>
        <v>-6523.9084207268679</v>
      </c>
      <c r="L67" s="4">
        <f>'Baseline System Analysis'!L25-L36</f>
        <v>-5390.7070703416684</v>
      </c>
      <c r="M67" s="4">
        <f>'Baseline System Analysis'!M25-M36</f>
        <v>-4990.7513844776477</v>
      </c>
      <c r="N67" s="4">
        <f>'Baseline System Analysis'!N25-N36</f>
        <v>-4383.7477926738648</v>
      </c>
      <c r="O67" s="4">
        <f>'Baseline System Analysis'!O25-O36</f>
        <v>6936.2966753095388</v>
      </c>
      <c r="P67" s="4">
        <f>'Baseline System Analysis'!P25-P36</f>
        <v>4122.4279541674769</v>
      </c>
      <c r="Q67" s="4">
        <f>'Baseline System Analysis'!Q25-Q36</f>
        <v>1308.5592330254149</v>
      </c>
      <c r="R67" s="4">
        <f>'Baseline System Analysis'!R25-R36</f>
        <v>-1505.3094881166471</v>
      </c>
      <c r="S67" s="4">
        <f>'Baseline System Analysis'!S25-S36</f>
        <v>-4319.1782092587091</v>
      </c>
      <c r="T67" s="4">
        <f>'Baseline System Analysis'!T25-T36</f>
        <v>-7133.0469304008002</v>
      </c>
      <c r="U67" s="4">
        <f>'Baseline System Analysis'!U25-U36</f>
        <v>16766.400781217089</v>
      </c>
      <c r="V67" s="4">
        <f>'Baseline System Analysis'!V25-V36</f>
        <v>40665.84849283495</v>
      </c>
      <c r="W67" s="4">
        <f>'Baseline System Analysis'!W25-W36</f>
        <v>64565.29620445281</v>
      </c>
      <c r="X67" s="4">
        <f>'Baseline System Analysis'!X25-X36</f>
        <v>88464.743916070671</v>
      </c>
      <c r="Y67" s="4">
        <f>'Baseline System Analysis'!Y25-Y36</f>
        <v>112364.19162768847</v>
      </c>
      <c r="Z67" s="4">
        <f>'Baseline System Analysis'!Z25-Z36</f>
        <v>155865.04118734784</v>
      </c>
      <c r="AA67" s="4">
        <f>'Baseline System Analysis'!AA25-AA36</f>
        <v>199365.89074700733</v>
      </c>
      <c r="AB67" s="4">
        <f>'Baseline System Analysis'!AB25-AB36</f>
        <v>242866.74030666659</v>
      </c>
      <c r="AC67" s="4">
        <f>'Baseline System Analysis'!AC25-AC36</f>
        <v>286367.58986632596</v>
      </c>
      <c r="AD67" s="4">
        <f>'Baseline System Analysis'!AD25-AD36</f>
        <v>329868.43942598533</v>
      </c>
    </row>
    <row r="68" spans="1:30" x14ac:dyDescent="0.35">
      <c r="A68" s="72" t="s">
        <v>24</v>
      </c>
      <c r="B68" s="72" t="s">
        <v>31</v>
      </c>
      <c r="C68" s="18">
        <f>NPV('Cost Assumptions'!$B$3,D68:AD68)</f>
        <v>175819.96074063852</v>
      </c>
      <c r="D68" s="4">
        <f>SUM(D66:D67)</f>
        <v>440.11139199435615</v>
      </c>
      <c r="E68" s="4">
        <f t="shared" ref="E68:AD68" si="15">SUM(E66:E67)</f>
        <v>-198.61628938297736</v>
      </c>
      <c r="F68" s="4">
        <f t="shared" si="15"/>
        <v>-837.34397076031382</v>
      </c>
      <c r="G68" s="4">
        <f t="shared" si="15"/>
        <v>-1476.0716521376471</v>
      </c>
      <c r="H68" s="4">
        <f t="shared" si="15"/>
        <v>-2114.7993335149768</v>
      </c>
      <c r="I68" s="4">
        <f t="shared" si="15"/>
        <v>-2753.5270148923082</v>
      </c>
      <c r="J68" s="4">
        <f t="shared" si="15"/>
        <v>-3392.2546962696488</v>
      </c>
      <c r="K68" s="4">
        <f t="shared" si="15"/>
        <v>-8096.1293390923183</v>
      </c>
      <c r="L68" s="4">
        <f t="shared" si="15"/>
        <v>-6689.8335868704526</v>
      </c>
      <c r="M68" s="4">
        <f t="shared" si="15"/>
        <v>-6193.4910949414061</v>
      </c>
      <c r="N68" s="4">
        <f t="shared" si="15"/>
        <v>-5440.2034532995112</v>
      </c>
      <c r="O68" s="4">
        <f t="shared" si="15"/>
        <v>8607.9005706467724</v>
      </c>
      <c r="P68" s="4">
        <f t="shared" si="15"/>
        <v>5115.907176439352</v>
      </c>
      <c r="Q68" s="4">
        <f t="shared" si="15"/>
        <v>1623.9137822319317</v>
      </c>
      <c r="R68" s="4">
        <f t="shared" si="15"/>
        <v>-1868.0796119754887</v>
      </c>
      <c r="S68" s="4">
        <f t="shared" si="15"/>
        <v>-5360.0730061829163</v>
      </c>
      <c r="T68" s="4">
        <f t="shared" si="15"/>
        <v>-8852.066400390373</v>
      </c>
      <c r="U68" s="4">
        <f t="shared" si="15"/>
        <v>20806.997971419769</v>
      </c>
      <c r="V68" s="4">
        <f t="shared" si="15"/>
        <v>50466.06234322986</v>
      </c>
      <c r="W68" s="4">
        <f t="shared" si="15"/>
        <v>80125.126715039951</v>
      </c>
      <c r="X68" s="4">
        <f t="shared" si="15"/>
        <v>109784.19108685004</v>
      </c>
      <c r="Y68" s="4">
        <f t="shared" si="15"/>
        <v>139443.25545866007</v>
      </c>
      <c r="Z68" s="4">
        <f t="shared" si="15"/>
        <v>193427.53630424562</v>
      </c>
      <c r="AA68" s="4">
        <f t="shared" si="15"/>
        <v>247411.81714983121</v>
      </c>
      <c r="AB68" s="4">
        <f t="shared" si="15"/>
        <v>301396.09799541661</v>
      </c>
      <c r="AC68" s="4">
        <f t="shared" si="15"/>
        <v>355380.37884100212</v>
      </c>
      <c r="AD68" s="4">
        <f t="shared" si="15"/>
        <v>409364.65968658769</v>
      </c>
    </row>
    <row r="69" spans="1:30" x14ac:dyDescent="0.35">
      <c r="A69" s="72"/>
      <c r="B69" s="72"/>
      <c r="C69" s="72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</row>
    <row r="70" spans="1:30" x14ac:dyDescent="0.35">
      <c r="A70" s="72" t="s">
        <v>120</v>
      </c>
      <c r="B70" s="72" t="s">
        <v>31</v>
      </c>
      <c r="C70" s="18">
        <f>NPV('Cost Assumptions'!$B$3,D70:AD70)</f>
        <v>22277652.244320095</v>
      </c>
      <c r="D70" s="53">
        <f>'Baseline System Analysis'!D28-D33</f>
        <v>160311.2620318876</v>
      </c>
      <c r="E70" s="53">
        <f>'Baseline System Analysis'!E28-E33</f>
        <v>426681.41358302307</v>
      </c>
      <c r="F70" s="53">
        <f>'Baseline System Analysis'!F28-F33</f>
        <v>622797.58403751405</v>
      </c>
      <c r="G70" s="53">
        <f>'Baseline System Analysis'!G28-G33</f>
        <v>833710.68965832237</v>
      </c>
      <c r="H70" s="53">
        <f>'Baseline System Analysis'!H28-H33</f>
        <v>1064544.9637495263</v>
      </c>
      <c r="I70" s="53">
        <f>'Baseline System Analysis'!I28-I33</f>
        <v>1155248.1483230039</v>
      </c>
      <c r="J70" s="53">
        <f>'Baseline System Analysis'!J28-J33</f>
        <v>1567795.6535710837</v>
      </c>
      <c r="K70" s="53">
        <f>'Baseline System Analysis'!K28-K33</f>
        <v>1347745.4554885479</v>
      </c>
      <c r="L70" s="53">
        <f>'Baseline System Analysis'!L28-L33</f>
        <v>1143199.8672408643</v>
      </c>
      <c r="M70" s="53">
        <f>'Baseline System Analysis'!M28-M33</f>
        <v>1340230.0479167867</v>
      </c>
      <c r="N70" s="53">
        <f>'Baseline System Analysis'!N28-N33</f>
        <v>1211871.2277846751</v>
      </c>
      <c r="O70" s="53">
        <f>'Baseline System Analysis'!O28-O33</f>
        <v>1844840.0090543826</v>
      </c>
      <c r="P70" s="53">
        <f>'Baseline System Analysis'!P28-P33</f>
        <v>2356895.0256503327</v>
      </c>
      <c r="Q70" s="53">
        <f>'Baseline System Analysis'!Q28-Q33</f>
        <v>2752240.7792296447</v>
      </c>
      <c r="R70" s="53">
        <f>'Baseline System Analysis'!R28-R33</f>
        <v>3112959.3920374792</v>
      </c>
      <c r="S70" s="53">
        <f>'Baseline System Analysis'!S28-S33</f>
        <v>3866030.048087935</v>
      </c>
      <c r="T70" s="53">
        <f>'Baseline System Analysis'!T28-T33</f>
        <v>4800043.3764840001</v>
      </c>
      <c r="U70" s="53">
        <f>'Baseline System Analysis'!U28-U33</f>
        <v>5605356.4974824116</v>
      </c>
      <c r="V70" s="53">
        <f>'Baseline System Analysis'!V28-V33</f>
        <v>6860802.8013497852</v>
      </c>
      <c r="W70" s="53">
        <f>'Baseline System Analysis'!W28-W33</f>
        <v>7814963.1205262523</v>
      </c>
      <c r="X70" s="53">
        <f>'Baseline System Analysis'!X28-X33</f>
        <v>9098538.4333289359</v>
      </c>
      <c r="Y70" s="53">
        <f>'Baseline System Analysis'!Y28-Y33</f>
        <v>10359467.232179718</v>
      </c>
      <c r="Z70" s="53">
        <f>'Baseline System Analysis'!Z28-Z33</f>
        <v>11559971.084899511</v>
      </c>
      <c r="AA70" s="53">
        <f>'Baseline System Analysis'!AA28-AA33</f>
        <v>12621132.112799585</v>
      </c>
      <c r="AB70" s="53">
        <f>'Baseline System Analysis'!AB28-AB33</f>
        <v>13802655.638854891</v>
      </c>
      <c r="AC70" s="53">
        <f>'Baseline System Analysis'!AC28-AC33</f>
        <v>14699632.829903409</v>
      </c>
      <c r="AD70" s="53">
        <f>'Baseline System Analysis'!AD28-AD33</f>
        <v>15264592.223335855</v>
      </c>
    </row>
    <row r="71" spans="1:30" x14ac:dyDescent="0.35">
      <c r="A71" s="72" t="s">
        <v>121</v>
      </c>
      <c r="B71" s="72" t="s">
        <v>31</v>
      </c>
      <c r="C71" s="18">
        <f>NPV('Cost Assumptions'!$B$3,D71:AD71)</f>
        <v>102260344.92434242</v>
      </c>
      <c r="D71" s="53">
        <f>'Baseline System Analysis'!D29-D34</f>
        <v>903346.68264248176</v>
      </c>
      <c r="E71" s="53">
        <f>'Baseline System Analysis'!E29-E34</f>
        <v>2253380.2014470203</v>
      </c>
      <c r="F71" s="53">
        <f>'Baseline System Analysis'!F29-F34</f>
        <v>3310518.2522157584</v>
      </c>
      <c r="G71" s="53">
        <f>'Baseline System Analysis'!G29-G34</f>
        <v>4447479.3478986584</v>
      </c>
      <c r="H71" s="53">
        <f>'Baseline System Analysis'!H29-H34</f>
        <v>5587189.795765399</v>
      </c>
      <c r="I71" s="53">
        <f>'Baseline System Analysis'!I29-I34</f>
        <v>5454549.1605001325</v>
      </c>
      <c r="J71" s="53">
        <f>'Baseline System Analysis'!J29-J34</f>
        <v>7543147.8061243081</v>
      </c>
      <c r="K71" s="53">
        <f>'Baseline System Analysis'!K29-K34</f>
        <v>6412592.364404032</v>
      </c>
      <c r="L71" s="53">
        <f>'Baseline System Analysis'!L29-L34</f>
        <v>5385232.8797742622</v>
      </c>
      <c r="M71" s="53">
        <f>'Baseline System Analysis'!M29-M34</f>
        <v>6340117.1212563487</v>
      </c>
      <c r="N71" s="53">
        <f>'Baseline System Analysis'!N29-N34</f>
        <v>6361112.9189538537</v>
      </c>
      <c r="O71" s="53">
        <f>'Baseline System Analysis'!O29-O34</f>
        <v>8895771.1264487375</v>
      </c>
      <c r="P71" s="53">
        <f>'Baseline System Analysis'!P29-P34</f>
        <v>11481103.835917845</v>
      </c>
      <c r="Q71" s="53">
        <f>'Baseline System Analysis'!Q29-Q34</f>
        <v>12843987.910857875</v>
      </c>
      <c r="R71" s="53">
        <f>'Baseline System Analysis'!R29-R34</f>
        <v>13698596.18827603</v>
      </c>
      <c r="S71" s="53">
        <f>'Baseline System Analysis'!S29-S34</f>
        <v>17199347.660875205</v>
      </c>
      <c r="T71" s="53">
        <f>'Baseline System Analysis'!T29-T34</f>
        <v>21372792.810114369</v>
      </c>
      <c r="U71" s="53">
        <f>'Baseline System Analysis'!U29-U34</f>
        <v>24257449.061312743</v>
      </c>
      <c r="V71" s="53">
        <f>'Baseline System Analysis'!V29-V34</f>
        <v>29623484.035008814</v>
      </c>
      <c r="W71" s="53">
        <f>'Baseline System Analysis'!W29-W34</f>
        <v>33670014.911610723</v>
      </c>
      <c r="X71" s="53">
        <f>'Baseline System Analysis'!X29-X34</f>
        <v>38532801.595575318</v>
      </c>
      <c r="Y71" s="53">
        <f>'Baseline System Analysis'!Y29-Y34</f>
        <v>44228764.459273726</v>
      </c>
      <c r="Z71" s="53">
        <f>'Baseline System Analysis'!Z29-Z34</f>
        <v>50286583.672062546</v>
      </c>
      <c r="AA71" s="53">
        <f>'Baseline System Analysis'!AA29-AA34</f>
        <v>55878170.667765625</v>
      </c>
      <c r="AB71" s="53">
        <f>'Baseline System Analysis'!AB29-AB34</f>
        <v>62357409.414620131</v>
      </c>
      <c r="AC71" s="53">
        <f>'Baseline System Analysis'!AC29-AC34</f>
        <v>67170738.814538732</v>
      </c>
      <c r="AD71" s="53">
        <f>'Baseline System Analysis'!AD29-AD34</f>
        <v>70247543.929487929</v>
      </c>
    </row>
    <row r="72" spans="1:30" x14ac:dyDescent="0.35">
      <c r="A72" s="72" t="s">
        <v>24</v>
      </c>
      <c r="B72" s="72" t="s">
        <v>31</v>
      </c>
      <c r="C72" s="18">
        <f>NPV('Cost Assumptions'!$B$3,D72:AD72)</f>
        <v>124537997.16866253</v>
      </c>
      <c r="D72" s="53">
        <f>SUM(D70:D71)</f>
        <v>1063657.9446743694</v>
      </c>
      <c r="E72" s="53">
        <f t="shared" ref="E72:AD72" si="16">SUM(E70:E71)</f>
        <v>2680061.6150300433</v>
      </c>
      <c r="F72" s="53">
        <f t="shared" si="16"/>
        <v>3933315.8362532724</v>
      </c>
      <c r="G72" s="53">
        <f t="shared" si="16"/>
        <v>5281190.0375569807</v>
      </c>
      <c r="H72" s="53">
        <f t="shared" si="16"/>
        <v>6651734.7595149251</v>
      </c>
      <c r="I72" s="53">
        <f t="shared" si="16"/>
        <v>6609797.3088231366</v>
      </c>
      <c r="J72" s="53">
        <f t="shared" si="16"/>
        <v>9110943.4596953914</v>
      </c>
      <c r="K72" s="53">
        <f t="shared" si="16"/>
        <v>7760337.8198925797</v>
      </c>
      <c r="L72" s="53">
        <f t="shared" si="16"/>
        <v>6528432.747015126</v>
      </c>
      <c r="M72" s="53">
        <f t="shared" si="16"/>
        <v>7680347.1691731354</v>
      </c>
      <c r="N72" s="53">
        <f t="shared" si="16"/>
        <v>7572984.1467385292</v>
      </c>
      <c r="O72" s="53">
        <f t="shared" si="16"/>
        <v>10740611.135503121</v>
      </c>
      <c r="P72" s="53">
        <f t="shared" si="16"/>
        <v>13837998.861568179</v>
      </c>
      <c r="Q72" s="53">
        <f t="shared" si="16"/>
        <v>15596228.69008752</v>
      </c>
      <c r="R72" s="53">
        <f t="shared" si="16"/>
        <v>16811555.580313511</v>
      </c>
      <c r="S72" s="53">
        <f t="shared" si="16"/>
        <v>21065377.708963141</v>
      </c>
      <c r="T72" s="53">
        <f t="shared" si="16"/>
        <v>26172836.186598368</v>
      </c>
      <c r="U72" s="53">
        <f t="shared" si="16"/>
        <v>29862805.558795154</v>
      </c>
      <c r="V72" s="53">
        <f t="shared" si="16"/>
        <v>36484286.836358599</v>
      </c>
      <c r="W72" s="53">
        <f t="shared" si="16"/>
        <v>41484978.032136977</v>
      </c>
      <c r="X72" s="53">
        <f t="shared" si="16"/>
        <v>47631340.028904252</v>
      </c>
      <c r="Y72" s="53">
        <f t="shared" si="16"/>
        <v>54588231.691453442</v>
      </c>
      <c r="Z72" s="53">
        <f t="shared" si="16"/>
        <v>61846554.756962061</v>
      </c>
      <c r="AA72" s="53">
        <f t="shared" si="16"/>
        <v>68499302.780565202</v>
      </c>
      <c r="AB72" s="53">
        <f t="shared" si="16"/>
        <v>76160065.053475022</v>
      </c>
      <c r="AC72" s="53">
        <f t="shared" si="16"/>
        <v>81870371.644442141</v>
      </c>
      <c r="AD72" s="53">
        <f t="shared" si="16"/>
        <v>85512136.152823776</v>
      </c>
    </row>
    <row r="74" spans="1:30" x14ac:dyDescent="0.35">
      <c r="A74" s="72" t="s">
        <v>117</v>
      </c>
      <c r="B74" s="72" t="s">
        <v>144</v>
      </c>
      <c r="C74" s="18">
        <f>NPV('Cost Assumptions'!$B$3,D74:AD74)</f>
        <v>207361752.67986608</v>
      </c>
      <c r="D74" s="53">
        <f>ABS((D50*D61*1000*'Cost Assumptions'!$B$6)/'Cost Assumptions'!$B$14)</f>
        <v>6621897.8890077285</v>
      </c>
      <c r="E74" s="53">
        <f>ABS((E50*E61*1000*'Cost Assumptions'!$B$6)/'Cost Assumptions'!$B$14)</f>
        <v>9025240.0833087191</v>
      </c>
      <c r="F74" s="53">
        <f>ABS((F50*F61*1000*'Cost Assumptions'!$B$6)/'Cost Assumptions'!$B$14)</f>
        <v>11544610.701144125</v>
      </c>
      <c r="G74" s="53">
        <f>ABS((G50*G61*1000*'Cost Assumptions'!$B$6)/'Cost Assumptions'!$B$14)</f>
        <v>14184309.074819231</v>
      </c>
      <c r="H74" s="53">
        <f>ABS((H50*H61*1000*'Cost Assumptions'!$B$6)/'Cost Assumptions'!$B$14)</f>
        <v>16948776.985489886</v>
      </c>
      <c r="I74" s="53">
        <f>ABS((I50*I61*1000*'Cost Assumptions'!$B$6)/'Cost Assumptions'!$B$14)</f>
        <v>19842603.098522302</v>
      </c>
      <c r="J74" s="53">
        <f>ABS((J50*J61*1000*'Cost Assumptions'!$B$6)/'Cost Assumptions'!$B$14)</f>
        <v>22870527.531590406</v>
      </c>
      <c r="K74" s="53">
        <f>ABS((K50*K61*1000*'Cost Assumptions'!$B$6)/'Cost Assumptions'!$B$14)</f>
        <v>22841542.609588388</v>
      </c>
      <c r="L74" s="53">
        <f>ABS((L50*L61*1000*'Cost Assumptions'!$B$6)/'Cost Assumptions'!$B$14)</f>
        <v>22796814.361779023</v>
      </c>
      <c r="M74" s="53">
        <f>ABS((M50*M61*1000*'Cost Assumptions'!$B$6)/'Cost Assumptions'!$B$14)</f>
        <v>18201663.851003204</v>
      </c>
      <c r="N74" s="53">
        <f>ABS((N50*N61*1000*'Cost Assumptions'!$B$6)/'Cost Assumptions'!$B$14)</f>
        <v>22078347.206995543</v>
      </c>
      <c r="O74" s="53">
        <f>ABS((O50*O61*1000*'Cost Assumptions'!$B$6)/'Cost Assumptions'!$B$14)</f>
        <v>27489608.933048781</v>
      </c>
      <c r="P74" s="53">
        <f>ABS((P50*P61*1000*'Cost Assumptions'!$B$6)/'Cost Assumptions'!$B$14)</f>
        <v>29252436.534241784</v>
      </c>
      <c r="Q74" s="53">
        <f>ABS((Q50*Q61*1000*'Cost Assumptions'!$B$6)/'Cost Assumptions'!$B$14)</f>
        <v>31086224.509911269</v>
      </c>
      <c r="R74" s="53">
        <f>ABS((R50*R61*1000*'Cost Assumptions'!$B$6)/'Cost Assumptions'!$B$14)</f>
        <v>32993419.11153033</v>
      </c>
      <c r="S74" s="53">
        <f>ABS((S50*S61*1000*'Cost Assumptions'!$B$6)/'Cost Assumptions'!$B$14)</f>
        <v>34976544.552911662</v>
      </c>
      <c r="T74" s="53">
        <f>ABS((T50*T61*1000*'Cost Assumptions'!$B$6)/'Cost Assumptions'!$B$14)</f>
        <v>37038205.379417345</v>
      </c>
      <c r="U74" s="53">
        <f>ABS((U50*U61*1000*'Cost Assumptions'!$B$6)/'Cost Assumptions'!$B$14)</f>
        <v>39181088.90690273</v>
      </c>
      <c r="V74" s="53">
        <f>ABS((V50*V61*1000*'Cost Assumptions'!$B$6)/'Cost Assumptions'!$B$14)</f>
        <v>41407967.732400253</v>
      </c>
      <c r="W74" s="53">
        <f>ABS((W50*W61*1000*'Cost Assumptions'!$B$6)/'Cost Assumptions'!$B$14)</f>
        <v>43721702.318605848</v>
      </c>
      <c r="X74" s="53">
        <f>ABS((X50*X61*1000*'Cost Assumptions'!$B$6)/'Cost Assumptions'!$B$14)</f>
        <v>46125243.654288985</v>
      </c>
      <c r="Y74" s="53">
        <f>ABS((Y50*Y61*1000*'Cost Assumptions'!$B$6)/'Cost Assumptions'!$B$14)</f>
        <v>48621635.992807105</v>
      </c>
      <c r="Z74" s="53">
        <f>ABS((Z50*Z61*1000*'Cost Assumptions'!$B$6)/'Cost Assumptions'!$B$14)</f>
        <v>51214019.670967244</v>
      </c>
      <c r="AA74" s="53">
        <f>ABS((AA50*AA61*1000*'Cost Assumptions'!$B$6)/'Cost Assumptions'!$B$14)</f>
        <v>53905634.010539882</v>
      </c>
      <c r="AB74" s="53">
        <f>ABS((AB50*AB61*1000*'Cost Assumptions'!$B$6)/'Cost Assumptions'!$B$14)</f>
        <v>56699820.304796793</v>
      </c>
      <c r="AC74" s="53">
        <f>ABS((AC50*AC61*1000*'Cost Assumptions'!$B$6)/'Cost Assumptions'!$B$14)</f>
        <v>59600024.892509967</v>
      </c>
      <c r="AD74" s="53">
        <f>ABS((AD50*AD61*1000*'Cost Assumptions'!$B$6)/'Cost Assumptions'!$B$14)</f>
        <v>62609802.321918212</v>
      </c>
    </row>
    <row r="75" spans="1:30" x14ac:dyDescent="0.35">
      <c r="A75" s="72" t="s">
        <v>119</v>
      </c>
      <c r="B75" s="72" t="s">
        <v>144</v>
      </c>
      <c r="C75" s="18">
        <f>NPV('Cost Assumptions'!$B$3,D75:AD75)</f>
        <v>854254218.59947979</v>
      </c>
      <c r="D75" s="53">
        <f>ABS((D50*D63*1000*'Cost Assumptions'!$B$7)/'Cost Assumptions'!$B$14)</f>
        <v>27279785.8511209</v>
      </c>
      <c r="E75" s="53">
        <f>ABS((E50*E63*1000*'Cost Assumptions'!$B$7)/'Cost Assumptions'!$B$14)</f>
        <v>37180672.498184308</v>
      </c>
      <c r="F75" s="53">
        <f>ABS((F50*F63*1000*'Cost Assumptions'!$B$7)/'Cost Assumptions'!$B$14)</f>
        <v>47559553.611443922</v>
      </c>
      <c r="G75" s="53">
        <f>ABS((G50*G63*1000*'Cost Assumptions'!$B$7)/'Cost Assumptions'!$B$14)</f>
        <v>58434140.860055134</v>
      </c>
      <c r="H75" s="53">
        <f>ABS((H50*H63*1000*'Cost Assumptions'!$B$7)/'Cost Assumptions'!$B$14)</f>
        <v>69822732.750089809</v>
      </c>
      <c r="I75" s="53">
        <f>ABS((I50*I63*1000*'Cost Assumptions'!$B$7)/'Cost Assumptions'!$B$14)</f>
        <v>81744232.896588638</v>
      </c>
      <c r="J75" s="53">
        <f>ABS((J50*J63*1000*'Cost Assumptions'!$B$7)/'Cost Assumptions'!$B$14)</f>
        <v>94218168.842443585</v>
      </c>
      <c r="K75" s="53">
        <f>ABS((K50*K63*1000*'Cost Assumptions'!$B$7)/'Cost Assumptions'!$B$14)</f>
        <v>94098761.615334406</v>
      </c>
      <c r="L75" s="53">
        <f>ABS((L50*L63*1000*'Cost Assumptions'!$B$7)/'Cost Assumptions'!$B$14)</f>
        <v>93914497.671343237</v>
      </c>
      <c r="M75" s="53">
        <f>ABS((M50*M63*1000*'Cost Assumptions'!$B$7)/'Cost Assumptions'!$B$14)</f>
        <v>74984166.218223035</v>
      </c>
      <c r="N75" s="53">
        <f>ABS((N50*N63*1000*'Cost Assumptions'!$B$7)/'Cost Assumptions'!$B$14)</f>
        <v>90954677.019911468</v>
      </c>
      <c r="O75" s="53">
        <f>ABS((O50*O63*1000*'Cost Assumptions'!$B$7)/'Cost Assumptions'!$B$14)</f>
        <v>113247086.77092011</v>
      </c>
      <c r="P75" s="53">
        <f>ABS((P50*P63*1000*'Cost Assumptions'!$B$7)/'Cost Assumptions'!$B$14)</f>
        <v>120509288.67421708</v>
      </c>
      <c r="Q75" s="53">
        <f>ABS((Q50*Q63*1000*'Cost Assumptions'!$B$7)/'Cost Assumptions'!$B$14)</f>
        <v>128063821.24344707</v>
      </c>
      <c r="R75" s="53">
        <f>ABS((R50*R63*1000*'Cost Assumptions'!$B$7)/'Cost Assumptions'!$B$14)</f>
        <v>135920762.13571715</v>
      </c>
      <c r="S75" s="53">
        <f>ABS((S50*S63*1000*'Cost Assumptions'!$B$7)/'Cost Assumptions'!$B$14)</f>
        <v>144090510.18432361</v>
      </c>
      <c r="T75" s="53">
        <f>ABS((T50*T63*1000*'Cost Assumptions'!$B$7)/'Cost Assumptions'!$B$14)</f>
        <v>152583795.15902558</v>
      </c>
      <c r="U75" s="53">
        <f>ABS((U50*U63*1000*'Cost Assumptions'!$B$7)/'Cost Assumptions'!$B$14)</f>
        <v>161411687.81359744</v>
      </c>
      <c r="V75" s="53">
        <f>ABS((V50*V63*1000*'Cost Assumptions'!$B$7)/'Cost Assumptions'!$B$14)</f>
        <v>170585610.22892344</v>
      </c>
      <c r="W75" s="53">
        <f>ABS((W50*W63*1000*'Cost Assumptions'!$B$7)/'Cost Assumptions'!$B$14)</f>
        <v>180117346.46013233</v>
      </c>
      <c r="X75" s="53">
        <f>ABS((X50*X63*1000*'Cost Assumptions'!$B$7)/'Cost Assumptions'!$B$14)</f>
        <v>190019053.49650857</v>
      </c>
      <c r="Y75" s="53">
        <f>ABS((Y50*Y63*1000*'Cost Assumptions'!$B$7)/'Cost Assumptions'!$B$14)</f>
        <v>200303272.54316595</v>
      </c>
      <c r="Z75" s="53">
        <f>ABS((Z50*Z63*1000*'Cost Assumptions'!$B$7)/'Cost Assumptions'!$B$14)</f>
        <v>210982940.63372093</v>
      </c>
      <c r="AA75" s="53">
        <f>ABS((AA50*AA63*1000*'Cost Assumptions'!$B$7)/'Cost Assumptions'!$B$14)</f>
        <v>222071402.58346424</v>
      </c>
      <c r="AB75" s="53">
        <f>ABS((AB50*AB63*1000*'Cost Assumptions'!$B$7)/'Cost Assumptions'!$B$14)</f>
        <v>233582423.29279867</v>
      </c>
      <c r="AC75" s="53">
        <f>ABS((AC50*AC63*1000*'Cost Assumptions'!$B$7)/'Cost Assumptions'!$B$14)</f>
        <v>245530200.41098502</v>
      </c>
      <c r="AD75" s="53">
        <f>ABS((AD50*AD63*1000*'Cost Assumptions'!$B$7)/'Cost Assumptions'!$B$14)</f>
        <v>257929377.3705225</v>
      </c>
    </row>
    <row r="76" spans="1:30" x14ac:dyDescent="0.35">
      <c r="A76" s="72" t="s">
        <v>24</v>
      </c>
      <c r="B76" s="72" t="s">
        <v>144</v>
      </c>
      <c r="C76" s="18">
        <f>NPV('Cost Assumptions'!$B$3,D76:AD76)</f>
        <v>1061615971.279346</v>
      </c>
      <c r="D76" s="53">
        <f>SUM(D74:D75)</f>
        <v>33901683.740128629</v>
      </c>
      <c r="E76" s="53">
        <f t="shared" ref="E76:AD76" si="17">SUM(E74:E75)</f>
        <v>46205912.581493028</v>
      </c>
      <c r="F76" s="53">
        <f t="shared" si="17"/>
        <v>59104164.312588051</v>
      </c>
      <c r="G76" s="53">
        <f t="shared" si="17"/>
        <v>72618449.934874371</v>
      </c>
      <c r="H76" s="53">
        <f t="shared" si="17"/>
        <v>86771509.735579699</v>
      </c>
      <c r="I76" s="53">
        <f t="shared" si="17"/>
        <v>101586835.99511094</v>
      </c>
      <c r="J76" s="53">
        <f t="shared" si="17"/>
        <v>117088696.37403399</v>
      </c>
      <c r="K76" s="53">
        <f t="shared" si="17"/>
        <v>116940304.22492279</v>
      </c>
      <c r="L76" s="53">
        <f t="shared" si="17"/>
        <v>116711312.03312226</v>
      </c>
      <c r="M76" s="53">
        <f t="shared" si="17"/>
        <v>93185830.069226235</v>
      </c>
      <c r="N76" s="53">
        <f t="shared" si="17"/>
        <v>113033024.22690701</v>
      </c>
      <c r="O76" s="53">
        <f t="shared" si="17"/>
        <v>140736695.70396888</v>
      </c>
      <c r="P76" s="53">
        <f t="shared" si="17"/>
        <v>149761725.20845887</v>
      </c>
      <c r="Q76" s="53">
        <f t="shared" si="17"/>
        <v>159150045.75335833</v>
      </c>
      <c r="R76" s="53">
        <f t="shared" si="17"/>
        <v>168914181.24724749</v>
      </c>
      <c r="S76" s="53">
        <f t="shared" si="17"/>
        <v>179067054.73723528</v>
      </c>
      <c r="T76" s="53">
        <f t="shared" si="17"/>
        <v>189622000.53844291</v>
      </c>
      <c r="U76" s="53">
        <f t="shared" si="17"/>
        <v>200592776.72050017</v>
      </c>
      <c r="V76" s="53">
        <f t="shared" si="17"/>
        <v>211993577.96132368</v>
      </c>
      <c r="W76" s="53">
        <f t="shared" si="17"/>
        <v>223839048.77873817</v>
      </c>
      <c r="X76" s="53">
        <f t="shared" si="17"/>
        <v>236144297.15079755</v>
      </c>
      <c r="Y76" s="53">
        <f t="shared" si="17"/>
        <v>248924908.53597307</v>
      </c>
      <c r="Z76" s="53">
        <f t="shared" si="17"/>
        <v>262196960.30468819</v>
      </c>
      <c r="AA76" s="53">
        <f t="shared" si="17"/>
        <v>275977036.59400409</v>
      </c>
      <c r="AB76" s="53">
        <f t="shared" si="17"/>
        <v>290282243.59759545</v>
      </c>
      <c r="AC76" s="53">
        <f t="shared" si="17"/>
        <v>305130225.30349499</v>
      </c>
      <c r="AD76" s="53">
        <f t="shared" si="17"/>
        <v>320539179.69244069</v>
      </c>
    </row>
    <row r="77" spans="1:30" x14ac:dyDescent="0.35">
      <c r="A77" s="72"/>
      <c r="B77" s="72"/>
      <c r="C77" s="18"/>
      <c r="D77" s="53"/>
      <c r="E77" s="53"/>
      <c r="F77" s="53"/>
      <c r="G77" s="53"/>
      <c r="H77" s="53"/>
      <c r="I77" s="53"/>
      <c r="J77" s="53"/>
      <c r="K77" s="53"/>
      <c r="L77" s="53"/>
      <c r="M77" s="53"/>
      <c r="N77" s="53"/>
      <c r="O77" s="53"/>
      <c r="P77" s="53"/>
      <c r="Q77" s="53"/>
      <c r="R77" s="53"/>
      <c r="S77" s="53"/>
      <c r="T77" s="53"/>
      <c r="U77" s="53"/>
      <c r="V77" s="53"/>
      <c r="W77" s="53"/>
      <c r="X77" s="53"/>
      <c r="Y77" s="53"/>
      <c r="Z77" s="53"/>
      <c r="AA77" s="53"/>
      <c r="AB77" s="53"/>
      <c r="AC77" s="53"/>
      <c r="AD77" s="53"/>
    </row>
    <row r="78" spans="1:30" x14ac:dyDescent="0.35">
      <c r="A78" s="72" t="s">
        <v>117</v>
      </c>
      <c r="B78" s="72" t="s">
        <v>152</v>
      </c>
      <c r="C78" s="18">
        <f>NPV('Cost Assumptions'!$B$3,D78:AD78)</f>
        <v>0</v>
      </c>
      <c r="D78" s="53">
        <f>ABS(((MIN(ABS(D51),'Baseline System Analysis'!D14)*D62*1000*'Cost Assumptions'!$B$6)*'Cost Assumptions'!$B$13))</f>
        <v>0</v>
      </c>
      <c r="E78" s="53">
        <f>ABS(((MIN(ABS(E51),'Baseline System Analysis'!E14)*E62*1000*'Cost Assumptions'!$B$6)*'Cost Assumptions'!$B$13))</f>
        <v>0</v>
      </c>
      <c r="F78" s="53">
        <f>ABS(((MIN(ABS(F51),'Baseline System Analysis'!F14)*F62*1000*'Cost Assumptions'!$B$6)*'Cost Assumptions'!$B$13))</f>
        <v>0</v>
      </c>
      <c r="G78" s="53">
        <f>ABS(((MIN(ABS(G51),'Baseline System Analysis'!G14)*G62*1000*'Cost Assumptions'!$B$6)*'Cost Assumptions'!$B$13))</f>
        <v>0</v>
      </c>
      <c r="H78" s="53">
        <f>ABS(((MIN(ABS(H51),'Baseline System Analysis'!H14)*H62*1000*'Cost Assumptions'!$B$6)*'Cost Assumptions'!$B$13))</f>
        <v>0</v>
      </c>
      <c r="I78" s="53">
        <f>ABS(((MIN(ABS(I51),'Baseline System Analysis'!I14)*I62*1000*'Cost Assumptions'!$B$6)*'Cost Assumptions'!$B$13))</f>
        <v>0</v>
      </c>
      <c r="J78" s="53">
        <f>ABS(((MIN(ABS(J51),'Baseline System Analysis'!J14)*J62*1000*'Cost Assumptions'!$B$6)*'Cost Assumptions'!$B$13))</f>
        <v>0</v>
      </c>
      <c r="K78" s="53">
        <f>ABS(((MIN(ABS(K51),'Baseline System Analysis'!K14)*K62*1000*'Cost Assumptions'!$B$6)*'Cost Assumptions'!$B$13))</f>
        <v>0</v>
      </c>
      <c r="L78" s="53">
        <f>ABS(((MIN(ABS(L51),'Baseline System Analysis'!L14)*L62*1000*'Cost Assumptions'!$B$6)*'Cost Assumptions'!$B$13))</f>
        <v>0</v>
      </c>
      <c r="M78" s="53">
        <f>ABS(((MIN(ABS(M51),'Baseline System Analysis'!M14)*M62*1000*'Cost Assumptions'!$B$6)*'Cost Assumptions'!$B$13))</f>
        <v>0</v>
      </c>
      <c r="N78" s="53">
        <f>ABS(((MIN(ABS(N51),'Baseline System Analysis'!N14)*N62*1000*'Cost Assumptions'!$B$6)*'Cost Assumptions'!$B$13))</f>
        <v>0</v>
      </c>
      <c r="O78" s="53">
        <f>ABS(((MIN(ABS(O51),'Baseline System Analysis'!O14)*O62*1000*'Cost Assumptions'!$B$6)*'Cost Assumptions'!$B$13))</f>
        <v>0</v>
      </c>
      <c r="P78" s="53">
        <f>ABS(((MIN(ABS(P51),'Baseline System Analysis'!P14)*P62*1000*'Cost Assumptions'!$B$6)*'Cost Assumptions'!$B$13))</f>
        <v>0</v>
      </c>
      <c r="Q78" s="53">
        <f>ABS(((MIN(ABS(Q51),'Baseline System Analysis'!Q14)*Q62*1000*'Cost Assumptions'!$B$6)*'Cost Assumptions'!$B$13))</f>
        <v>0</v>
      </c>
      <c r="R78" s="53">
        <f>ABS(((MIN(ABS(R51),'Baseline System Analysis'!R14)*R62*1000*'Cost Assumptions'!$B$6)*'Cost Assumptions'!$B$13))</f>
        <v>0</v>
      </c>
      <c r="S78" s="53">
        <f>ABS(((MIN(ABS(S51),'Baseline System Analysis'!S14)*S62*1000*'Cost Assumptions'!$B$6)*'Cost Assumptions'!$B$13))</f>
        <v>0</v>
      </c>
      <c r="T78" s="53">
        <f>ABS(((MIN(ABS(T51),'Baseline System Analysis'!T14)*T62*1000*'Cost Assumptions'!$B$6)*'Cost Assumptions'!$B$13))</f>
        <v>0</v>
      </c>
      <c r="U78" s="53">
        <f>ABS(((MIN(ABS(U51),'Baseline System Analysis'!U14)*U62*1000*'Cost Assumptions'!$B$6)*'Cost Assumptions'!$B$13))</f>
        <v>0</v>
      </c>
      <c r="V78" s="53">
        <f>ABS(((MIN(ABS(V51),'Baseline System Analysis'!V14)*V62*1000*'Cost Assumptions'!$B$6)*'Cost Assumptions'!$B$13))</f>
        <v>0</v>
      </c>
      <c r="W78" s="53">
        <f>ABS(((MIN(ABS(W51),'Baseline System Analysis'!W14)*W62*1000*'Cost Assumptions'!$B$6)*'Cost Assumptions'!$B$13))</f>
        <v>0</v>
      </c>
      <c r="X78" s="53">
        <f>ABS(((MIN(ABS(X51),'Baseline System Analysis'!X14)*X62*1000*'Cost Assumptions'!$B$6)*'Cost Assumptions'!$B$13))</f>
        <v>0</v>
      </c>
      <c r="Y78" s="53">
        <f>ABS(((MIN(ABS(Y51),'Baseline System Analysis'!Y14)*Y62*1000*'Cost Assumptions'!$B$6)*'Cost Assumptions'!$B$13))</f>
        <v>0</v>
      </c>
      <c r="Z78" s="53">
        <f>ABS(((MIN(ABS(Z51),'Baseline System Analysis'!Z14)*Z62*1000*'Cost Assumptions'!$B$6)*'Cost Assumptions'!$B$13))</f>
        <v>0</v>
      </c>
      <c r="AA78" s="53">
        <f>ABS(((MIN(ABS(AA51),'Baseline System Analysis'!AA14)*AA62*1000*'Cost Assumptions'!$B$6)*'Cost Assumptions'!$B$13))</f>
        <v>0</v>
      </c>
      <c r="AB78" s="53">
        <f>ABS(((MIN(ABS(AB51),'Baseline System Analysis'!AB14)*AB62*1000*'Cost Assumptions'!$B$6)*'Cost Assumptions'!$B$13))</f>
        <v>0</v>
      </c>
      <c r="AC78" s="53">
        <f>ABS(((MIN(ABS(AC51),'Baseline System Analysis'!AC14)*AC62*1000*'Cost Assumptions'!$B$6)*'Cost Assumptions'!$B$13))</f>
        <v>0</v>
      </c>
      <c r="AD78" s="53">
        <f>ABS(((MIN(ABS(AD51),'Baseline System Analysis'!AD14)*AD62*1000*'Cost Assumptions'!$B$6)*'Cost Assumptions'!$B$13))</f>
        <v>0</v>
      </c>
    </row>
    <row r="79" spans="1:30" x14ac:dyDescent="0.35">
      <c r="A79" s="72" t="s">
        <v>119</v>
      </c>
      <c r="B79" s="72" t="s">
        <v>152</v>
      </c>
      <c r="C79" s="18">
        <f>NPV('Cost Assumptions'!$B$3,D79:AD79)</f>
        <v>0</v>
      </c>
      <c r="D79" s="53">
        <f>ABS(((MIN(ABS(D51),'Baseline System Analysis'!D14)*D64*1000*'Cost Assumptions'!$B$6)*'Cost Assumptions'!$B$13))</f>
        <v>0</v>
      </c>
      <c r="E79" s="53">
        <f>ABS(((MIN(ABS(E51),'Baseline System Analysis'!E14)*E64*1000*'Cost Assumptions'!$B$6)*'Cost Assumptions'!$B$13))</f>
        <v>0</v>
      </c>
      <c r="F79" s="53">
        <f>ABS(((MIN(ABS(F51),'Baseline System Analysis'!F14)*F64*1000*'Cost Assumptions'!$B$6)*'Cost Assumptions'!$B$13))</f>
        <v>0</v>
      </c>
      <c r="G79" s="53">
        <f>ABS(((MIN(ABS(G51),'Baseline System Analysis'!G14)*G64*1000*'Cost Assumptions'!$B$6)*'Cost Assumptions'!$B$13))</f>
        <v>0</v>
      </c>
      <c r="H79" s="53">
        <f>ABS(((MIN(ABS(H51),'Baseline System Analysis'!H14)*H64*1000*'Cost Assumptions'!$B$6)*'Cost Assumptions'!$B$13))</f>
        <v>0</v>
      </c>
      <c r="I79" s="53">
        <f>ABS(((MIN(ABS(I51),'Baseline System Analysis'!I14)*I64*1000*'Cost Assumptions'!$B$6)*'Cost Assumptions'!$B$13))</f>
        <v>0</v>
      </c>
      <c r="J79" s="53">
        <f>ABS(((MIN(ABS(J51),'Baseline System Analysis'!J14)*J64*1000*'Cost Assumptions'!$B$6)*'Cost Assumptions'!$B$13))</f>
        <v>0</v>
      </c>
      <c r="K79" s="53">
        <f>ABS(((MIN(ABS(K51),'Baseline System Analysis'!K14)*K64*1000*'Cost Assumptions'!$B$6)*'Cost Assumptions'!$B$13))</f>
        <v>0</v>
      </c>
      <c r="L79" s="53">
        <f>ABS(((MIN(ABS(L51),'Baseline System Analysis'!L14)*L64*1000*'Cost Assumptions'!$B$6)*'Cost Assumptions'!$B$13))</f>
        <v>0</v>
      </c>
      <c r="M79" s="53">
        <f>ABS(((MIN(ABS(M51),'Baseline System Analysis'!M14)*M64*1000*'Cost Assumptions'!$B$6)*'Cost Assumptions'!$B$13))</f>
        <v>0</v>
      </c>
      <c r="N79" s="53">
        <f>ABS(((MIN(ABS(N51),'Baseline System Analysis'!N14)*N64*1000*'Cost Assumptions'!$B$6)*'Cost Assumptions'!$B$13))</f>
        <v>0</v>
      </c>
      <c r="O79" s="53">
        <f>ABS(((MIN(ABS(O51),'Baseline System Analysis'!O14)*O64*1000*'Cost Assumptions'!$B$6)*'Cost Assumptions'!$B$13))</f>
        <v>0</v>
      </c>
      <c r="P79" s="53">
        <f>ABS(((MIN(ABS(P51),'Baseline System Analysis'!P14)*P64*1000*'Cost Assumptions'!$B$6)*'Cost Assumptions'!$B$13))</f>
        <v>0</v>
      </c>
      <c r="Q79" s="53">
        <f>ABS(((MIN(ABS(Q51),'Baseline System Analysis'!Q14)*Q64*1000*'Cost Assumptions'!$B$6)*'Cost Assumptions'!$B$13))</f>
        <v>0</v>
      </c>
      <c r="R79" s="53">
        <f>ABS(((MIN(ABS(R51),'Baseline System Analysis'!R14)*R64*1000*'Cost Assumptions'!$B$6)*'Cost Assumptions'!$B$13))</f>
        <v>0</v>
      </c>
      <c r="S79" s="53">
        <f>ABS(((MIN(ABS(S51),'Baseline System Analysis'!S14)*S64*1000*'Cost Assumptions'!$B$6)*'Cost Assumptions'!$B$13))</f>
        <v>0</v>
      </c>
      <c r="T79" s="53">
        <f>ABS(((MIN(ABS(T51),'Baseline System Analysis'!T14)*T64*1000*'Cost Assumptions'!$B$6)*'Cost Assumptions'!$B$13))</f>
        <v>0</v>
      </c>
      <c r="U79" s="53">
        <f>ABS(((MIN(ABS(U51),'Baseline System Analysis'!U14)*U64*1000*'Cost Assumptions'!$B$6)*'Cost Assumptions'!$B$13))</f>
        <v>0</v>
      </c>
      <c r="V79" s="53">
        <f>ABS(((MIN(ABS(V51),'Baseline System Analysis'!V14)*V64*1000*'Cost Assumptions'!$B$6)*'Cost Assumptions'!$B$13))</f>
        <v>0</v>
      </c>
      <c r="W79" s="53">
        <f>ABS(((MIN(ABS(W51),'Baseline System Analysis'!W14)*W64*1000*'Cost Assumptions'!$B$6)*'Cost Assumptions'!$B$13))</f>
        <v>0</v>
      </c>
      <c r="X79" s="53">
        <f>ABS(((MIN(ABS(X51),'Baseline System Analysis'!X14)*X64*1000*'Cost Assumptions'!$B$6)*'Cost Assumptions'!$B$13))</f>
        <v>0</v>
      </c>
      <c r="Y79" s="53">
        <f>ABS(((MIN(ABS(Y51),'Baseline System Analysis'!Y14)*Y64*1000*'Cost Assumptions'!$B$6)*'Cost Assumptions'!$B$13))</f>
        <v>0</v>
      </c>
      <c r="Z79" s="53">
        <f>ABS(((MIN(ABS(Z51),'Baseline System Analysis'!Z14)*Z64*1000*'Cost Assumptions'!$B$6)*'Cost Assumptions'!$B$13))</f>
        <v>0</v>
      </c>
      <c r="AA79" s="53">
        <f>ABS(((MIN(ABS(AA51),'Baseline System Analysis'!AA14)*AA64*1000*'Cost Assumptions'!$B$6)*'Cost Assumptions'!$B$13))</f>
        <v>0</v>
      </c>
      <c r="AB79" s="53">
        <f>ABS(((MIN(ABS(AB51),'Baseline System Analysis'!AB14)*AB64*1000*'Cost Assumptions'!$B$6)*'Cost Assumptions'!$B$13))</f>
        <v>0</v>
      </c>
      <c r="AC79" s="53">
        <f>ABS(((MIN(ABS(AC51),'Baseline System Analysis'!AC14)*AC64*1000*'Cost Assumptions'!$B$6)*'Cost Assumptions'!$B$13))</f>
        <v>0</v>
      </c>
      <c r="AD79" s="53">
        <f>ABS(((MIN(ABS(AD51),'Baseline System Analysis'!AD14)*AD64*1000*'Cost Assumptions'!$B$6)*'Cost Assumptions'!$B$13))</f>
        <v>0</v>
      </c>
    </row>
    <row r="80" spans="1:30" s="52" customFormat="1" ht="29" x14ac:dyDescent="0.35">
      <c r="A80" s="3" t="s">
        <v>146</v>
      </c>
      <c r="B80" s="72" t="s">
        <v>152</v>
      </c>
      <c r="C80" s="18">
        <f>NPV('Cost Assumptions'!$B$3,D80:AD80)</f>
        <v>0</v>
      </c>
      <c r="D80" s="53">
        <f>SUM(D78:D79)</f>
        <v>0</v>
      </c>
      <c r="E80" s="53">
        <f t="shared" ref="E80:AD80" si="18">SUM(E78:E79)</f>
        <v>0</v>
      </c>
      <c r="F80" s="53">
        <f t="shared" si="18"/>
        <v>0</v>
      </c>
      <c r="G80" s="53">
        <f t="shared" si="18"/>
        <v>0</v>
      </c>
      <c r="H80" s="53">
        <f t="shared" si="18"/>
        <v>0</v>
      </c>
      <c r="I80" s="53">
        <f t="shared" si="18"/>
        <v>0</v>
      </c>
      <c r="J80" s="53">
        <f t="shared" si="18"/>
        <v>0</v>
      </c>
      <c r="K80" s="53">
        <f t="shared" si="18"/>
        <v>0</v>
      </c>
      <c r="L80" s="53">
        <f t="shared" si="18"/>
        <v>0</v>
      </c>
      <c r="M80" s="53">
        <f t="shared" si="18"/>
        <v>0</v>
      </c>
      <c r="N80" s="53">
        <f t="shared" si="18"/>
        <v>0</v>
      </c>
      <c r="O80" s="53">
        <f t="shared" si="18"/>
        <v>0</v>
      </c>
      <c r="P80" s="53">
        <f t="shared" si="18"/>
        <v>0</v>
      </c>
      <c r="Q80" s="53">
        <f t="shared" si="18"/>
        <v>0</v>
      </c>
      <c r="R80" s="53">
        <f t="shared" si="18"/>
        <v>0</v>
      </c>
      <c r="S80" s="53">
        <f t="shared" si="18"/>
        <v>0</v>
      </c>
      <c r="T80" s="53">
        <f t="shared" si="18"/>
        <v>0</v>
      </c>
      <c r="U80" s="53">
        <f t="shared" si="18"/>
        <v>0</v>
      </c>
      <c r="V80" s="53">
        <f t="shared" si="18"/>
        <v>0</v>
      </c>
      <c r="W80" s="53">
        <f t="shared" si="18"/>
        <v>0</v>
      </c>
      <c r="X80" s="53">
        <f t="shared" si="18"/>
        <v>0</v>
      </c>
      <c r="Y80" s="53">
        <f t="shared" si="18"/>
        <v>0</v>
      </c>
      <c r="Z80" s="53">
        <f t="shared" si="18"/>
        <v>0</v>
      </c>
      <c r="AA80" s="53">
        <f t="shared" si="18"/>
        <v>0</v>
      </c>
      <c r="AB80" s="53">
        <f t="shared" si="18"/>
        <v>0</v>
      </c>
      <c r="AC80" s="53">
        <f t="shared" si="18"/>
        <v>0</v>
      </c>
      <c r="AD80" s="53">
        <f t="shared" si="18"/>
        <v>0</v>
      </c>
    </row>
    <row r="81" spans="1:30" s="52" customFormat="1" x14ac:dyDescent="0.35">
      <c r="A81" s="3"/>
      <c r="B81" s="72"/>
      <c r="C81" s="18"/>
      <c r="D81" s="53"/>
      <c r="E81" s="53"/>
      <c r="F81" s="53"/>
      <c r="G81" s="53"/>
      <c r="H81" s="53"/>
      <c r="I81" s="53"/>
      <c r="J81" s="53"/>
      <c r="K81" s="53"/>
      <c r="L81" s="53"/>
      <c r="M81" s="53"/>
      <c r="N81" s="53"/>
      <c r="O81" s="53"/>
      <c r="P81" s="53"/>
      <c r="Q81" s="53"/>
      <c r="R81" s="53"/>
      <c r="S81" s="53"/>
      <c r="T81" s="53"/>
      <c r="U81" s="53"/>
      <c r="V81" s="53"/>
      <c r="W81" s="53"/>
      <c r="X81" s="53"/>
      <c r="Y81" s="53"/>
      <c r="Z81" s="53"/>
      <c r="AA81" s="53"/>
      <c r="AB81" s="53"/>
      <c r="AC81" s="53"/>
      <c r="AD81" s="53"/>
    </row>
    <row r="82" spans="1:30" s="52" customFormat="1" ht="29" x14ac:dyDescent="0.35">
      <c r="A82" s="3" t="s">
        <v>147</v>
      </c>
      <c r="B82" s="72" t="s">
        <v>148</v>
      </c>
      <c r="C82" s="18">
        <f>NPV('Cost Assumptions'!$B$3,D82:AD82)</f>
        <v>158850774.45155588</v>
      </c>
      <c r="D82" s="53">
        <f>('Baseline System Analysis'!D42-D37)</f>
        <v>11220634.218776356</v>
      </c>
      <c r="E82" s="53">
        <f>('Baseline System Analysis'!E42-E37)</f>
        <v>12144918.158391396</v>
      </c>
      <c r="F82" s="53">
        <f>('Baseline System Analysis'!F42-F37)</f>
        <v>12786910.250911316</v>
      </c>
      <c r="G82" s="53">
        <f>('Baseline System Analysis'!G42-G37)</f>
        <v>13549003.839093808</v>
      </c>
      <c r="H82" s="53">
        <f>('Baseline System Analysis'!H42-H37)</f>
        <v>14198581.058293991</v>
      </c>
      <c r="I82" s="53">
        <f>('Baseline System Analysis'!I42-I37)</f>
        <v>15000915.705759082</v>
      </c>
      <c r="J82" s="53">
        <f>('Baseline System Analysis'!J42-J37)</f>
        <v>15909014.271733448</v>
      </c>
      <c r="K82" s="53">
        <f>('Baseline System Analysis'!K42-K37)</f>
        <v>15943271.595302396</v>
      </c>
      <c r="L82" s="53">
        <f>('Baseline System Analysis'!L42-L37)</f>
        <v>15999716.407154804</v>
      </c>
      <c r="M82" s="53">
        <f>('Baseline System Analysis'!M42-M37)</f>
        <v>16077364.969675282</v>
      </c>
      <c r="N82" s="53">
        <f>('Baseline System Analysis'!N42-N37)</f>
        <v>17017237.489677273</v>
      </c>
      <c r="O82" s="53">
        <f>('Baseline System Analysis'!O42-O37)</f>
        <v>18089024.979813445</v>
      </c>
      <c r="P82" s="53">
        <f>('Baseline System Analysis'!P42-P37)</f>
        <v>19073573.17911505</v>
      </c>
      <c r="Q82" s="53">
        <f>('Baseline System Analysis'!Q42-Q37)</f>
        <v>20183246.853354089</v>
      </c>
      <c r="R82" s="53">
        <f>('Baseline System Analysis'!R42-R37)</f>
        <v>21490829.702122267</v>
      </c>
      <c r="S82" s="53">
        <f>('Baseline System Analysis'!S42-S37)</f>
        <v>22579839.787277065</v>
      </c>
      <c r="T82" s="53">
        <f>('Baseline System Analysis'!T42-T37)</f>
        <v>23724942.355195578</v>
      </c>
      <c r="U82" s="53">
        <f>('Baseline System Analysis'!U42-U37)</f>
        <v>24911056.93055214</v>
      </c>
      <c r="V82" s="53">
        <f>('Baseline System Analysis'!V42-V37)</f>
        <v>26196805.959472567</v>
      </c>
      <c r="W82" s="53">
        <f>('Baseline System Analysis'!W42-W37)</f>
        <v>27625844.33481878</v>
      </c>
      <c r="X82" s="53">
        <f>('Baseline System Analysis'!X42-X37)</f>
        <v>29110039.048498206</v>
      </c>
      <c r="Y82" s="53">
        <f>('Baseline System Analysis'!Y42-Y37)</f>
        <v>30411440.882966798</v>
      </c>
      <c r="Z82" s="53">
        <f>('Baseline System Analysis'!Z42-Z37)</f>
        <v>31944711.584258407</v>
      </c>
      <c r="AA82" s="53">
        <f>('Baseline System Analysis'!AA42-AA37)</f>
        <v>33332991.330264848</v>
      </c>
      <c r="AB82" s="53">
        <f>('Baseline System Analysis'!AB42-AB37)</f>
        <v>34748837.665194772</v>
      </c>
      <c r="AC82" s="53">
        <f>('Baseline System Analysis'!AC42-AC37)</f>
        <v>36032493.52792114</v>
      </c>
      <c r="AD82" s="53">
        <f>('Baseline System Analysis'!AD42-AD37)</f>
        <v>37232773.532337174</v>
      </c>
    </row>
    <row r="84" spans="1:30" s="52" customFormat="1" ht="20" thickBot="1" x14ac:dyDescent="0.5">
      <c r="A84" s="134" t="s">
        <v>61</v>
      </c>
      <c r="B84" s="134"/>
      <c r="C84" s="18">
        <f>NPV('Cost Assumptions'!$B$3,D84:AD84)/1000000</f>
        <v>1345.1805628603049</v>
      </c>
      <c r="D84" s="53">
        <f>SUM(D68,D72,D76,D80,D82)</f>
        <v>46186416.014971346</v>
      </c>
      <c r="E84" s="53">
        <f t="shared" ref="E84:AD84" si="19">SUM(E68,E72,E76,E80,E82)</f>
        <v>61030693.738625079</v>
      </c>
      <c r="F84" s="53">
        <f t="shared" si="19"/>
        <v>75823553.055781871</v>
      </c>
      <c r="G84" s="53">
        <f t="shared" si="19"/>
        <v>91447167.739873022</v>
      </c>
      <c r="H84" s="53">
        <f t="shared" si="19"/>
        <v>107619710.75405511</v>
      </c>
      <c r="I84" s="53">
        <f t="shared" si="19"/>
        <v>123194795.48267826</v>
      </c>
      <c r="J84" s="53">
        <f t="shared" si="19"/>
        <v>142105261.85076654</v>
      </c>
      <c r="K84" s="53">
        <f t="shared" si="19"/>
        <v>140635817.51077867</v>
      </c>
      <c r="L84" s="53">
        <f t="shared" si="19"/>
        <v>139232771.35370532</v>
      </c>
      <c r="M84" s="53">
        <f t="shared" si="19"/>
        <v>116937348.71697971</v>
      </c>
      <c r="N84" s="53">
        <f t="shared" si="19"/>
        <v>137617805.65986952</v>
      </c>
      <c r="O84" s="53">
        <f t="shared" si="19"/>
        <v>169574939.71985611</v>
      </c>
      <c r="P84" s="53">
        <f t="shared" si="19"/>
        <v>182678413.15631855</v>
      </c>
      <c r="Q84" s="53">
        <f t="shared" si="19"/>
        <v>194931145.2105822</v>
      </c>
      <c r="R84" s="53">
        <f t="shared" si="19"/>
        <v>207214698.45007131</v>
      </c>
      <c r="S84" s="53">
        <f t="shared" si="19"/>
        <v>222706912.16046932</v>
      </c>
      <c r="T84" s="53">
        <f t="shared" si="19"/>
        <v>239510927.01383647</v>
      </c>
      <c r="U84" s="53">
        <f t="shared" si="19"/>
        <v>255387446.20781887</v>
      </c>
      <c r="V84" s="53">
        <f t="shared" si="19"/>
        <v>274725136.81949806</v>
      </c>
      <c r="W84" s="53">
        <f t="shared" si="19"/>
        <v>293029996.27240896</v>
      </c>
      <c r="X84" s="53">
        <f t="shared" si="19"/>
        <v>312995460.41928685</v>
      </c>
      <c r="Y84" s="53">
        <f t="shared" si="19"/>
        <v>334064024.365852</v>
      </c>
      <c r="Z84" s="53">
        <f t="shared" si="19"/>
        <v>356181654.18221295</v>
      </c>
      <c r="AA84" s="53">
        <f t="shared" si="19"/>
        <v>378056742.52198398</v>
      </c>
      <c r="AB84" s="53">
        <f t="shared" si="19"/>
        <v>401492542.41426063</v>
      </c>
      <c r="AC84" s="53">
        <f t="shared" si="19"/>
        <v>423388470.85469925</v>
      </c>
      <c r="AD84" s="53">
        <f t="shared" si="19"/>
        <v>443693454.03728825</v>
      </c>
    </row>
    <row r="85" spans="1:30" s="52" customFormat="1" ht="20.5" thickTop="1" thickBot="1" x14ac:dyDescent="0.5">
      <c r="A85" s="134" t="s">
        <v>149</v>
      </c>
      <c r="B85" s="134"/>
      <c r="C85" s="18">
        <f>NPV('Cost Assumptions'!$B$3,D85:AD85)/1000000</f>
        <v>1345.5677325234594</v>
      </c>
      <c r="D85" s="53">
        <f>D84+D44</f>
        <v>46199968.014971308</v>
      </c>
      <c r="E85" s="53">
        <f t="shared" ref="E85:AD85" si="20">E84+E44</f>
        <v>61045761.199201971</v>
      </c>
      <c r="F85" s="53">
        <f t="shared" si="20"/>
        <v>75840203.279964536</v>
      </c>
      <c r="G85" s="53">
        <f t="shared" si="20"/>
        <v>91465470.448678881</v>
      </c>
      <c r="H85" s="53">
        <f t="shared" si="20"/>
        <v>107639738.16532521</v>
      </c>
      <c r="I85" s="53">
        <f t="shared" si="20"/>
        <v>123216622.39234282</v>
      </c>
      <c r="J85" s="53">
        <f t="shared" si="20"/>
        <v>142128965.71661323</v>
      </c>
      <c r="K85" s="53">
        <f t="shared" si="20"/>
        <v>140664782.6737251</v>
      </c>
      <c r="L85" s="53">
        <f t="shared" si="20"/>
        <v>139286912.49230564</v>
      </c>
      <c r="M85" s="53">
        <f t="shared" si="20"/>
        <v>117017991.44947173</v>
      </c>
      <c r="N85" s="53">
        <f t="shared" si="20"/>
        <v>137697880.95465955</v>
      </c>
      <c r="O85" s="53">
        <f t="shared" si="20"/>
        <v>169654552.4134779</v>
      </c>
      <c r="P85" s="53">
        <f t="shared" si="20"/>
        <v>182757490.07165441</v>
      </c>
      <c r="Q85" s="53">
        <f t="shared" si="20"/>
        <v>195009609.80078438</v>
      </c>
      <c r="R85" s="53">
        <f t="shared" si="20"/>
        <v>207292470.67581099</v>
      </c>
      <c r="S85" s="53">
        <f t="shared" si="20"/>
        <v>222783908.36315453</v>
      </c>
      <c r="T85" s="53">
        <f t="shared" si="20"/>
        <v>239587059.78467339</v>
      </c>
      <c r="U85" s="53">
        <f t="shared" si="20"/>
        <v>255462624.25258839</v>
      </c>
      <c r="V85" s="53">
        <f t="shared" si="20"/>
        <v>274799264.81891507</v>
      </c>
      <c r="W85" s="53">
        <f t="shared" si="20"/>
        <v>293102974.73792785</v>
      </c>
      <c r="X85" s="53">
        <f t="shared" si="20"/>
        <v>313067185.54421306</v>
      </c>
      <c r="Y85" s="53">
        <f t="shared" si="20"/>
        <v>334134387.87161493</v>
      </c>
      <c r="Z85" s="53">
        <f t="shared" si="20"/>
        <v>356250543.1596514</v>
      </c>
      <c r="AA85" s="53">
        <f t="shared" si="20"/>
        <v>378124039.26749063</v>
      </c>
      <c r="AB85" s="53">
        <f t="shared" si="20"/>
        <v>401558124.26062793</v>
      </c>
      <c r="AC85" s="53">
        <f t="shared" si="20"/>
        <v>423452209.99650437</v>
      </c>
      <c r="AD85" s="53">
        <f t="shared" si="20"/>
        <v>443755217.350649</v>
      </c>
    </row>
    <row r="86" spans="1:30" ht="15" thickTop="1" x14ac:dyDescent="0.35">
      <c r="A86" s="72"/>
      <c r="B86" s="72"/>
      <c r="C86" s="72"/>
      <c r="D86" s="72"/>
      <c r="E86" s="72"/>
      <c r="F86" s="72"/>
      <c r="G86" s="72"/>
      <c r="H86" s="72"/>
      <c r="I86" s="72"/>
      <c r="J86" s="72"/>
      <c r="K86" s="72"/>
      <c r="L86" s="72"/>
      <c r="M86" s="72"/>
      <c r="N86" s="72"/>
      <c r="O86" s="72"/>
      <c r="P86" s="72"/>
      <c r="Q86" s="72"/>
      <c r="R86" s="72"/>
      <c r="S86" s="72"/>
      <c r="T86" s="72"/>
      <c r="U86" s="72"/>
      <c r="V86" s="72"/>
      <c r="W86" s="72"/>
      <c r="X86" s="72"/>
      <c r="Y86" s="72"/>
      <c r="Z86" s="72"/>
      <c r="AA86" s="72"/>
      <c r="AB86" s="72"/>
      <c r="AC86" s="72"/>
      <c r="AD86" s="72"/>
    </row>
    <row r="87" spans="1:30" ht="20" thickBot="1" x14ac:dyDescent="0.5">
      <c r="A87" s="134" t="s">
        <v>150</v>
      </c>
      <c r="B87" s="134"/>
      <c r="C87" s="18">
        <f>Summary!$D$12</f>
        <v>185</v>
      </c>
      <c r="D87" s="72"/>
      <c r="E87" s="72"/>
      <c r="F87" s="72"/>
      <c r="G87" s="72"/>
      <c r="H87" s="72"/>
      <c r="I87" s="72"/>
      <c r="J87" s="72"/>
      <c r="K87" s="72"/>
      <c r="L87" s="72"/>
      <c r="M87" s="72"/>
      <c r="N87" s="72"/>
      <c r="O87" s="72"/>
      <c r="P87" s="72"/>
      <c r="Q87" s="72"/>
      <c r="R87" s="72"/>
      <c r="S87" s="72"/>
      <c r="T87" s="72"/>
      <c r="U87" s="72"/>
      <c r="V87" s="72"/>
      <c r="W87" s="72"/>
      <c r="X87" s="72"/>
      <c r="Y87" s="72"/>
      <c r="Z87" s="72"/>
      <c r="AA87" s="72"/>
      <c r="AB87" s="72"/>
      <c r="AC87" s="72"/>
      <c r="AD87" s="72"/>
    </row>
    <row r="88" spans="1:30" ht="15" thickTop="1" x14ac:dyDescent="0.35">
      <c r="A88" s="72"/>
      <c r="B88" s="72"/>
      <c r="C88" s="72"/>
      <c r="D88" s="72"/>
      <c r="E88" s="72"/>
      <c r="F88" s="72"/>
      <c r="G88" s="72"/>
      <c r="H88" s="72"/>
      <c r="I88" s="72"/>
      <c r="J88" s="72"/>
      <c r="K88" s="72"/>
      <c r="L88" s="72"/>
      <c r="M88" s="72"/>
      <c r="N88" s="72"/>
      <c r="O88" s="72"/>
      <c r="P88" s="72"/>
      <c r="Q88" s="72"/>
      <c r="R88" s="72"/>
      <c r="S88" s="72"/>
      <c r="T88" s="72"/>
      <c r="U88" s="72"/>
      <c r="V88" s="72"/>
      <c r="W88" s="72"/>
      <c r="X88" s="72"/>
      <c r="Y88" s="72"/>
      <c r="Z88" s="72"/>
      <c r="AA88" s="72"/>
      <c r="AB88" s="72"/>
      <c r="AC88" s="72"/>
      <c r="AD88" s="72"/>
    </row>
    <row r="89" spans="1:30" ht="20" thickBot="1" x14ac:dyDescent="0.5">
      <c r="A89" s="134" t="s">
        <v>7</v>
      </c>
      <c r="B89" s="134"/>
      <c r="C89" s="46">
        <f>C85/C87</f>
        <v>7.2733390947214023</v>
      </c>
      <c r="D89" s="72"/>
      <c r="E89" s="72"/>
      <c r="F89" s="72"/>
      <c r="G89" s="72"/>
      <c r="H89" s="72"/>
      <c r="I89" s="72"/>
      <c r="J89" s="72"/>
      <c r="K89" s="72"/>
      <c r="L89" s="72"/>
      <c r="M89" s="72"/>
      <c r="N89" s="72"/>
      <c r="O89" s="72"/>
      <c r="P89" s="72"/>
      <c r="Q89" s="72"/>
      <c r="R89" s="72"/>
      <c r="S89" s="72"/>
      <c r="T89" s="72"/>
      <c r="U89" s="72"/>
      <c r="V89" s="72"/>
      <c r="W89" s="72"/>
      <c r="X89" s="72"/>
      <c r="Y89" s="72"/>
      <c r="Z89" s="72"/>
      <c r="AA89" s="72"/>
      <c r="AB89" s="72"/>
      <c r="AC89" s="72"/>
      <c r="AD89" s="72"/>
    </row>
    <row r="90" spans="1:30" ht="15" thickTop="1" x14ac:dyDescent="0.35">
      <c r="A90" s="72"/>
      <c r="B90" s="72"/>
      <c r="C90" s="72"/>
      <c r="D90" s="72"/>
      <c r="E90" s="72"/>
      <c r="F90" s="72"/>
      <c r="G90" s="72"/>
      <c r="H90" s="72"/>
      <c r="I90" s="72"/>
      <c r="J90" s="72"/>
      <c r="K90" s="72"/>
      <c r="L90" s="72"/>
      <c r="M90" s="72"/>
      <c r="N90" s="72"/>
      <c r="O90" s="72"/>
      <c r="P90" s="72"/>
      <c r="Q90" s="72"/>
      <c r="R90" s="72"/>
      <c r="S90" s="72"/>
      <c r="T90" s="72"/>
      <c r="U90" s="72"/>
      <c r="V90" s="72"/>
      <c r="W90" s="72"/>
      <c r="X90" s="72"/>
      <c r="Y90" s="72"/>
      <c r="Z90" s="72"/>
      <c r="AA90" s="72"/>
      <c r="AB90" s="72"/>
      <c r="AC90" s="72"/>
      <c r="AD90" s="72"/>
    </row>
    <row r="91" spans="1:30" s="52" customFormat="1" ht="42.65" customHeight="1" thickBot="1" x14ac:dyDescent="0.5">
      <c r="A91" s="181" t="s">
        <v>156</v>
      </c>
      <c r="B91" s="181"/>
      <c r="C91" s="72"/>
      <c r="D91" s="53">
        <v>0</v>
      </c>
      <c r="E91" s="53">
        <v>0</v>
      </c>
      <c r="F91" s="53">
        <v>0</v>
      </c>
      <c r="G91" s="53">
        <v>0</v>
      </c>
      <c r="H91" s="53">
        <v>0</v>
      </c>
      <c r="I91" s="53">
        <v>0</v>
      </c>
      <c r="J91" s="53">
        <v>0</v>
      </c>
      <c r="K91" s="53">
        <v>0</v>
      </c>
      <c r="L91" s="53">
        <v>0</v>
      </c>
      <c r="M91" s="53">
        <v>0</v>
      </c>
      <c r="N91" s="53">
        <v>0</v>
      </c>
      <c r="O91" s="53">
        <v>0</v>
      </c>
      <c r="P91" s="53">
        <v>0</v>
      </c>
      <c r="Q91" s="53">
        <v>0</v>
      </c>
      <c r="R91" s="53">
        <v>0</v>
      </c>
      <c r="S91" s="53">
        <v>0</v>
      </c>
      <c r="T91" s="53">
        <v>0</v>
      </c>
      <c r="U91" s="53">
        <v>0</v>
      </c>
      <c r="V91" s="53">
        <v>0</v>
      </c>
      <c r="W91" s="53">
        <v>0</v>
      </c>
      <c r="X91" s="53">
        <v>0</v>
      </c>
      <c r="Y91" s="53">
        <v>0</v>
      </c>
      <c r="Z91" s="53">
        <v>0</v>
      </c>
      <c r="AA91" s="53">
        <v>0</v>
      </c>
      <c r="AB91" s="53">
        <v>0</v>
      </c>
      <c r="AC91" s="53">
        <v>0</v>
      </c>
      <c r="AD91" s="53">
        <v>0</v>
      </c>
    </row>
    <row r="92" spans="1:30" ht="15" thickTop="1" x14ac:dyDescent="0.35">
      <c r="A92" s="72"/>
      <c r="B92" s="72"/>
      <c r="C92" s="72"/>
      <c r="D92" s="72"/>
      <c r="E92" s="72"/>
      <c r="F92" s="72"/>
      <c r="G92" s="72"/>
      <c r="H92" s="72"/>
      <c r="I92" s="72"/>
      <c r="J92" s="72"/>
      <c r="K92" s="72"/>
      <c r="L92" s="72"/>
      <c r="M92" s="72"/>
      <c r="N92" s="72"/>
      <c r="O92" s="72"/>
      <c r="P92" s="72"/>
      <c r="Q92" s="72"/>
      <c r="R92" s="72"/>
      <c r="S92" s="72"/>
      <c r="T92" s="72"/>
      <c r="U92" s="72"/>
      <c r="V92" s="72"/>
      <c r="W92" s="72"/>
      <c r="X92" s="72"/>
      <c r="Y92" s="72"/>
      <c r="Z92" s="72"/>
      <c r="AA92" s="72"/>
      <c r="AB92" s="72"/>
      <c r="AC92" s="72"/>
      <c r="AD92" s="72"/>
    </row>
  </sheetData>
  <mergeCells count="9">
    <mergeCell ref="B18:B32"/>
    <mergeCell ref="B2:B15"/>
    <mergeCell ref="A91:B91"/>
    <mergeCell ref="B41:AD41"/>
    <mergeCell ref="A59:AD60"/>
    <mergeCell ref="A84:B84"/>
    <mergeCell ref="A87:B87"/>
    <mergeCell ref="A89:B89"/>
    <mergeCell ref="A85:B85"/>
  </mergeCells>
  <pageMargins left="0.7" right="0.7" top="0.75" bottom="0.75" header="0.3" footer="0.3"/>
  <pageSetup orientation="portrait" horizontalDpi="1200" verticalDpi="12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E90"/>
  <sheetViews>
    <sheetView zoomScale="78" zoomScaleNormal="78" workbookViewId="0"/>
  </sheetViews>
  <sheetFormatPr defaultRowHeight="14.5" x14ac:dyDescent="0.35"/>
  <cols>
    <col min="1" max="1" width="23.453125" customWidth="1"/>
    <col min="2" max="2" width="31.1796875" customWidth="1"/>
    <col min="3" max="3" width="14.81640625" bestFit="1" customWidth="1"/>
    <col min="4" max="6" width="14.7265625" bestFit="1" customWidth="1"/>
    <col min="7" max="30" width="15.7265625" bestFit="1" customWidth="1"/>
  </cols>
  <sheetData>
    <row r="1" spans="1:30" ht="20" thickBot="1" x14ac:dyDescent="0.5">
      <c r="A1" s="113"/>
      <c r="B1" s="122"/>
      <c r="C1" s="113" t="s">
        <v>105</v>
      </c>
      <c r="D1" s="113">
        <v>2022</v>
      </c>
      <c r="E1" s="113">
        <v>2023</v>
      </c>
      <c r="F1" s="113">
        <v>2024</v>
      </c>
      <c r="G1" s="113">
        <v>2025</v>
      </c>
      <c r="H1" s="113">
        <v>2026</v>
      </c>
      <c r="I1" s="113">
        <v>2027</v>
      </c>
      <c r="J1" s="113">
        <v>2028</v>
      </c>
      <c r="K1" s="113">
        <v>2029</v>
      </c>
      <c r="L1" s="113">
        <v>2030</v>
      </c>
      <c r="M1" s="113">
        <v>2031</v>
      </c>
      <c r="N1" s="113">
        <v>2032</v>
      </c>
      <c r="O1" s="113">
        <v>2033</v>
      </c>
      <c r="P1" s="113">
        <v>2034</v>
      </c>
      <c r="Q1" s="113">
        <v>2035</v>
      </c>
      <c r="R1" s="113">
        <v>2036</v>
      </c>
      <c r="S1" s="113">
        <v>2037</v>
      </c>
      <c r="T1" s="113">
        <v>2038</v>
      </c>
      <c r="U1" s="113">
        <v>2039</v>
      </c>
      <c r="V1" s="113">
        <v>2040</v>
      </c>
      <c r="W1" s="113">
        <v>2041</v>
      </c>
      <c r="X1" s="113">
        <v>2042</v>
      </c>
      <c r="Y1" s="113">
        <v>2043</v>
      </c>
      <c r="Z1" s="113">
        <v>2044</v>
      </c>
      <c r="AA1" s="113">
        <v>2045</v>
      </c>
      <c r="AB1" s="113">
        <v>2046</v>
      </c>
      <c r="AC1" s="113">
        <v>2047</v>
      </c>
      <c r="AD1" s="113">
        <v>2048</v>
      </c>
    </row>
    <row r="2" spans="1:30" ht="15" thickTop="1" x14ac:dyDescent="0.35">
      <c r="A2" s="72"/>
      <c r="B2" s="179" t="s">
        <v>26</v>
      </c>
      <c r="C2" s="72" t="s">
        <v>107</v>
      </c>
      <c r="D2" s="53">
        <f>'Baseline System Analysis'!D2</f>
        <v>49666.999999999534</v>
      </c>
      <c r="E2" s="53">
        <f>'Baseline System Analysis'!E2</f>
        <v>50103.790384614935</v>
      </c>
      <c r="F2" s="53">
        <f>'Baseline System Analysis'!F2</f>
        <v>50540.580769230335</v>
      </c>
      <c r="G2" s="53">
        <f>'Baseline System Analysis'!G2</f>
        <v>50977.371153845736</v>
      </c>
      <c r="H2" s="53">
        <f>'Baseline System Analysis'!H2</f>
        <v>51414.161538461136</v>
      </c>
      <c r="I2" s="53">
        <f>'Baseline System Analysis'!I2</f>
        <v>51850.951923076536</v>
      </c>
      <c r="J2" s="53">
        <f>'Baseline System Analysis'!J2</f>
        <v>52287.742307691937</v>
      </c>
      <c r="K2" s="53">
        <f>'Baseline System Analysis'!K2</f>
        <v>51698.184615384183</v>
      </c>
      <c r="L2" s="53">
        <f>'Baseline System Analysis'!L2</f>
        <v>51988.353846153419</v>
      </c>
      <c r="M2" s="53">
        <f>'Baseline System Analysis'!M2</f>
        <v>52278.523076922655</v>
      </c>
      <c r="N2" s="53">
        <f>'Baseline System Analysis'!N2</f>
        <v>52568.69230769189</v>
      </c>
      <c r="O2" s="53">
        <f>'Baseline System Analysis'!O2</f>
        <v>52858.861538461126</v>
      </c>
      <c r="P2" s="53">
        <f>'Baseline System Analysis'!P2</f>
        <v>53149.030769230361</v>
      </c>
      <c r="Q2" s="53">
        <f>'Baseline System Analysis'!Q2</f>
        <v>53439.199999999597</v>
      </c>
      <c r="R2" s="53">
        <f>'Baseline System Analysis'!R2</f>
        <v>53729.369230768832</v>
      </c>
      <c r="S2" s="53">
        <f>'Baseline System Analysis'!S2</f>
        <v>54019.538461538068</v>
      </c>
      <c r="T2" s="53">
        <f>'Baseline System Analysis'!T2</f>
        <v>54309.707692307304</v>
      </c>
      <c r="U2" s="53">
        <f>'Baseline System Analysis'!U2</f>
        <v>54599.876923076539</v>
      </c>
      <c r="V2" s="53">
        <f>'Baseline System Analysis'!V2</f>
        <v>54890.046153845775</v>
      </c>
      <c r="W2" s="53">
        <f>'Baseline System Analysis'!W2</f>
        <v>55180.21538461501</v>
      </c>
      <c r="X2" s="53">
        <f>'Baseline System Analysis'!X2</f>
        <v>55470.384615384246</v>
      </c>
      <c r="Y2" s="53">
        <f>'Baseline System Analysis'!Y2</f>
        <v>55760.553846153482</v>
      </c>
      <c r="Z2" s="53">
        <f>'Baseline System Analysis'!Z2</f>
        <v>56050.723076922717</v>
      </c>
      <c r="AA2" s="53">
        <f>'Baseline System Analysis'!AA2</f>
        <v>56340.892307691953</v>
      </c>
      <c r="AB2" s="53">
        <f>'Baseline System Analysis'!AB2</f>
        <v>56631.061538461188</v>
      </c>
      <c r="AC2" s="53">
        <f>'Baseline System Analysis'!AC2</f>
        <v>56921.230769230424</v>
      </c>
      <c r="AD2" s="53">
        <f>'Baseline System Analysis'!AD2</f>
        <v>57211.399999999638</v>
      </c>
    </row>
    <row r="3" spans="1:30" x14ac:dyDescent="0.35">
      <c r="A3" s="72" t="s">
        <v>30</v>
      </c>
      <c r="B3" s="180"/>
      <c r="C3" s="72" t="s">
        <v>31</v>
      </c>
      <c r="D3" s="53">
        <f>'Baseline System Analysis'!D3</f>
        <v>10</v>
      </c>
      <c r="E3" s="53">
        <f>'Baseline System Analysis'!E3</f>
        <v>20.5</v>
      </c>
      <c r="F3" s="53">
        <f>'Baseline System Analysis'!F3</f>
        <v>29.879999999999995</v>
      </c>
      <c r="G3" s="53">
        <f>'Baseline System Analysis'!G3</f>
        <v>39.259999999999991</v>
      </c>
      <c r="H3" s="53">
        <f>'Baseline System Analysis'!H3</f>
        <v>48.639999999999986</v>
      </c>
      <c r="I3" s="53">
        <f>'Baseline System Analysis'!I3</f>
        <v>58.019999999999982</v>
      </c>
      <c r="J3" s="53">
        <f>'Baseline System Analysis'!J3</f>
        <v>67.399999999999977</v>
      </c>
      <c r="K3" s="53">
        <f>'Baseline System Analysis'!K3</f>
        <v>57.599999999999966</v>
      </c>
      <c r="L3" s="53">
        <f>'Baseline System Analysis'!L3</f>
        <v>49.800000000000011</v>
      </c>
      <c r="M3" s="53">
        <f>'Baseline System Analysis'!M3</f>
        <v>41.5</v>
      </c>
      <c r="N3" s="53">
        <f>'Baseline System Analysis'!N3</f>
        <v>53.700000000000017</v>
      </c>
      <c r="O3" s="53">
        <f>'Baseline System Analysis'!O3</f>
        <v>75.066666666666691</v>
      </c>
      <c r="P3" s="53">
        <f>'Baseline System Analysis'!P3</f>
        <v>96.433333333333366</v>
      </c>
      <c r="Q3" s="53">
        <f>'Baseline System Analysis'!Q3</f>
        <v>117.80000000000004</v>
      </c>
      <c r="R3" s="53">
        <f>'Baseline System Analysis'!R3</f>
        <v>139.16666666666671</v>
      </c>
      <c r="S3" s="53">
        <f>'Baseline System Analysis'!S3</f>
        <v>160.53333333333339</v>
      </c>
      <c r="T3" s="53">
        <f>'Baseline System Analysis'!T3</f>
        <v>181.90000000000003</v>
      </c>
      <c r="U3" s="53">
        <f>'Baseline System Analysis'!U3</f>
        <v>244.23000000000002</v>
      </c>
      <c r="V3" s="53">
        <f>'Baseline System Analysis'!V3</f>
        <v>306.56</v>
      </c>
      <c r="W3" s="53">
        <f>'Baseline System Analysis'!W3</f>
        <v>368.89</v>
      </c>
      <c r="X3" s="53">
        <f>'Baseline System Analysis'!X3</f>
        <v>431.21999999999997</v>
      </c>
      <c r="Y3" s="53">
        <f>'Baseline System Analysis'!Y3</f>
        <v>453.7000000000001</v>
      </c>
      <c r="Z3" s="53">
        <f>'Baseline System Analysis'!Z3</f>
        <v>524.00000000000011</v>
      </c>
      <c r="AA3" s="53">
        <f>'Baseline System Analysis'!AA3</f>
        <v>594.30000000000007</v>
      </c>
      <c r="AB3" s="53">
        <f>'Baseline System Analysis'!AB3</f>
        <v>664.6</v>
      </c>
      <c r="AC3" s="53">
        <f>'Baseline System Analysis'!AC3</f>
        <v>734.9</v>
      </c>
      <c r="AD3" s="53">
        <f>'Baseline System Analysis'!AD3</f>
        <v>805.2</v>
      </c>
    </row>
    <row r="4" spans="1:30" x14ac:dyDescent="0.35">
      <c r="A4" s="72" t="s">
        <v>30</v>
      </c>
      <c r="B4" s="180"/>
      <c r="C4" s="72" t="s">
        <v>32</v>
      </c>
      <c r="D4" s="53">
        <f>'Baseline System Analysis'!D4</f>
        <v>2</v>
      </c>
      <c r="E4" s="53">
        <f>'Baseline System Analysis'!E4</f>
        <v>3</v>
      </c>
      <c r="F4" s="53">
        <f>'Baseline System Analysis'!F4</f>
        <v>4.6799999999999953</v>
      </c>
      <c r="G4" s="53">
        <f>'Baseline System Analysis'!G4</f>
        <v>6.3599999999999905</v>
      </c>
      <c r="H4" s="53">
        <f>'Baseline System Analysis'!H4</f>
        <v>8.0399999999999867</v>
      </c>
      <c r="I4" s="53">
        <f>'Baseline System Analysis'!I4</f>
        <v>9.7199999999999829</v>
      </c>
      <c r="J4" s="53">
        <f>'Baseline System Analysis'!J4</f>
        <v>11.399999999999977</v>
      </c>
      <c r="K4" s="53">
        <f>'Baseline System Analysis'!K4</f>
        <v>10.199999999999989</v>
      </c>
      <c r="L4" s="53">
        <f>'Baseline System Analysis'!L4</f>
        <v>8.5999999999999943</v>
      </c>
      <c r="M4" s="53">
        <f>'Baseline System Analysis'!M4</f>
        <v>6.8000000000000114</v>
      </c>
      <c r="N4" s="53">
        <f>'Baseline System Analysis'!N4</f>
        <v>9.6000000000000227</v>
      </c>
      <c r="O4" s="53">
        <f>'Baseline System Analysis'!O4</f>
        <v>11.333333333333352</v>
      </c>
      <c r="P4" s="53">
        <f>'Baseline System Analysis'!P4</f>
        <v>13.066666666666681</v>
      </c>
      <c r="Q4" s="53">
        <f>'Baseline System Analysis'!Q4</f>
        <v>14.80000000000001</v>
      </c>
      <c r="R4" s="53">
        <f>'Baseline System Analysis'!R4</f>
        <v>16.533333333333339</v>
      </c>
      <c r="S4" s="53">
        <f>'Baseline System Analysis'!S4</f>
        <v>18.266666666666669</v>
      </c>
      <c r="T4" s="53">
        <f>'Baseline System Analysis'!T4</f>
        <v>20</v>
      </c>
      <c r="U4" s="53">
        <f>'Baseline System Analysis'!U4</f>
        <v>21.860000000000003</v>
      </c>
      <c r="V4" s="53">
        <f>'Baseline System Analysis'!V4</f>
        <v>23.720000000000006</v>
      </c>
      <c r="W4" s="53">
        <f>'Baseline System Analysis'!W4</f>
        <v>25.580000000000009</v>
      </c>
      <c r="X4" s="53">
        <f>'Baseline System Analysis'!X4</f>
        <v>27.440000000000012</v>
      </c>
      <c r="Y4" s="53">
        <f>'Baseline System Analysis'!Y4</f>
        <v>29.300000000000011</v>
      </c>
      <c r="Z4" s="53">
        <f>'Baseline System Analysis'!Z4</f>
        <v>30.480000000000008</v>
      </c>
      <c r="AA4" s="53">
        <f>'Baseline System Analysis'!AA4</f>
        <v>31.660000000000004</v>
      </c>
      <c r="AB4" s="53">
        <f>'Baseline System Analysis'!AB4</f>
        <v>32.839999999999996</v>
      </c>
      <c r="AC4" s="53">
        <f>'Baseline System Analysis'!AC4</f>
        <v>34.019999999999989</v>
      </c>
      <c r="AD4" s="53">
        <f>'Baseline System Analysis'!AD4</f>
        <v>35.199999999999989</v>
      </c>
    </row>
    <row r="5" spans="1:30" x14ac:dyDescent="0.35">
      <c r="A5" s="72" t="s">
        <v>30</v>
      </c>
      <c r="B5" s="180"/>
      <c r="C5" s="72" t="s">
        <v>33</v>
      </c>
      <c r="D5" s="53">
        <f>'Baseline System Analysis'!D5</f>
        <v>8.4812112193331513E-2</v>
      </c>
      <c r="E5" s="53">
        <f>'Baseline System Analysis'!E5</f>
        <v>0.24283371212350299</v>
      </c>
      <c r="F5" s="53">
        <f>'Baseline System Analysis'!F5</f>
        <v>0.34046276046663143</v>
      </c>
      <c r="G5" s="53">
        <f>'Baseline System Analysis'!G5</f>
        <v>0.43809180880975984</v>
      </c>
      <c r="H5" s="53">
        <f>'Baseline System Analysis'!H5</f>
        <v>0.53572085715288831</v>
      </c>
      <c r="I5" s="53">
        <f>'Baseline System Analysis'!I5</f>
        <v>0.63334990549601677</v>
      </c>
      <c r="J5" s="53">
        <f>'Baseline System Analysis'!J5</f>
        <v>0.73097895383914513</v>
      </c>
      <c r="K5" s="53">
        <f>'Baseline System Analysis'!K5</f>
        <v>0.61764830497225676</v>
      </c>
      <c r="L5" s="53">
        <f>'Baseline System Analysis'!L5</f>
        <v>0.52957812632109091</v>
      </c>
      <c r="M5" s="53">
        <f>'Baseline System Analysis'!M5</f>
        <v>0.48185121670948772</v>
      </c>
      <c r="N5" s="53">
        <f>'Baseline System Analysis'!N5</f>
        <v>0.56680711827214547</v>
      </c>
      <c r="O5" s="53">
        <f>'Baseline System Analysis'!O5</f>
        <v>0.96980348799493798</v>
      </c>
      <c r="P5" s="53">
        <f>'Baseline System Analysis'!P5</f>
        <v>1.3727998577177305</v>
      </c>
      <c r="Q5" s="53">
        <f>'Baseline System Analysis'!Q5</f>
        <v>1.775796227440523</v>
      </c>
      <c r="R5" s="53">
        <f>'Baseline System Analysis'!R5</f>
        <v>2.1787925971633153</v>
      </c>
      <c r="S5" s="53">
        <f>'Baseline System Analysis'!S5</f>
        <v>2.5817889668861076</v>
      </c>
      <c r="T5" s="53">
        <f>'Baseline System Analysis'!T5</f>
        <v>2.9847853366089003</v>
      </c>
      <c r="U5" s="53">
        <f>'Baseline System Analysis'!U5</f>
        <v>21.070525908414965</v>
      </c>
      <c r="V5" s="53">
        <f>'Baseline System Analysis'!V5</f>
        <v>39.156266480221028</v>
      </c>
      <c r="W5" s="53">
        <f>'Baseline System Analysis'!W5</f>
        <v>57.242007052027091</v>
      </c>
      <c r="X5" s="53">
        <f>'Baseline System Analysis'!X5</f>
        <v>75.327747623833147</v>
      </c>
      <c r="Y5" s="53">
        <f>'Baseline System Analysis'!Y5</f>
        <v>93.413488195639218</v>
      </c>
      <c r="Z5" s="53">
        <f>'Baseline System Analysis'!Z5</f>
        <v>81.062212021092932</v>
      </c>
      <c r="AA5" s="53">
        <f>'Baseline System Analysis'!AA5</f>
        <v>68.710935846546647</v>
      </c>
      <c r="AB5" s="53">
        <f>'Baseline System Analysis'!AB5</f>
        <v>56.359659672000362</v>
      </c>
      <c r="AC5" s="53">
        <f>'Baseline System Analysis'!AC5</f>
        <v>44.008383497454076</v>
      </c>
      <c r="AD5" s="53">
        <f>'Baseline System Analysis'!AD5</f>
        <v>31.657107322907791</v>
      </c>
    </row>
    <row r="6" spans="1:30" x14ac:dyDescent="0.35">
      <c r="A6" s="72" t="s">
        <v>30</v>
      </c>
      <c r="B6" s="180"/>
      <c r="C6" s="72" t="s">
        <v>34</v>
      </c>
      <c r="D6" s="53">
        <f>'Baseline System Analysis'!D6</f>
        <v>6.0580080138093939E-3</v>
      </c>
      <c r="E6" s="53">
        <f>'Baseline System Analysis'!E6</f>
        <v>1.7771756236396739E-2</v>
      </c>
      <c r="F6" s="53">
        <f>'Baseline System Analysis'!F6</f>
        <v>2.504677784712513E-2</v>
      </c>
      <c r="G6" s="53">
        <f>'Baseline System Analysis'!G6</f>
        <v>3.2321799457853517E-2</v>
      </c>
      <c r="H6" s="53">
        <f>'Baseline System Analysis'!H6</f>
        <v>3.9596821068581908E-2</v>
      </c>
      <c r="I6" s="53">
        <f>'Baseline System Analysis'!I6</f>
        <v>4.6871842679310299E-2</v>
      </c>
      <c r="J6" s="53">
        <f>'Baseline System Analysis'!J6</f>
        <v>5.414686429003869E-2</v>
      </c>
      <c r="K6" s="53">
        <f>'Baseline System Analysis'!K6</f>
        <v>4.57170533491131E-2</v>
      </c>
      <c r="L6" s="53">
        <f>'Baseline System Analysis'!L6</f>
        <v>3.8991796004088156E-2</v>
      </c>
      <c r="M6" s="53">
        <f>'Baseline System Analysis'!M6</f>
        <v>3.1792887361975948E-2</v>
      </c>
      <c r="N6" s="53">
        <f>'Baseline System Analysis'!N6</f>
        <v>4.2212624824281168E-2</v>
      </c>
      <c r="O6" s="53">
        <f>'Baseline System Analysis'!O6</f>
        <v>5.9766414638595444E-2</v>
      </c>
      <c r="P6" s="53">
        <f>'Baseline System Analysis'!P6</f>
        <v>7.7320204452909727E-2</v>
      </c>
      <c r="Q6" s="53">
        <f>'Baseline System Analysis'!Q6</f>
        <v>9.487399426722401E-2</v>
      </c>
      <c r="R6" s="53">
        <f>'Baseline System Analysis'!R6</f>
        <v>0.11242778408153829</v>
      </c>
      <c r="S6" s="53">
        <f>'Baseline System Analysis'!S6</f>
        <v>0.12998157389585258</v>
      </c>
      <c r="T6" s="53">
        <f>'Baseline System Analysis'!T6</f>
        <v>0.14753536371016684</v>
      </c>
      <c r="U6" s="53">
        <f>'Baseline System Analysis'!U6</f>
        <v>0.40051087482777559</v>
      </c>
      <c r="V6" s="53">
        <f>'Baseline System Analysis'!V6</f>
        <v>0.65348638594538433</v>
      </c>
      <c r="W6" s="53">
        <f>'Baseline System Analysis'!W6</f>
        <v>0.90646189706299307</v>
      </c>
      <c r="X6" s="53">
        <f>'Baseline System Analysis'!X6</f>
        <v>1.1594374081806018</v>
      </c>
      <c r="Y6" s="53">
        <f>'Baseline System Analysis'!Y6</f>
        <v>1.4124129192982104</v>
      </c>
      <c r="Z6" s="53">
        <f>'Baseline System Analysis'!Z6</f>
        <v>1.2710233198999881</v>
      </c>
      <c r="AA6" s="53">
        <f>'Baseline System Analysis'!AA6</f>
        <v>1.1296337205017657</v>
      </c>
      <c r="AB6" s="53">
        <f>'Baseline System Analysis'!AB6</f>
        <v>0.98824412110354332</v>
      </c>
      <c r="AC6" s="53">
        <f>'Baseline System Analysis'!AC6</f>
        <v>0.84685452170532094</v>
      </c>
      <c r="AD6" s="53">
        <f>'Baseline System Analysis'!AD6</f>
        <v>0.70546492230709823</v>
      </c>
    </row>
    <row r="7" spans="1:30" x14ac:dyDescent="0.35">
      <c r="A7" s="72" t="s">
        <v>30</v>
      </c>
      <c r="B7" s="180"/>
      <c r="C7" s="72" t="s">
        <v>35</v>
      </c>
      <c r="D7" s="53">
        <f>'Baseline System Analysis'!D7</f>
        <v>14</v>
      </c>
      <c r="E7" s="53">
        <f>'Baseline System Analysis'!E7</f>
        <v>21</v>
      </c>
      <c r="F7" s="53">
        <f>'Baseline System Analysis'!F7</f>
        <v>23.2</v>
      </c>
      <c r="G7" s="53">
        <f>'Baseline System Analysis'!G7</f>
        <v>25.4</v>
      </c>
      <c r="H7" s="53">
        <f>'Baseline System Analysis'!H7</f>
        <v>27.599999999999998</v>
      </c>
      <c r="I7" s="53">
        <f>'Baseline System Analysis'!I7</f>
        <v>29.799999999999997</v>
      </c>
      <c r="J7" s="53">
        <f>'Baseline System Analysis'!J7</f>
        <v>32</v>
      </c>
      <c r="K7" s="53">
        <f>'Baseline System Analysis'!K7</f>
        <v>30</v>
      </c>
      <c r="L7" s="53">
        <f>'Baseline System Analysis'!L7</f>
        <v>29</v>
      </c>
      <c r="M7" s="53">
        <f>'Baseline System Analysis'!M7</f>
        <v>29</v>
      </c>
      <c r="N7" s="53">
        <f>'Baseline System Analysis'!N7</f>
        <v>29</v>
      </c>
      <c r="O7" s="53">
        <f>'Baseline System Analysis'!O7</f>
        <v>32.666666666666664</v>
      </c>
      <c r="P7" s="53">
        <f>'Baseline System Analysis'!P7</f>
        <v>36.333333333333329</v>
      </c>
      <c r="Q7" s="53">
        <f>'Baseline System Analysis'!Q7</f>
        <v>39.999999999999993</v>
      </c>
      <c r="R7" s="53">
        <f>'Baseline System Analysis'!R7</f>
        <v>43.666666666666657</v>
      </c>
      <c r="S7" s="53">
        <f>'Baseline System Analysis'!S7</f>
        <v>47.333333333333321</v>
      </c>
      <c r="T7" s="53">
        <f>'Baseline System Analysis'!T7</f>
        <v>51</v>
      </c>
      <c r="U7" s="53">
        <f>'Baseline System Analysis'!U7</f>
        <v>56.6</v>
      </c>
      <c r="V7" s="53">
        <f>'Baseline System Analysis'!V7</f>
        <v>62.2</v>
      </c>
      <c r="W7" s="53">
        <f>'Baseline System Analysis'!W7</f>
        <v>67.8</v>
      </c>
      <c r="X7" s="53">
        <f>'Baseline System Analysis'!X7</f>
        <v>73.399999999999991</v>
      </c>
      <c r="Y7" s="53">
        <f>'Baseline System Analysis'!Y7</f>
        <v>79</v>
      </c>
      <c r="Z7" s="53">
        <f>'Baseline System Analysis'!Z7</f>
        <v>82</v>
      </c>
      <c r="AA7" s="53">
        <f>'Baseline System Analysis'!AA7</f>
        <v>85</v>
      </c>
      <c r="AB7" s="53">
        <f>'Baseline System Analysis'!AB7</f>
        <v>88</v>
      </c>
      <c r="AC7" s="53">
        <f>'Baseline System Analysis'!AC7</f>
        <v>91</v>
      </c>
      <c r="AD7" s="53">
        <f>'Baseline System Analysis'!AD7</f>
        <v>94</v>
      </c>
    </row>
    <row r="8" spans="1:30" x14ac:dyDescent="0.35">
      <c r="A8" s="72" t="s">
        <v>39</v>
      </c>
      <c r="B8" s="180"/>
      <c r="C8" s="72" t="s">
        <v>31</v>
      </c>
      <c r="D8" s="53">
        <f>'Baseline System Analysis'!D8</f>
        <v>22.2</v>
      </c>
      <c r="E8" s="53">
        <f>'Baseline System Analysis'!E8</f>
        <v>65.8</v>
      </c>
      <c r="F8" s="53">
        <f>'Baseline System Analysis'!F8</f>
        <v>102.72</v>
      </c>
      <c r="G8" s="53">
        <f>'Baseline System Analysis'!G8</f>
        <v>139.63999999999999</v>
      </c>
      <c r="H8" s="53">
        <f>'Baseline System Analysis'!H8</f>
        <v>176.56</v>
      </c>
      <c r="I8" s="53">
        <f>'Baseline System Analysis'!I8</f>
        <v>213.48000000000002</v>
      </c>
      <c r="J8" s="53">
        <f>'Baseline System Analysis'!J8</f>
        <v>250.4</v>
      </c>
      <c r="K8" s="53">
        <f>'Baseline System Analysis'!K8</f>
        <v>216.60000000000014</v>
      </c>
      <c r="L8" s="53">
        <f>'Baseline System Analysis'!L8</f>
        <v>182.59999999999991</v>
      </c>
      <c r="M8" s="53">
        <f>'Baseline System Analysis'!M8</f>
        <v>151.20000000000005</v>
      </c>
      <c r="N8" s="53">
        <f>'Baseline System Analysis'!N8</f>
        <v>202.60000000000014</v>
      </c>
      <c r="O8" s="53">
        <f>'Baseline System Analysis'!O8</f>
        <v>292.1666666666668</v>
      </c>
      <c r="P8" s="53">
        <f>'Baseline System Analysis'!P8</f>
        <v>381.73333333333346</v>
      </c>
      <c r="Q8" s="53">
        <f>'Baseline System Analysis'!Q8</f>
        <v>471.30000000000013</v>
      </c>
      <c r="R8" s="53">
        <f>'Baseline System Analysis'!R8</f>
        <v>560.86666666666679</v>
      </c>
      <c r="S8" s="53">
        <f>'Baseline System Analysis'!S8</f>
        <v>650.43333333333339</v>
      </c>
      <c r="T8" s="53">
        <f>'Baseline System Analysis'!T8</f>
        <v>740</v>
      </c>
      <c r="U8" s="53">
        <f>'Baseline System Analysis'!U8</f>
        <v>930.87999999999988</v>
      </c>
      <c r="V8" s="53">
        <f>'Baseline System Analysis'!V8</f>
        <v>1121.7599999999998</v>
      </c>
      <c r="W8" s="53">
        <f>'Baseline System Analysis'!W8</f>
        <v>1312.6399999999996</v>
      </c>
      <c r="X8" s="53">
        <f>'Baseline System Analysis'!X8</f>
        <v>1503.5199999999995</v>
      </c>
      <c r="Y8" s="53">
        <f>'Baseline System Analysis'!Y8</f>
        <v>1694.3999999999994</v>
      </c>
      <c r="Z8" s="53">
        <f>'Baseline System Analysis'!Z8</f>
        <v>1887.3999999999994</v>
      </c>
      <c r="AA8" s="53">
        <f>'Baseline System Analysis'!AA8</f>
        <v>2080.3999999999996</v>
      </c>
      <c r="AB8" s="53">
        <f>'Baseline System Analysis'!AB8</f>
        <v>2273.3999999999996</v>
      </c>
      <c r="AC8" s="53">
        <f>'Baseline System Analysis'!AC8</f>
        <v>2466.3999999999996</v>
      </c>
      <c r="AD8" s="53">
        <f>'Baseline System Analysis'!AD8</f>
        <v>2659.3999999999996</v>
      </c>
    </row>
    <row r="9" spans="1:30" x14ac:dyDescent="0.35">
      <c r="A9" s="72" t="s">
        <v>39</v>
      </c>
      <c r="B9" s="180"/>
      <c r="C9" s="72" t="s">
        <v>32</v>
      </c>
      <c r="D9" s="53">
        <f>'Baseline System Analysis'!D9</f>
        <v>13</v>
      </c>
      <c r="E9" s="53">
        <f>'Baseline System Analysis'!E9</f>
        <v>27</v>
      </c>
      <c r="F9" s="53">
        <f>'Baseline System Analysis'!F9</f>
        <v>34.519999999999982</v>
      </c>
      <c r="G9" s="53">
        <f>'Baseline System Analysis'!G9</f>
        <v>42.039999999999964</v>
      </c>
      <c r="H9" s="53">
        <f>'Baseline System Analysis'!H9</f>
        <v>49.559999999999945</v>
      </c>
      <c r="I9" s="53">
        <f>'Baseline System Analysis'!I9</f>
        <v>57.079999999999927</v>
      </c>
      <c r="J9" s="53">
        <f>'Baseline System Analysis'!J9</f>
        <v>64.599999999999909</v>
      </c>
      <c r="K9" s="53">
        <f>'Baseline System Analysis'!K9</f>
        <v>59.799999999999955</v>
      </c>
      <c r="L9" s="53">
        <f>'Baseline System Analysis'!L9</f>
        <v>52.799999999999955</v>
      </c>
      <c r="M9" s="53">
        <f>'Baseline System Analysis'!M9</f>
        <v>46</v>
      </c>
      <c r="N9" s="53">
        <f>'Baseline System Analysis'!N9</f>
        <v>57.400000000000091</v>
      </c>
      <c r="O9" s="53">
        <f>'Baseline System Analysis'!O9</f>
        <v>67.333333333333414</v>
      </c>
      <c r="P9" s="53">
        <f>'Baseline System Analysis'!P9</f>
        <v>77.266666666666737</v>
      </c>
      <c r="Q9" s="53">
        <f>'Baseline System Analysis'!Q9</f>
        <v>87.20000000000006</v>
      </c>
      <c r="R9" s="53">
        <f>'Baseline System Analysis'!R9</f>
        <v>97.133333333333383</v>
      </c>
      <c r="S9" s="53">
        <f>'Baseline System Analysis'!S9</f>
        <v>107.06666666666671</v>
      </c>
      <c r="T9" s="53">
        <f>'Baseline System Analysis'!T9</f>
        <v>117</v>
      </c>
      <c r="U9" s="53">
        <f>'Baseline System Analysis'!U9</f>
        <v>126.6</v>
      </c>
      <c r="V9" s="53">
        <f>'Baseline System Analysis'!V9</f>
        <v>136.19999999999999</v>
      </c>
      <c r="W9" s="53">
        <f>'Baseline System Analysis'!W9</f>
        <v>145.79999999999998</v>
      </c>
      <c r="X9" s="53">
        <f>'Baseline System Analysis'!X9</f>
        <v>155.39999999999998</v>
      </c>
      <c r="Y9" s="53">
        <f>'Baseline System Analysis'!Y9</f>
        <v>165</v>
      </c>
      <c r="Z9" s="53">
        <f>'Baseline System Analysis'!Z9</f>
        <v>171.84</v>
      </c>
      <c r="AA9" s="53">
        <f>'Baseline System Analysis'!AA9</f>
        <v>178.68</v>
      </c>
      <c r="AB9" s="53">
        <f>'Baseline System Analysis'!AB9</f>
        <v>185.52</v>
      </c>
      <c r="AC9" s="53">
        <f>'Baseline System Analysis'!AC9</f>
        <v>192.36</v>
      </c>
      <c r="AD9" s="53">
        <f>'Baseline System Analysis'!AD9</f>
        <v>199.20000000000005</v>
      </c>
    </row>
    <row r="10" spans="1:30" x14ac:dyDescent="0.35">
      <c r="A10" s="72" t="s">
        <v>39</v>
      </c>
      <c r="B10" s="180"/>
      <c r="C10" s="72" t="s">
        <v>33</v>
      </c>
      <c r="D10" s="53">
        <f>'Baseline System Analysis'!D10</f>
        <v>4.7253529883901121E-2</v>
      </c>
      <c r="E10" s="53">
        <f>'Baseline System Analysis'!E10</f>
        <v>0.28011551949195379</v>
      </c>
      <c r="F10" s="53">
        <f>'Baseline System Analysis'!F10</f>
        <v>0.59718244793816533</v>
      </c>
      <c r="G10" s="53">
        <f>'Baseline System Analysis'!G10</f>
        <v>0.91424937638437687</v>
      </c>
      <c r="H10" s="53">
        <f>'Baseline System Analysis'!H10</f>
        <v>1.2313163048305884</v>
      </c>
      <c r="I10" s="53">
        <f>'Baseline System Analysis'!I10</f>
        <v>1.5483832332767999</v>
      </c>
      <c r="J10" s="53">
        <f>'Baseline System Analysis'!J10</f>
        <v>1.8654501617230115</v>
      </c>
      <c r="K10" s="53">
        <f>'Baseline System Analysis'!K10</f>
        <v>1.6136441894137561</v>
      </c>
      <c r="L10" s="53">
        <f>'Baseline System Analysis'!L10</f>
        <v>1.1660127779459895</v>
      </c>
      <c r="M10" s="53">
        <f>'Baseline System Analysis'!M10</f>
        <v>0.80458713045561225</v>
      </c>
      <c r="N10" s="53">
        <f>'Baseline System Analysis'!N10</f>
        <v>0.56680711827214547</v>
      </c>
      <c r="O10" s="53">
        <f>'Baseline System Analysis'!O10</f>
        <v>3.0445179689462347</v>
      </c>
      <c r="P10" s="53">
        <f>'Baseline System Analysis'!P10</f>
        <v>4.5886299372095039</v>
      </c>
      <c r="Q10" s="53">
        <f>'Baseline System Analysis'!Q10</f>
        <v>6.1327419054727734</v>
      </c>
      <c r="R10" s="53">
        <f>'Baseline System Analysis'!R10</f>
        <v>7.676853873736043</v>
      </c>
      <c r="S10" s="53">
        <f>'Baseline System Analysis'!S10</f>
        <v>9.2209658419993126</v>
      </c>
      <c r="T10" s="53">
        <f>'Baseline System Analysis'!T10</f>
        <v>10.765077810262582</v>
      </c>
      <c r="U10" s="53">
        <f>'Baseline System Analysis'!U10</f>
        <v>11.285969377257926</v>
      </c>
      <c r="V10" s="53">
        <f>'Baseline System Analysis'!V10</f>
        <v>11.80686094425327</v>
      </c>
      <c r="W10" s="53">
        <f>'Baseline System Analysis'!W10</f>
        <v>12.327752511248613</v>
      </c>
      <c r="X10" s="53">
        <f>'Baseline System Analysis'!X10</f>
        <v>12.848644078243957</v>
      </c>
      <c r="Y10" s="53">
        <f>'Baseline System Analysis'!Y10</f>
        <v>13.369535645239303</v>
      </c>
      <c r="Z10" s="53">
        <f>'Baseline System Analysis'!Z10</f>
        <v>31.024884631077057</v>
      </c>
      <c r="AA10" s="53">
        <f>'Baseline System Analysis'!AA10</f>
        <v>48.680233616914812</v>
      </c>
      <c r="AB10" s="53">
        <f>'Baseline System Analysis'!AB10</f>
        <v>66.335582602752567</v>
      </c>
      <c r="AC10" s="53">
        <f>'Baseline System Analysis'!AC10</f>
        <v>83.990931588590314</v>
      </c>
      <c r="AD10" s="53">
        <f>'Baseline System Analysis'!AD10</f>
        <v>101.64628057442808</v>
      </c>
    </row>
    <row r="11" spans="1:30" x14ac:dyDescent="0.35">
      <c r="A11" s="72" t="s">
        <v>39</v>
      </c>
      <c r="B11" s="180"/>
      <c r="C11" s="72" t="s">
        <v>34</v>
      </c>
      <c r="D11" s="53">
        <f>'Baseline System Analysis'!D11</f>
        <v>2.3626764941950561E-2</v>
      </c>
      <c r="E11" s="53">
        <f>'Baseline System Analysis'!E11</f>
        <v>7.0028879872988448E-2</v>
      </c>
      <c r="F11" s="53">
        <f>'Baseline System Analysis'!F11</f>
        <v>0.10932167994761965</v>
      </c>
      <c r="G11" s="53">
        <f>'Baseline System Analysis'!G11</f>
        <v>0.14861448002225086</v>
      </c>
      <c r="H11" s="53">
        <f>'Baseline System Analysis'!H11</f>
        <v>0.18790728009688207</v>
      </c>
      <c r="I11" s="53">
        <f>'Baseline System Analysis'!I11</f>
        <v>0.22720008017151327</v>
      </c>
      <c r="J11" s="53">
        <f>'Baseline System Analysis'!J11</f>
        <v>0.26649288024614448</v>
      </c>
      <c r="K11" s="53">
        <f>'Baseline System Analysis'!K11</f>
        <v>0.23052059848767945</v>
      </c>
      <c r="L11" s="53">
        <f>'Baseline System Analysis'!L11</f>
        <v>0.19433546299099821</v>
      </c>
      <c r="M11" s="53">
        <f>'Baseline System Analysis'!M11</f>
        <v>0.16091742609112245</v>
      </c>
      <c r="N11" s="53">
        <f>'Baseline System Analysis'!N11</f>
        <v>4.2212624824281168E-2</v>
      </c>
      <c r="O11" s="53">
        <f>'Baseline System Analysis'!O11</f>
        <v>0.30677545020347896</v>
      </c>
      <c r="P11" s="53">
        <f>'Baseline System Analysis'!P11</f>
        <v>0.39920718602367722</v>
      </c>
      <c r="Q11" s="53">
        <f>'Baseline System Analysis'!Q11</f>
        <v>0.49163892184387548</v>
      </c>
      <c r="R11" s="53">
        <f>'Baseline System Analysis'!R11</f>
        <v>0.58407065766407373</v>
      </c>
      <c r="S11" s="53">
        <f>'Baseline System Analysis'!S11</f>
        <v>0.67650239348427199</v>
      </c>
      <c r="T11" s="53">
        <f>'Baseline System Analysis'!T11</f>
        <v>0.76893412930447014</v>
      </c>
      <c r="U11" s="53">
        <f>'Baseline System Analysis'!U11</f>
        <v>0.69278283231502535</v>
      </c>
      <c r="V11" s="53">
        <f>'Baseline System Analysis'!V11</f>
        <v>0.61663153532558057</v>
      </c>
      <c r="W11" s="53">
        <f>'Baseline System Analysis'!W11</f>
        <v>0.54048023833613579</v>
      </c>
      <c r="X11" s="53">
        <f>'Baseline System Analysis'!X11</f>
        <v>0.464328941346691</v>
      </c>
      <c r="Y11" s="53">
        <f>'Baseline System Analysis'!Y11</f>
        <v>0.38817764435724611</v>
      </c>
      <c r="Z11" s="53">
        <f>'Baseline System Analysis'!Z11</f>
        <v>0.85998146994216484</v>
      </c>
      <c r="AA11" s="53">
        <f>'Baseline System Analysis'!AA11</f>
        <v>1.3317852955270837</v>
      </c>
      <c r="AB11" s="53">
        <f>'Baseline System Analysis'!AB11</f>
        <v>1.8035891211120025</v>
      </c>
      <c r="AC11" s="53">
        <f>'Baseline System Analysis'!AC11</f>
        <v>2.2753929466969214</v>
      </c>
      <c r="AD11" s="53">
        <f>'Baseline System Analysis'!AD11</f>
        <v>2.74719677228184</v>
      </c>
    </row>
    <row r="12" spans="1:30" x14ac:dyDescent="0.35">
      <c r="A12" s="72" t="s">
        <v>39</v>
      </c>
      <c r="B12" s="180"/>
      <c r="C12" s="72" t="s">
        <v>35</v>
      </c>
      <c r="D12" s="53">
        <f>'Baseline System Analysis'!D12</f>
        <v>2</v>
      </c>
      <c r="E12" s="53">
        <f>'Baseline System Analysis'!E12</f>
        <v>4</v>
      </c>
      <c r="F12" s="53">
        <f>'Baseline System Analysis'!F12</f>
        <v>4.5999999999999996</v>
      </c>
      <c r="G12" s="53">
        <f>'Baseline System Analysis'!G12</f>
        <v>5.1999999999999993</v>
      </c>
      <c r="H12" s="53">
        <f>'Baseline System Analysis'!H12</f>
        <v>5.7999999999999989</v>
      </c>
      <c r="I12" s="53">
        <f>'Baseline System Analysis'!I12</f>
        <v>6.3999999999999986</v>
      </c>
      <c r="J12" s="53">
        <f>'Baseline System Analysis'!J12</f>
        <v>7</v>
      </c>
      <c r="K12" s="53">
        <f>'Baseline System Analysis'!K12</f>
        <v>7</v>
      </c>
      <c r="L12" s="53">
        <f>'Baseline System Analysis'!L12</f>
        <v>6</v>
      </c>
      <c r="M12" s="53">
        <f>'Baseline System Analysis'!M12</f>
        <v>5</v>
      </c>
      <c r="N12" s="53">
        <f>'Baseline System Analysis'!N12</f>
        <v>7</v>
      </c>
      <c r="O12" s="53">
        <f>'Baseline System Analysis'!O12</f>
        <v>8.1666666666666661</v>
      </c>
      <c r="P12" s="53">
        <f>'Baseline System Analysis'!P12</f>
        <v>9.3333333333333321</v>
      </c>
      <c r="Q12" s="53">
        <f>'Baseline System Analysis'!Q12</f>
        <v>10.499999999999998</v>
      </c>
      <c r="R12" s="53">
        <f>'Baseline System Analysis'!R12</f>
        <v>11.666666666666664</v>
      </c>
      <c r="S12" s="53">
        <f>'Baseline System Analysis'!S12</f>
        <v>12.83333333333333</v>
      </c>
      <c r="T12" s="53">
        <f>'Baseline System Analysis'!T12</f>
        <v>14</v>
      </c>
      <c r="U12" s="53">
        <f>'Baseline System Analysis'!U12</f>
        <v>17</v>
      </c>
      <c r="V12" s="53">
        <f>'Baseline System Analysis'!V12</f>
        <v>20</v>
      </c>
      <c r="W12" s="53">
        <f>'Baseline System Analysis'!W12</f>
        <v>23</v>
      </c>
      <c r="X12" s="53">
        <f>'Baseline System Analysis'!X12</f>
        <v>26</v>
      </c>
      <c r="Y12" s="53">
        <f>'Baseline System Analysis'!Y12</f>
        <v>29</v>
      </c>
      <c r="Z12" s="53">
        <f>'Baseline System Analysis'!Z12</f>
        <v>30.6</v>
      </c>
      <c r="AA12" s="53">
        <f>'Baseline System Analysis'!AA12</f>
        <v>32.200000000000003</v>
      </c>
      <c r="AB12" s="53">
        <f>'Baseline System Analysis'!AB12</f>
        <v>33.800000000000004</v>
      </c>
      <c r="AC12" s="53">
        <f>'Baseline System Analysis'!AC12</f>
        <v>35.400000000000006</v>
      </c>
      <c r="AD12" s="53">
        <f>'Baseline System Analysis'!AD12</f>
        <v>37</v>
      </c>
    </row>
    <row r="13" spans="1:30" s="52" customFormat="1" x14ac:dyDescent="0.35">
      <c r="A13" s="72" t="s">
        <v>30</v>
      </c>
      <c r="B13" s="180"/>
      <c r="C13" s="72" t="s">
        <v>108</v>
      </c>
      <c r="D13" s="53">
        <f>'Baseline System Analysis'!D13</f>
        <v>5445.825674993449</v>
      </c>
      <c r="E13" s="53">
        <f>'Baseline System Analysis'!E13</f>
        <v>7241.293555071361</v>
      </c>
      <c r="F13" s="53">
        <f>'Baseline System Analysis'!F13</f>
        <v>9036.7614351492721</v>
      </c>
      <c r="G13" s="53">
        <f>'Baseline System Analysis'!G13</f>
        <v>10832.229315227183</v>
      </c>
      <c r="H13" s="53">
        <f>'Baseline System Analysis'!H13</f>
        <v>12627.697195305094</v>
      </c>
      <c r="I13" s="53">
        <f>'Baseline System Analysis'!I13</f>
        <v>14423.165075383005</v>
      </c>
      <c r="J13" s="53">
        <f>'Baseline System Analysis'!J13</f>
        <v>16218.632955460916</v>
      </c>
      <c r="K13" s="53">
        <f>'Baseline System Analysis'!K13</f>
        <v>15620.143662101613</v>
      </c>
      <c r="L13" s="53">
        <f>'Baseline System Analysis'!L13</f>
        <v>15021.654368742309</v>
      </c>
      <c r="M13" s="53">
        <f>'Baseline System Analysis'!M13</f>
        <v>13525.43113534405</v>
      </c>
      <c r="N13" s="53">
        <f>'Baseline System Analysis'!N13</f>
        <v>14423.165075383005</v>
      </c>
      <c r="O13" s="53">
        <f>'Baseline System Analysis'!O13</f>
        <v>16913.232955460899</v>
      </c>
      <c r="P13" s="53">
        <f>'Baseline System Analysis'!P13</f>
        <v>17831.369243247562</v>
      </c>
      <c r="Q13" s="53">
        <f>'Baseline System Analysis'!Q13</f>
        <v>18749.505531034225</v>
      </c>
      <c r="R13" s="53">
        <f>'Baseline System Analysis'!R13</f>
        <v>19667.641818820888</v>
      </c>
      <c r="S13" s="53">
        <f>'Baseline System Analysis'!S13</f>
        <v>20585.778106607551</v>
      </c>
      <c r="T13" s="53">
        <f>'Baseline System Analysis'!T13</f>
        <v>21503.914394394214</v>
      </c>
      <c r="U13" s="53">
        <f>'Baseline System Analysis'!U13</f>
        <v>22422.050682180878</v>
      </c>
      <c r="V13" s="53">
        <f>'Baseline System Analysis'!V13</f>
        <v>23340.186969967541</v>
      </c>
      <c r="W13" s="53">
        <f>'Baseline System Analysis'!W13</f>
        <v>24258.323257754204</v>
      </c>
      <c r="X13" s="53">
        <f>'Baseline System Analysis'!X13</f>
        <v>25176.459545540867</v>
      </c>
      <c r="Y13" s="53">
        <f>'Baseline System Analysis'!Y13</f>
        <v>26094.59583332753</v>
      </c>
      <c r="Z13" s="53">
        <f>'Baseline System Analysis'!Z13</f>
        <v>27012.732121114193</v>
      </c>
      <c r="AA13" s="53">
        <f>'Baseline System Analysis'!AA13</f>
        <v>27930.868408900857</v>
      </c>
      <c r="AB13" s="53">
        <f>'Baseline System Analysis'!AB13</f>
        <v>28849.00469668752</v>
      </c>
      <c r="AC13" s="53">
        <f>'Baseline System Analysis'!AC13</f>
        <v>29767.140984474183</v>
      </c>
      <c r="AD13" s="53">
        <f>'Baseline System Analysis'!AD13</f>
        <v>30685.277272260842</v>
      </c>
    </row>
    <row r="14" spans="1:30" s="52" customFormat="1" x14ac:dyDescent="0.35">
      <c r="A14" s="72" t="s">
        <v>30</v>
      </c>
      <c r="B14" s="180"/>
      <c r="C14" s="72" t="s">
        <v>109</v>
      </c>
      <c r="D14" s="53">
        <f>'Baseline System Analysis'!D14</f>
        <v>192864.66620394157</v>
      </c>
      <c r="E14" s="53">
        <f>'Baseline System Analysis'!E14</f>
        <v>195239.2419650236</v>
      </c>
      <c r="F14" s="53">
        <f>'Baseline System Analysis'!F14</f>
        <v>196366.76544203321</v>
      </c>
      <c r="G14" s="53">
        <f>'Baseline System Analysis'!G14</f>
        <v>197525.37556068008</v>
      </c>
      <c r="H14" s="53">
        <f>'Baseline System Analysis'!H14</f>
        <v>198743.92387830256</v>
      </c>
      <c r="I14" s="53">
        <f>'Baseline System Analysis'!I14</f>
        <v>200140.93841202525</v>
      </c>
      <c r="J14" s="53">
        <f>'Baseline System Analysis'!J14</f>
        <v>201537.7102617296</v>
      </c>
      <c r="K14" s="53">
        <f>'Baseline System Analysis'!K14</f>
        <v>200616.89493678272</v>
      </c>
      <c r="L14" s="53">
        <f>'Baseline System Analysis'!L14</f>
        <v>199696.14928779242</v>
      </c>
      <c r="M14" s="53">
        <f>'Baseline System Analysis'!M14</f>
        <v>198775.23322502323</v>
      </c>
      <c r="N14" s="53">
        <f>'Baseline System Analysis'!N14</f>
        <v>200250.33489773443</v>
      </c>
      <c r="O14" s="53">
        <f>'Baseline System Analysis'!O14</f>
        <v>201766.1654636735</v>
      </c>
      <c r="P14" s="53">
        <f>'Baseline System Analysis'!P14</f>
        <v>203325.96278464468</v>
      </c>
      <c r="Q14" s="53">
        <f>'Baseline System Analysis'!Q14</f>
        <v>204856.96017693213</v>
      </c>
      <c r="R14" s="53">
        <f>'Baseline System Analysis'!R14</f>
        <v>206421.18825616254</v>
      </c>
      <c r="S14" s="53">
        <f>'Baseline System Analysis'!S14</f>
        <v>208013.70502273936</v>
      </c>
      <c r="T14" s="53">
        <f>'Baseline System Analysis'!T14</f>
        <v>209643.37199318074</v>
      </c>
      <c r="U14" s="53">
        <f>'Baseline System Analysis'!U14</f>
        <v>211125.2902170599</v>
      </c>
      <c r="V14" s="53">
        <f>'Baseline System Analysis'!V14</f>
        <v>212613.854578328</v>
      </c>
      <c r="W14" s="53">
        <f>'Baseline System Analysis'!W14</f>
        <v>214101.90769825791</v>
      </c>
      <c r="X14" s="53">
        <f>'Baseline System Analysis'!X14</f>
        <v>215599.50398982322</v>
      </c>
      <c r="Y14" s="53">
        <f>'Baseline System Analysis'!Y14</f>
        <v>216849.14823265999</v>
      </c>
      <c r="Z14" s="53">
        <f>'Baseline System Analysis'!Z14</f>
        <v>218069.3108916957</v>
      </c>
      <c r="AA14" s="53">
        <f>'Baseline System Analysis'!AA14</f>
        <v>219248.74465750376</v>
      </c>
      <c r="AB14" s="53">
        <f>'Baseline System Analysis'!AB14</f>
        <v>220395.79980526475</v>
      </c>
      <c r="AC14" s="53">
        <f>'Baseline System Analysis'!AC14</f>
        <v>221214.46760051764</v>
      </c>
      <c r="AD14" s="53">
        <f>'Baseline System Analysis'!AD14</f>
        <v>221946.05395460132</v>
      </c>
    </row>
    <row r="15" spans="1:30" s="52" customFormat="1" x14ac:dyDescent="0.35">
      <c r="A15" s="72" t="s">
        <v>30</v>
      </c>
      <c r="B15" s="180"/>
      <c r="C15" s="72" t="s">
        <v>110</v>
      </c>
      <c r="D15" s="53">
        <f>'Baseline System Analysis'!D15</f>
        <v>57814.1637958055</v>
      </c>
      <c r="E15" s="53">
        <f>'Baseline System Analysis'!E15</f>
        <v>62191.746894023359</v>
      </c>
      <c r="F15" s="53">
        <f>'Baseline System Analysis'!F15</f>
        <v>64361.105239567863</v>
      </c>
      <c r="G15" s="53">
        <f>'Baseline System Analysis'!G15</f>
        <v>66628.501001105484</v>
      </c>
      <c r="H15" s="53">
        <f>'Baseline System Analysis'!H15</f>
        <v>69068.22672153436</v>
      </c>
      <c r="I15" s="53">
        <f>'Baseline System Analysis'!I15</f>
        <v>71918.961016641551</v>
      </c>
      <c r="J15" s="53">
        <f>'Baseline System Analysis'!J15</f>
        <v>74820.679205256296</v>
      </c>
      <c r="K15" s="53">
        <f>'Baseline System Analysis'!K15</f>
        <v>72899.28225345345</v>
      </c>
      <c r="L15" s="53">
        <f>'Baseline System Analysis'!L15</f>
        <v>71006.352594376862</v>
      </c>
      <c r="M15" s="53">
        <f>'Baseline System Analysis'!M15</f>
        <v>69131.616141376318</v>
      </c>
      <c r="N15" s="53">
        <f>'Baseline System Analysis'!N15</f>
        <v>72143.764963991809</v>
      </c>
      <c r="O15" s="53">
        <f>'Baseline System Analysis'!O15</f>
        <v>75301.925896232133</v>
      </c>
      <c r="P15" s="53">
        <f>'Baseline System Analysis'!P15</f>
        <v>78629.627518656707</v>
      </c>
      <c r="Q15" s="53">
        <f>'Baseline System Analysis'!Q15</f>
        <v>81951.057574073071</v>
      </c>
      <c r="R15" s="53">
        <f>'Baseline System Analysis'!R15</f>
        <v>85383.424638269789</v>
      </c>
      <c r="S15" s="53">
        <f>'Baseline System Analysis'!S15</f>
        <v>88945.971119594135</v>
      </c>
      <c r="T15" s="53">
        <f>'Baseline System Analysis'!T15</f>
        <v>92676.895920951385</v>
      </c>
      <c r="U15" s="53">
        <f>'Baseline System Analysis'!U15</f>
        <v>96145.729908431153</v>
      </c>
      <c r="V15" s="53">
        <f>'Baseline System Analysis'!V15</f>
        <v>99700.858162341799</v>
      </c>
      <c r="W15" s="53">
        <f>'Baseline System Analysis'!W15</f>
        <v>103340.20977892888</v>
      </c>
      <c r="X15" s="53">
        <f>'Baseline System Analysis'!X15</f>
        <v>107065.51818072386</v>
      </c>
      <c r="Y15" s="53">
        <f>'Baseline System Analysis'!Y15</f>
        <v>110237.64392344528</v>
      </c>
      <c r="Z15" s="53">
        <f>'Baseline System Analysis'!Z15</f>
        <v>113355.67104643886</v>
      </c>
      <c r="AA15" s="53">
        <f>'Baseline System Analysis'!AA15</f>
        <v>116394.79841235251</v>
      </c>
      <c r="AB15" s="53">
        <f>'Baseline System Analysis'!AB15</f>
        <v>119393.94598127359</v>
      </c>
      <c r="AC15" s="53">
        <f>'Baseline System Analysis'!AC15</f>
        <v>121552.79504833522</v>
      </c>
      <c r="AD15" s="53">
        <f>'Baseline System Analysis'!AD15</f>
        <v>123501.36707164065</v>
      </c>
    </row>
    <row r="17" spans="1:31" ht="20" thickBot="1" x14ac:dyDescent="0.5">
      <c r="A17" s="113"/>
      <c r="B17" s="122"/>
      <c r="C17" s="113" t="s">
        <v>105</v>
      </c>
      <c r="D17" s="113">
        <v>2022</v>
      </c>
      <c r="E17" s="113">
        <v>2023</v>
      </c>
      <c r="F17" s="113">
        <v>2024</v>
      </c>
      <c r="G17" s="113">
        <v>2025</v>
      </c>
      <c r="H17" s="113">
        <v>2026</v>
      </c>
      <c r="I17" s="113">
        <v>2027</v>
      </c>
      <c r="J17" s="113">
        <v>2028</v>
      </c>
      <c r="K17" s="113">
        <v>2029</v>
      </c>
      <c r="L17" s="113">
        <v>2030</v>
      </c>
      <c r="M17" s="113">
        <v>2031</v>
      </c>
      <c r="N17" s="113">
        <v>2032</v>
      </c>
      <c r="O17" s="113">
        <v>2033</v>
      </c>
      <c r="P17" s="113">
        <v>2034</v>
      </c>
      <c r="Q17" s="113">
        <v>2035</v>
      </c>
      <c r="R17" s="113">
        <v>2036</v>
      </c>
      <c r="S17" s="113">
        <v>2037</v>
      </c>
      <c r="T17" s="113">
        <v>2038</v>
      </c>
      <c r="U17" s="113">
        <v>2039</v>
      </c>
      <c r="V17" s="113">
        <v>2040</v>
      </c>
      <c r="W17" s="113">
        <v>2041</v>
      </c>
      <c r="X17" s="113">
        <v>2042</v>
      </c>
      <c r="Y17" s="113">
        <v>2043</v>
      </c>
      <c r="Z17" s="113">
        <v>2044</v>
      </c>
      <c r="AA17" s="113">
        <v>2045</v>
      </c>
      <c r="AB17" s="113">
        <v>2046</v>
      </c>
      <c r="AC17" s="113">
        <v>2047</v>
      </c>
      <c r="AD17" s="113">
        <v>2048</v>
      </c>
      <c r="AE17" s="72"/>
    </row>
    <row r="18" spans="1:31" ht="15" thickTop="1" x14ac:dyDescent="0.35">
      <c r="A18" s="72"/>
      <c r="B18" s="179" t="s">
        <v>18</v>
      </c>
      <c r="C18" s="72" t="s">
        <v>107</v>
      </c>
      <c r="D18" s="53">
        <v>48898.025000000453</v>
      </c>
      <c r="E18" s="53">
        <v>49299.65961538507</v>
      </c>
      <c r="F18" s="53">
        <v>49701.294230769687</v>
      </c>
      <c r="G18" s="53">
        <v>50102.928846154304</v>
      </c>
      <c r="H18" s="53">
        <v>50504.563461538921</v>
      </c>
      <c r="I18" s="53">
        <v>50906.198076923538</v>
      </c>
      <c r="J18" s="53">
        <v>51307.832692308155</v>
      </c>
      <c r="K18" s="53">
        <v>50631.55000000017</v>
      </c>
      <c r="L18" s="53">
        <v>50425.700000000143</v>
      </c>
      <c r="M18" s="53">
        <v>51306.347115385113</v>
      </c>
      <c r="N18" s="53">
        <v>50213.500000000175</v>
      </c>
      <c r="O18" s="53">
        <v>50566.118750000198</v>
      </c>
      <c r="P18" s="53">
        <v>50918.737500000221</v>
      </c>
      <c r="Q18" s="53">
        <v>51271.356250000244</v>
      </c>
      <c r="R18" s="53">
        <v>51623.975000000268</v>
      </c>
      <c r="S18" s="53">
        <v>51976.593750000291</v>
      </c>
      <c r="T18" s="53">
        <v>52329.212500000314</v>
      </c>
      <c r="U18" s="53">
        <v>52681.831250000338</v>
      </c>
      <c r="V18" s="53">
        <v>53034.450000000361</v>
      </c>
      <c r="W18" s="53">
        <v>53387.068750000384</v>
      </c>
      <c r="X18" s="53">
        <v>53739.687500000407</v>
      </c>
      <c r="Y18" s="53">
        <v>54092.306250000431</v>
      </c>
      <c r="Z18" s="53">
        <v>54444.925000000454</v>
      </c>
      <c r="AA18" s="53">
        <v>54797.543750000477</v>
      </c>
      <c r="AB18" s="53">
        <v>55150.162500000501</v>
      </c>
      <c r="AC18" s="53">
        <v>55502.781250000524</v>
      </c>
      <c r="AD18" s="53">
        <v>55855.400000000503</v>
      </c>
      <c r="AE18" s="72"/>
    </row>
    <row r="19" spans="1:31" x14ac:dyDescent="0.35">
      <c r="A19" s="72" t="s">
        <v>30</v>
      </c>
      <c r="B19" s="180"/>
      <c r="C19" s="72" t="s">
        <v>31</v>
      </c>
      <c r="D19" s="53">
        <v>5.7999999999999829</v>
      </c>
      <c r="E19" s="53">
        <v>14.48333333333332</v>
      </c>
      <c r="F19" s="53">
        <v>23.166666666666657</v>
      </c>
      <c r="G19" s="53">
        <v>31.849999999999994</v>
      </c>
      <c r="H19" s="53">
        <v>40.533333333333331</v>
      </c>
      <c r="I19" s="53">
        <v>49.216666666666669</v>
      </c>
      <c r="J19" s="53">
        <v>57.900000000000006</v>
      </c>
      <c r="K19" s="53">
        <v>52.5</v>
      </c>
      <c r="L19" s="53">
        <v>44.099999999999966</v>
      </c>
      <c r="M19" s="53">
        <v>35.900000000000006</v>
      </c>
      <c r="N19" s="53">
        <v>48.499999999999972</v>
      </c>
      <c r="O19" s="53">
        <v>61.10000000000008</v>
      </c>
      <c r="P19" s="53">
        <v>82.380000000000067</v>
      </c>
      <c r="Q19" s="53">
        <v>103.66000000000005</v>
      </c>
      <c r="R19" s="53">
        <v>124.94000000000004</v>
      </c>
      <c r="S19" s="53">
        <v>146.22000000000003</v>
      </c>
      <c r="T19" s="72">
        <v>167.5</v>
      </c>
      <c r="U19" s="53">
        <v>220.02</v>
      </c>
      <c r="V19" s="53">
        <v>272.54000000000002</v>
      </c>
      <c r="W19" s="53">
        <v>325.06</v>
      </c>
      <c r="X19" s="53">
        <v>377.58</v>
      </c>
      <c r="Y19" s="53">
        <v>430.1</v>
      </c>
      <c r="Z19" s="53">
        <v>490.70000000000005</v>
      </c>
      <c r="AA19" s="53">
        <v>551.30000000000007</v>
      </c>
      <c r="AB19" s="53">
        <v>611.90000000000009</v>
      </c>
      <c r="AC19" s="53">
        <v>672.50000000000011</v>
      </c>
      <c r="AD19" s="53">
        <v>733.1</v>
      </c>
      <c r="AE19" s="72"/>
    </row>
    <row r="20" spans="1:31" x14ac:dyDescent="0.35">
      <c r="A20" s="72" t="s">
        <v>30</v>
      </c>
      <c r="B20" s="180"/>
      <c r="C20" s="72" t="s">
        <v>32</v>
      </c>
      <c r="D20" s="53">
        <v>3</v>
      </c>
      <c r="E20" s="53">
        <v>4.916666666666667</v>
      </c>
      <c r="F20" s="53">
        <v>6.8333333333333339</v>
      </c>
      <c r="G20" s="53">
        <v>8.75</v>
      </c>
      <c r="H20" s="53">
        <v>10.666666666666666</v>
      </c>
      <c r="I20" s="53">
        <v>12.583333333333332</v>
      </c>
      <c r="J20" s="53">
        <v>14.5</v>
      </c>
      <c r="K20" s="53">
        <v>13.5</v>
      </c>
      <c r="L20" s="53">
        <v>11.800000000000011</v>
      </c>
      <c r="M20" s="53">
        <v>10.100000000000023</v>
      </c>
      <c r="N20" s="53">
        <v>12.899999999999977</v>
      </c>
      <c r="O20" s="53">
        <v>15.100000000000023</v>
      </c>
      <c r="P20" s="53">
        <v>17.260000000000012</v>
      </c>
      <c r="Q20" s="53">
        <v>19.420000000000002</v>
      </c>
      <c r="R20" s="53">
        <v>21.579999999999991</v>
      </c>
      <c r="S20" s="53">
        <v>23.739999999999981</v>
      </c>
      <c r="T20" s="72">
        <v>25.899999999999977</v>
      </c>
      <c r="U20" s="53">
        <v>27.819999999999983</v>
      </c>
      <c r="V20" s="53">
        <v>29.739999999999988</v>
      </c>
      <c r="W20" s="53">
        <v>31.659999999999993</v>
      </c>
      <c r="X20" s="53">
        <v>33.58</v>
      </c>
      <c r="Y20" s="53">
        <v>35.5</v>
      </c>
      <c r="Z20" s="53">
        <v>36.58</v>
      </c>
      <c r="AA20" s="53">
        <v>37.659999999999997</v>
      </c>
      <c r="AB20" s="53">
        <v>38.739999999999995</v>
      </c>
      <c r="AC20" s="53">
        <v>39.819999999999993</v>
      </c>
      <c r="AD20" s="72">
        <v>40.899999999999977</v>
      </c>
      <c r="AE20" s="72"/>
    </row>
    <row r="21" spans="1:31" x14ac:dyDescent="0.35">
      <c r="A21" s="72" t="s">
        <v>30</v>
      </c>
      <c r="B21" s="180"/>
      <c r="C21" s="72" t="s">
        <v>33</v>
      </c>
      <c r="D21" s="53">
        <v>1.589413014335395E-2</v>
      </c>
      <c r="E21" s="53">
        <v>8.3763892766986259E-2</v>
      </c>
      <c r="F21" s="53">
        <v>0.15163365539061857</v>
      </c>
      <c r="G21" s="53">
        <v>0.21950341801425088</v>
      </c>
      <c r="H21" s="53">
        <v>0.2873731806378832</v>
      </c>
      <c r="I21" s="53">
        <v>0.35524294326151551</v>
      </c>
      <c r="J21" s="53">
        <v>0.42311270588514782</v>
      </c>
      <c r="K21" s="53">
        <v>0.33569499009670084</v>
      </c>
      <c r="L21" s="53">
        <v>0.28198379168122845</v>
      </c>
      <c r="M21" s="53">
        <v>0.19675836970565813</v>
      </c>
      <c r="N21" s="53">
        <v>0.31011822894647584</v>
      </c>
      <c r="O21" s="53">
        <v>0.44649717322249682</v>
      </c>
      <c r="P21" s="53">
        <v>0.87624427563870033</v>
      </c>
      <c r="Q21" s="53">
        <v>1.305991378054904</v>
      </c>
      <c r="R21" s="53">
        <v>1.7357384804711073</v>
      </c>
      <c r="S21" s="53">
        <v>2.1654855828873107</v>
      </c>
      <c r="T21" s="53">
        <v>2.5952326853035141</v>
      </c>
      <c r="U21" s="53">
        <v>4.3787527413114233</v>
      </c>
      <c r="V21" s="53">
        <v>6.162272797319333</v>
      </c>
      <c r="W21" s="53">
        <v>7.9457928533272426</v>
      </c>
      <c r="X21" s="53">
        <v>9.7293129093351514</v>
      </c>
      <c r="Y21" s="53">
        <v>11.512832965343062</v>
      </c>
      <c r="Z21" s="53">
        <v>14.811529356203364</v>
      </c>
      <c r="AA21" s="53">
        <v>18.110225747063666</v>
      </c>
      <c r="AB21" s="53">
        <v>21.408922137923966</v>
      </c>
      <c r="AC21" s="53">
        <v>24.707618528784266</v>
      </c>
      <c r="AD21" s="6">
        <v>28.00631491964457</v>
      </c>
      <c r="AE21" s="72"/>
    </row>
    <row r="22" spans="1:31" x14ac:dyDescent="0.35">
      <c r="A22" s="72" t="s">
        <v>30</v>
      </c>
      <c r="B22" s="180"/>
      <c r="C22" s="72" t="s">
        <v>34</v>
      </c>
      <c r="D22" s="53">
        <v>5.2980433811179832E-3</v>
      </c>
      <c r="E22" s="53">
        <v>1.3229884190205566E-2</v>
      </c>
      <c r="F22" s="53">
        <v>2.1161724999293148E-2</v>
      </c>
      <c r="G22" s="53">
        <v>2.9093565808380732E-2</v>
      </c>
      <c r="H22" s="53">
        <v>3.7025406617468316E-2</v>
      </c>
      <c r="I22" s="53">
        <v>4.4957247426555901E-2</v>
      </c>
      <c r="J22" s="53">
        <v>5.2889088235643478E-2</v>
      </c>
      <c r="K22" s="53">
        <v>4.7956427156671547E-2</v>
      </c>
      <c r="L22" s="53">
        <v>4.0283398811604067E-2</v>
      </c>
      <c r="M22" s="53">
        <v>3.2793061617609691E-2</v>
      </c>
      <c r="N22" s="53">
        <v>4.4302604135210831E-2</v>
      </c>
      <c r="O22" s="53">
        <v>5.5812146652812103E-2</v>
      </c>
      <c r="P22" s="53">
        <v>7.5253192874087688E-2</v>
      </c>
      <c r="Q22" s="53">
        <v>9.4694239095363286E-2</v>
      </c>
      <c r="R22" s="53">
        <v>0.11413528531663888</v>
      </c>
      <c r="S22" s="53">
        <v>0.13357633153791448</v>
      </c>
      <c r="T22" s="53">
        <v>0.15301737775919005</v>
      </c>
      <c r="U22" s="53">
        <v>0.20155147472899532</v>
      </c>
      <c r="V22" s="53">
        <v>0.25008557169880058</v>
      </c>
      <c r="W22" s="53">
        <v>0.29861966866860584</v>
      </c>
      <c r="X22" s="53">
        <v>0.3471537656384111</v>
      </c>
      <c r="Y22" s="53">
        <v>0.39568786260821631</v>
      </c>
      <c r="Z22" s="53">
        <v>0.45221430727952383</v>
      </c>
      <c r="AA22" s="53">
        <v>0.50874075195083135</v>
      </c>
      <c r="AB22" s="53">
        <v>0.56526719662213887</v>
      </c>
      <c r="AC22" s="53">
        <v>0.62179364129344639</v>
      </c>
      <c r="AD22" s="6">
        <v>0.67832008596475402</v>
      </c>
      <c r="AE22" s="72"/>
    </row>
    <row r="23" spans="1:31" x14ac:dyDescent="0.35">
      <c r="A23" s="72" t="s">
        <v>30</v>
      </c>
      <c r="B23" s="180"/>
      <c r="C23" s="72" t="s">
        <v>35</v>
      </c>
      <c r="D23" s="53">
        <v>3</v>
      </c>
      <c r="E23" s="53">
        <v>3.8333333333333335</v>
      </c>
      <c r="F23" s="53">
        <v>4.666666666666667</v>
      </c>
      <c r="G23" s="53">
        <v>5.5</v>
      </c>
      <c r="H23" s="53">
        <v>6.333333333333333</v>
      </c>
      <c r="I23" s="53">
        <v>7.1666666666666661</v>
      </c>
      <c r="J23" s="53">
        <v>8</v>
      </c>
      <c r="K23" s="53">
        <v>7</v>
      </c>
      <c r="L23" s="53">
        <v>6.9999999999999991</v>
      </c>
      <c r="M23" s="53">
        <v>6</v>
      </c>
      <c r="N23" s="53">
        <v>7</v>
      </c>
      <c r="O23" s="53">
        <v>8</v>
      </c>
      <c r="P23" s="53">
        <v>9.8000000000000007</v>
      </c>
      <c r="Q23" s="53">
        <v>11.600000000000001</v>
      </c>
      <c r="R23" s="53">
        <v>13.400000000000002</v>
      </c>
      <c r="S23" s="53">
        <v>15.200000000000003</v>
      </c>
      <c r="T23" s="72">
        <v>17</v>
      </c>
      <c r="U23" s="53">
        <v>19.600000000000001</v>
      </c>
      <c r="V23" s="53">
        <v>22.200000000000003</v>
      </c>
      <c r="W23" s="53">
        <v>24.800000000000004</v>
      </c>
      <c r="X23" s="53">
        <v>27.400000000000006</v>
      </c>
      <c r="Y23" s="53">
        <v>30</v>
      </c>
      <c r="Z23" s="53">
        <v>32.799999999999997</v>
      </c>
      <c r="AA23" s="53">
        <v>35.599999999999994</v>
      </c>
      <c r="AB23" s="53">
        <v>38.399999999999991</v>
      </c>
      <c r="AC23" s="53">
        <v>41.199999999999989</v>
      </c>
      <c r="AD23" s="72">
        <v>44</v>
      </c>
      <c r="AE23" s="72"/>
    </row>
    <row r="24" spans="1:31" x14ac:dyDescent="0.35">
      <c r="A24" s="72" t="s">
        <v>30</v>
      </c>
      <c r="B24" s="180"/>
      <c r="C24" s="72" t="s">
        <v>108</v>
      </c>
      <c r="D24" s="53">
        <v>3808.3606649666053</v>
      </c>
      <c r="E24" s="53">
        <v>5063.9625989576198</v>
      </c>
      <c r="F24" s="53">
        <v>6319.5645329486342</v>
      </c>
      <c r="G24" s="53">
        <v>7575.1664669396487</v>
      </c>
      <c r="H24" s="53">
        <v>8830.7684009306613</v>
      </c>
      <c r="I24" s="53">
        <v>10086.370334921676</v>
      </c>
      <c r="J24" s="53">
        <v>11341.97226891269</v>
      </c>
      <c r="K24" s="53">
        <v>10868.455604166578</v>
      </c>
      <c r="L24" s="53">
        <v>10394.938939420466</v>
      </c>
      <c r="M24" s="53">
        <v>9921.4222746743526</v>
      </c>
      <c r="N24" s="53">
        <v>10158.180607047409</v>
      </c>
      <c r="O24" s="53">
        <v>11732.447696763189</v>
      </c>
      <c r="P24" s="53">
        <v>12452.819245108331</v>
      </c>
      <c r="Q24" s="53">
        <v>13173.190793453474</v>
      </c>
      <c r="R24" s="53">
        <v>13893.562341798617</v>
      </c>
      <c r="S24" s="53">
        <v>14613.933890143759</v>
      </c>
      <c r="T24" s="53">
        <v>15334.3054384889</v>
      </c>
      <c r="U24" s="53">
        <v>16054.676986834043</v>
      </c>
      <c r="V24" s="53">
        <v>16775.048535179187</v>
      </c>
      <c r="W24" s="53">
        <v>17495.420083524328</v>
      </c>
      <c r="X24" s="53">
        <v>18215.79163186947</v>
      </c>
      <c r="Y24" s="53">
        <v>18936.163180214615</v>
      </c>
      <c r="Z24" s="53">
        <v>19656.534728559756</v>
      </c>
      <c r="AA24" s="53">
        <v>20376.906276904898</v>
      </c>
      <c r="AB24" s="53">
        <v>21097.277825250039</v>
      </c>
      <c r="AC24" s="53">
        <v>21817.649373595181</v>
      </c>
      <c r="AD24" s="53">
        <v>22538.02092194033</v>
      </c>
      <c r="AE24" s="72"/>
    </row>
    <row r="25" spans="1:31" x14ac:dyDescent="0.35">
      <c r="A25" s="72" t="s">
        <v>30</v>
      </c>
      <c r="B25" s="180"/>
      <c r="C25" s="72" t="s">
        <v>109</v>
      </c>
      <c r="D25" s="53">
        <v>71622.059634170728</v>
      </c>
      <c r="E25" s="53">
        <v>73607.657778804467</v>
      </c>
      <c r="F25" s="53">
        <v>74550.371616256671</v>
      </c>
      <c r="G25" s="53">
        <v>75519.161123638376</v>
      </c>
      <c r="H25" s="53">
        <v>76537.964620884944</v>
      </c>
      <c r="I25" s="53">
        <v>77706.097637727886</v>
      </c>
      <c r="J25" s="53">
        <v>78873.945674571762</v>
      </c>
      <c r="K25" s="53">
        <v>78104.072206652403</v>
      </c>
      <c r="L25" s="53">
        <v>77334.198738733001</v>
      </c>
      <c r="M25" s="53">
        <v>76564.182780814066</v>
      </c>
      <c r="N25" s="53">
        <v>77797.576217480644</v>
      </c>
      <c r="O25" s="53">
        <v>79065.024764055241</v>
      </c>
      <c r="P25" s="53">
        <v>80369.235730530534</v>
      </c>
      <c r="Q25" s="53">
        <v>81649.365887070875</v>
      </c>
      <c r="R25" s="53">
        <v>82957.281593535969</v>
      </c>
      <c r="S25" s="53">
        <v>84288.850639937227</v>
      </c>
      <c r="T25" s="53">
        <v>85651.482506254542</v>
      </c>
      <c r="U25" s="53">
        <v>86890.575542905834</v>
      </c>
      <c r="V25" s="53">
        <v>88135.225689542029</v>
      </c>
      <c r="W25" s="53">
        <v>89379.448366179335</v>
      </c>
      <c r="X25" s="53">
        <v>90631.650482795085</v>
      </c>
      <c r="Y25" s="53">
        <v>91676.529649971169</v>
      </c>
      <c r="Z25" s="53">
        <v>92696.758047213894</v>
      </c>
      <c r="AA25" s="53">
        <v>93682.931334548746</v>
      </c>
      <c r="AB25" s="53">
        <v>94642.031521956684</v>
      </c>
      <c r="AC25" s="53">
        <v>95326.553480106639</v>
      </c>
      <c r="AD25" s="53">
        <v>95938.263048453387</v>
      </c>
      <c r="AE25" s="53"/>
    </row>
    <row r="26" spans="1:31" s="66" customFormat="1" x14ac:dyDescent="0.35">
      <c r="A26" s="72" t="s">
        <v>30</v>
      </c>
      <c r="B26" s="180"/>
      <c r="C26" s="72" t="s">
        <v>110</v>
      </c>
      <c r="D26" s="53">
        <v>15863.846476217259</v>
      </c>
      <c r="E26" s="53">
        <v>17648.293767042403</v>
      </c>
      <c r="F26" s="53">
        <v>18532.244523148096</v>
      </c>
      <c r="G26" s="53">
        <v>19475.148233995918</v>
      </c>
      <c r="H26" s="53">
        <v>20493.678762344603</v>
      </c>
      <c r="I26" s="53">
        <v>21703.196239143919</v>
      </c>
      <c r="J26" s="53">
        <v>22945.987241384046</v>
      </c>
      <c r="K26" s="53">
        <v>22121.167384204149</v>
      </c>
      <c r="L26" s="53">
        <v>21313.216847513409</v>
      </c>
      <c r="M26" s="53">
        <v>20520.343055199748</v>
      </c>
      <c r="N26" s="53">
        <v>21799.181944671545</v>
      </c>
      <c r="O26" s="53">
        <v>23155.160797144639</v>
      </c>
      <c r="P26" s="53">
        <v>24606.212858334246</v>
      </c>
      <c r="Q26" s="53">
        <v>26062.534655766136</v>
      </c>
      <c r="R26" s="53">
        <v>27614.352629039277</v>
      </c>
      <c r="S26" s="53">
        <v>29256.497034562006</v>
      </c>
      <c r="T26" s="53">
        <v>30979.052125443355</v>
      </c>
      <c r="U26" s="53">
        <v>32583.371772255432</v>
      </c>
      <c r="V26" s="53">
        <v>34238.68977756815</v>
      </c>
      <c r="W26" s="53">
        <v>35926.36101064668</v>
      </c>
      <c r="X26" s="53">
        <v>37681.745153968404</v>
      </c>
      <c r="Y26" s="53">
        <v>39178.670783861744</v>
      </c>
      <c r="Z26" s="53">
        <v>40662.761386946149</v>
      </c>
      <c r="AA26" s="53">
        <v>42131.111721124595</v>
      </c>
      <c r="AB26" s="53">
        <v>43588.039918084593</v>
      </c>
      <c r="AC26" s="53">
        <v>44646.029972745077</v>
      </c>
      <c r="AD26" s="53">
        <v>45597.096228981674</v>
      </c>
      <c r="AE26" s="53"/>
    </row>
    <row r="27" spans="1:31" x14ac:dyDescent="0.35">
      <c r="A27" s="72" t="s">
        <v>39</v>
      </c>
      <c r="B27" s="180"/>
      <c r="C27" s="72" t="s">
        <v>31</v>
      </c>
      <c r="D27" s="53">
        <v>0</v>
      </c>
      <c r="E27" s="53">
        <v>0</v>
      </c>
      <c r="F27" s="53">
        <v>0</v>
      </c>
      <c r="G27" s="53">
        <v>0</v>
      </c>
      <c r="H27" s="53">
        <v>0</v>
      </c>
      <c r="I27" s="53">
        <v>0</v>
      </c>
      <c r="J27" s="53">
        <v>0</v>
      </c>
      <c r="K27" s="53">
        <v>0</v>
      </c>
      <c r="L27" s="53">
        <v>0</v>
      </c>
      <c r="M27" s="53">
        <v>0</v>
      </c>
      <c r="N27" s="53">
        <v>0</v>
      </c>
      <c r="O27" s="53">
        <v>0</v>
      </c>
      <c r="P27" s="53">
        <v>0</v>
      </c>
      <c r="Q27" s="53">
        <v>0</v>
      </c>
      <c r="R27" s="53">
        <v>0</v>
      </c>
      <c r="S27" s="53">
        <v>0</v>
      </c>
      <c r="T27" s="53">
        <v>0</v>
      </c>
      <c r="U27" s="53">
        <v>0</v>
      </c>
      <c r="V27" s="53">
        <v>0</v>
      </c>
      <c r="W27" s="53">
        <v>0</v>
      </c>
      <c r="X27" s="53">
        <v>0</v>
      </c>
      <c r="Y27" s="53">
        <v>0</v>
      </c>
      <c r="Z27" s="53">
        <v>0</v>
      </c>
      <c r="AA27" s="53">
        <v>0</v>
      </c>
      <c r="AB27" s="53">
        <v>0</v>
      </c>
      <c r="AC27" s="53">
        <v>0</v>
      </c>
      <c r="AD27" s="53">
        <v>0</v>
      </c>
      <c r="AE27" s="53"/>
    </row>
    <row r="28" spans="1:31" x14ac:dyDescent="0.35">
      <c r="A28" s="72" t="s">
        <v>39</v>
      </c>
      <c r="B28" s="180"/>
      <c r="C28" s="72" t="s">
        <v>32</v>
      </c>
      <c r="D28" s="53">
        <v>0</v>
      </c>
      <c r="E28" s="53">
        <v>0</v>
      </c>
      <c r="F28" s="53">
        <v>0</v>
      </c>
      <c r="G28" s="53">
        <v>0</v>
      </c>
      <c r="H28" s="53">
        <v>0</v>
      </c>
      <c r="I28" s="53">
        <v>0</v>
      </c>
      <c r="J28" s="53">
        <v>0</v>
      </c>
      <c r="K28" s="53">
        <v>0</v>
      </c>
      <c r="L28" s="53">
        <v>0</v>
      </c>
      <c r="M28" s="53">
        <v>0</v>
      </c>
      <c r="N28" s="53">
        <v>0</v>
      </c>
      <c r="O28" s="53">
        <v>0</v>
      </c>
      <c r="P28" s="53">
        <v>0</v>
      </c>
      <c r="Q28" s="53">
        <v>0</v>
      </c>
      <c r="R28" s="53">
        <v>0</v>
      </c>
      <c r="S28" s="53">
        <v>0</v>
      </c>
      <c r="T28" s="53">
        <v>0</v>
      </c>
      <c r="U28" s="53">
        <v>0</v>
      </c>
      <c r="V28" s="53">
        <v>0</v>
      </c>
      <c r="W28" s="53">
        <v>0</v>
      </c>
      <c r="X28" s="53">
        <v>0</v>
      </c>
      <c r="Y28" s="53">
        <v>0</v>
      </c>
      <c r="Z28" s="53">
        <v>0</v>
      </c>
      <c r="AA28" s="53">
        <v>0</v>
      </c>
      <c r="AB28" s="53">
        <v>0</v>
      </c>
      <c r="AC28" s="53">
        <v>0</v>
      </c>
      <c r="AD28" s="53">
        <v>0</v>
      </c>
      <c r="AE28" s="53"/>
    </row>
    <row r="29" spans="1:31" x14ac:dyDescent="0.35">
      <c r="A29" s="72" t="s">
        <v>39</v>
      </c>
      <c r="B29" s="180"/>
      <c r="C29" s="72" t="s">
        <v>33</v>
      </c>
      <c r="D29" s="53">
        <v>0</v>
      </c>
      <c r="E29" s="53">
        <v>0</v>
      </c>
      <c r="F29" s="53">
        <v>0</v>
      </c>
      <c r="G29" s="53">
        <v>0</v>
      </c>
      <c r="H29" s="53">
        <v>0</v>
      </c>
      <c r="I29" s="53">
        <v>0</v>
      </c>
      <c r="J29" s="53">
        <v>0</v>
      </c>
      <c r="K29" s="53">
        <v>0</v>
      </c>
      <c r="L29" s="53">
        <v>0</v>
      </c>
      <c r="M29" s="53">
        <v>0</v>
      </c>
      <c r="N29" s="53">
        <v>0</v>
      </c>
      <c r="O29" s="53">
        <v>0</v>
      </c>
      <c r="P29" s="53">
        <v>0</v>
      </c>
      <c r="Q29" s="53">
        <v>0</v>
      </c>
      <c r="R29" s="53">
        <v>0</v>
      </c>
      <c r="S29" s="53">
        <v>0</v>
      </c>
      <c r="T29" s="53">
        <v>0</v>
      </c>
      <c r="U29" s="53">
        <v>0</v>
      </c>
      <c r="V29" s="53">
        <v>0</v>
      </c>
      <c r="W29" s="53">
        <v>0</v>
      </c>
      <c r="X29" s="53">
        <v>0</v>
      </c>
      <c r="Y29" s="53">
        <v>0</v>
      </c>
      <c r="Z29" s="53">
        <v>0</v>
      </c>
      <c r="AA29" s="53">
        <v>0</v>
      </c>
      <c r="AB29" s="53">
        <v>0</v>
      </c>
      <c r="AC29" s="53">
        <v>0</v>
      </c>
      <c r="AD29" s="53">
        <v>0</v>
      </c>
      <c r="AE29" s="53"/>
    </row>
    <row r="30" spans="1:31" x14ac:dyDescent="0.35">
      <c r="A30" s="72" t="s">
        <v>39</v>
      </c>
      <c r="B30" s="180"/>
      <c r="C30" s="72" t="s">
        <v>34</v>
      </c>
      <c r="D30" s="53">
        <v>0</v>
      </c>
      <c r="E30" s="53">
        <v>0</v>
      </c>
      <c r="F30" s="53">
        <v>0</v>
      </c>
      <c r="G30" s="53">
        <v>0</v>
      </c>
      <c r="H30" s="53">
        <v>0</v>
      </c>
      <c r="I30" s="53">
        <v>0</v>
      </c>
      <c r="J30" s="53">
        <v>0</v>
      </c>
      <c r="K30" s="53">
        <v>0</v>
      </c>
      <c r="L30" s="53">
        <v>0</v>
      </c>
      <c r="M30" s="53">
        <v>0</v>
      </c>
      <c r="N30" s="53">
        <v>0</v>
      </c>
      <c r="O30" s="53">
        <v>0</v>
      </c>
      <c r="P30" s="53">
        <v>0</v>
      </c>
      <c r="Q30" s="53">
        <v>0</v>
      </c>
      <c r="R30" s="53">
        <v>0</v>
      </c>
      <c r="S30" s="53">
        <v>0</v>
      </c>
      <c r="T30" s="53">
        <v>0</v>
      </c>
      <c r="U30" s="53">
        <v>0</v>
      </c>
      <c r="V30" s="53">
        <v>0</v>
      </c>
      <c r="W30" s="53">
        <v>0</v>
      </c>
      <c r="X30" s="53">
        <v>0</v>
      </c>
      <c r="Y30" s="53">
        <v>0</v>
      </c>
      <c r="Z30" s="53">
        <v>0</v>
      </c>
      <c r="AA30" s="53">
        <v>0</v>
      </c>
      <c r="AB30" s="53">
        <v>0</v>
      </c>
      <c r="AC30" s="53">
        <v>0</v>
      </c>
      <c r="AD30" s="53">
        <v>0</v>
      </c>
      <c r="AE30" s="53"/>
    </row>
    <row r="31" spans="1:31" x14ac:dyDescent="0.35">
      <c r="A31" s="72" t="s">
        <v>39</v>
      </c>
      <c r="B31" s="180"/>
      <c r="C31" s="72" t="s">
        <v>35</v>
      </c>
      <c r="D31" s="53">
        <v>0</v>
      </c>
      <c r="E31" s="53">
        <v>0</v>
      </c>
      <c r="F31" s="53">
        <v>0</v>
      </c>
      <c r="G31" s="53">
        <v>0</v>
      </c>
      <c r="H31" s="53">
        <v>0</v>
      </c>
      <c r="I31" s="53">
        <v>0</v>
      </c>
      <c r="J31" s="53">
        <v>0</v>
      </c>
      <c r="K31" s="53">
        <v>0</v>
      </c>
      <c r="L31" s="53">
        <v>0</v>
      </c>
      <c r="M31" s="53">
        <v>0</v>
      </c>
      <c r="N31" s="53">
        <v>0</v>
      </c>
      <c r="O31" s="53">
        <v>0</v>
      </c>
      <c r="P31" s="53">
        <v>0</v>
      </c>
      <c r="Q31" s="53">
        <v>0</v>
      </c>
      <c r="R31" s="53">
        <v>0</v>
      </c>
      <c r="S31" s="53">
        <v>0</v>
      </c>
      <c r="T31" s="53">
        <v>0</v>
      </c>
      <c r="U31" s="53">
        <v>0</v>
      </c>
      <c r="V31" s="53">
        <v>0</v>
      </c>
      <c r="W31" s="53">
        <v>0</v>
      </c>
      <c r="X31" s="53">
        <v>0</v>
      </c>
      <c r="Y31" s="53">
        <v>0</v>
      </c>
      <c r="Z31" s="53">
        <v>0</v>
      </c>
      <c r="AA31" s="53">
        <v>0</v>
      </c>
      <c r="AB31" s="53">
        <v>0</v>
      </c>
      <c r="AC31" s="53">
        <v>0</v>
      </c>
      <c r="AD31" s="53">
        <v>0</v>
      </c>
      <c r="AE31" s="72"/>
    </row>
    <row r="32" spans="1:31" x14ac:dyDescent="0.35">
      <c r="A32" s="72" t="s">
        <v>130</v>
      </c>
      <c r="B32" s="72" t="s">
        <v>111</v>
      </c>
      <c r="C32" s="72" t="s">
        <v>131</v>
      </c>
      <c r="D32" s="53">
        <v>0</v>
      </c>
      <c r="E32" s="53">
        <v>0</v>
      </c>
      <c r="F32" s="53">
        <v>0</v>
      </c>
      <c r="G32" s="53">
        <v>0</v>
      </c>
      <c r="H32" s="53">
        <v>0</v>
      </c>
      <c r="I32" s="53">
        <v>0</v>
      </c>
      <c r="J32" s="53">
        <v>0</v>
      </c>
      <c r="K32" s="53">
        <v>0</v>
      </c>
      <c r="L32" s="53">
        <v>0</v>
      </c>
      <c r="M32" s="53">
        <v>0</v>
      </c>
      <c r="N32" s="53">
        <v>0</v>
      </c>
      <c r="O32" s="53">
        <v>0</v>
      </c>
      <c r="P32" s="53">
        <v>0</v>
      </c>
      <c r="Q32" s="53">
        <v>0</v>
      </c>
      <c r="R32" s="53">
        <v>0</v>
      </c>
      <c r="S32" s="53">
        <v>0</v>
      </c>
      <c r="T32" s="53">
        <v>0</v>
      </c>
      <c r="U32" s="53">
        <v>0</v>
      </c>
      <c r="V32" s="53">
        <v>0</v>
      </c>
      <c r="W32" s="53">
        <v>0</v>
      </c>
      <c r="X32" s="53">
        <v>0</v>
      </c>
      <c r="Y32" s="53">
        <v>0</v>
      </c>
      <c r="Z32" s="53">
        <v>0</v>
      </c>
      <c r="AA32" s="53">
        <v>0</v>
      </c>
      <c r="AB32" s="53">
        <v>0</v>
      </c>
      <c r="AC32" s="53">
        <v>0</v>
      </c>
      <c r="AD32" s="53">
        <v>0</v>
      </c>
      <c r="AE32" s="72"/>
    </row>
    <row r="33" spans="1:30" x14ac:dyDescent="0.35">
      <c r="A33" s="72" t="s">
        <v>130</v>
      </c>
      <c r="B33" s="72" t="s">
        <v>132</v>
      </c>
      <c r="C33" s="72" t="s">
        <v>131</v>
      </c>
      <c r="D33" s="53">
        <v>0</v>
      </c>
      <c r="E33" s="53">
        <v>0</v>
      </c>
      <c r="F33" s="53">
        <v>0</v>
      </c>
      <c r="G33" s="53">
        <v>0</v>
      </c>
      <c r="H33" s="53">
        <v>0</v>
      </c>
      <c r="I33" s="53">
        <v>0</v>
      </c>
      <c r="J33" s="53">
        <v>0</v>
      </c>
      <c r="K33" s="53">
        <v>0</v>
      </c>
      <c r="L33" s="53">
        <v>0</v>
      </c>
      <c r="M33" s="53">
        <v>0</v>
      </c>
      <c r="N33" s="53">
        <v>0</v>
      </c>
      <c r="O33" s="53">
        <v>0</v>
      </c>
      <c r="P33" s="53">
        <v>0</v>
      </c>
      <c r="Q33" s="53">
        <v>0</v>
      </c>
      <c r="R33" s="53">
        <v>0</v>
      </c>
      <c r="S33" s="53">
        <v>0</v>
      </c>
      <c r="T33" s="53">
        <v>0</v>
      </c>
      <c r="U33" s="53">
        <v>0</v>
      </c>
      <c r="V33" s="53">
        <v>0</v>
      </c>
      <c r="W33" s="53">
        <v>0</v>
      </c>
      <c r="X33" s="53">
        <v>0</v>
      </c>
      <c r="Y33" s="53">
        <v>0</v>
      </c>
      <c r="Z33" s="53">
        <v>0</v>
      </c>
      <c r="AA33" s="53">
        <v>0</v>
      </c>
      <c r="AB33" s="53">
        <v>0</v>
      </c>
      <c r="AC33" s="53">
        <v>0</v>
      </c>
      <c r="AD33" s="53">
        <v>0</v>
      </c>
    </row>
    <row r="34" spans="1:30" x14ac:dyDescent="0.35">
      <c r="A34" s="72" t="s">
        <v>133</v>
      </c>
      <c r="B34" s="72" t="s">
        <v>111</v>
      </c>
      <c r="C34" s="72" t="s">
        <v>131</v>
      </c>
      <c r="D34" s="53">
        <v>1160.0589384927875</v>
      </c>
      <c r="E34" s="53">
        <v>3691.1855585448388</v>
      </c>
      <c r="F34" s="53">
        <v>6222.3121785968906</v>
      </c>
      <c r="G34" s="53">
        <v>8753.4387986489419</v>
      </c>
      <c r="H34" s="53">
        <v>11284.565418700993</v>
      </c>
      <c r="I34" s="53">
        <v>13815.692038753044</v>
      </c>
      <c r="J34" s="53">
        <v>16346.818658805096</v>
      </c>
      <c r="K34" s="53">
        <v>14543.972703460953</v>
      </c>
      <c r="L34" s="53">
        <v>12267.411681005064</v>
      </c>
      <c r="M34" s="53">
        <v>11508.032229664592</v>
      </c>
      <c r="N34" s="53">
        <v>11795.733035406205</v>
      </c>
      <c r="O34" s="53">
        <v>19011.863779512787</v>
      </c>
      <c r="P34" s="53">
        <v>26614.434779950097</v>
      </c>
      <c r="Q34" s="53">
        <v>34217.005780387408</v>
      </c>
      <c r="R34" s="53">
        <v>41819.576780824718</v>
      </c>
      <c r="S34" s="53">
        <v>49422.147781262029</v>
      </c>
      <c r="T34" s="53">
        <v>57024.718781699346</v>
      </c>
      <c r="U34" s="53">
        <v>78728.88703169208</v>
      </c>
      <c r="V34" s="53">
        <v>100433.05528168482</v>
      </c>
      <c r="W34" s="53">
        <v>122137.22353167756</v>
      </c>
      <c r="X34" s="53">
        <v>143841.3917816703</v>
      </c>
      <c r="Y34" s="53">
        <v>165545.56003166302</v>
      </c>
      <c r="Z34" s="53">
        <v>204593.35113101293</v>
      </c>
      <c r="AA34" s="53">
        <v>243641.14223036284</v>
      </c>
      <c r="AB34" s="53">
        <v>282688.93332971272</v>
      </c>
      <c r="AC34" s="53">
        <v>321736.72442906263</v>
      </c>
      <c r="AD34" s="53">
        <v>360784.51552841254</v>
      </c>
    </row>
    <row r="35" spans="1:30" x14ac:dyDescent="0.35">
      <c r="A35" s="72" t="s">
        <v>133</v>
      </c>
      <c r="B35" s="72" t="s">
        <v>132</v>
      </c>
      <c r="C35" s="72" t="s">
        <v>131</v>
      </c>
      <c r="D35" s="53">
        <v>4813.6481260157188</v>
      </c>
      <c r="E35" s="53">
        <v>15316.522167184798</v>
      </c>
      <c r="F35" s="53">
        <v>25819.396208353879</v>
      </c>
      <c r="G35" s="53">
        <v>36322.270249522961</v>
      </c>
      <c r="H35" s="53">
        <v>46825.144290692042</v>
      </c>
      <c r="I35" s="53">
        <v>57328.018331861123</v>
      </c>
      <c r="J35" s="53">
        <v>67830.89237303019</v>
      </c>
      <c r="K35" s="53">
        <v>60350.008629560558</v>
      </c>
      <c r="L35" s="53">
        <v>50903.450928153427</v>
      </c>
      <c r="M35" s="53">
        <v>47752.416656024812</v>
      </c>
      <c r="N35" s="53">
        <v>48946.227072425427</v>
      </c>
      <c r="O35" s="53">
        <v>78889.459334903295</v>
      </c>
      <c r="P35" s="53">
        <v>110436.21996475905</v>
      </c>
      <c r="Q35" s="53">
        <v>141982.98059461478</v>
      </c>
      <c r="R35" s="53">
        <v>173529.74122447052</v>
      </c>
      <c r="S35" s="53">
        <v>205076.50185432626</v>
      </c>
      <c r="T35" s="53">
        <v>236623.26248418202</v>
      </c>
      <c r="U35" s="53">
        <v>326684.40106654458</v>
      </c>
      <c r="V35" s="53">
        <v>416745.53964890714</v>
      </c>
      <c r="W35" s="53">
        <v>506806.6782312697</v>
      </c>
      <c r="X35" s="53">
        <v>596867.81681363226</v>
      </c>
      <c r="Y35" s="53">
        <v>686928.95539599471</v>
      </c>
      <c r="Z35" s="53">
        <v>848957.21121431538</v>
      </c>
      <c r="AA35" s="53">
        <v>1010985.4670326361</v>
      </c>
      <c r="AB35" s="53">
        <v>1173013.7228509567</v>
      </c>
      <c r="AC35" s="53">
        <v>1335041.9786692774</v>
      </c>
      <c r="AD35" s="53">
        <v>1497070.2344875983</v>
      </c>
    </row>
    <row r="36" spans="1:30" ht="29" x14ac:dyDescent="0.35">
      <c r="A36" s="3" t="s">
        <v>134</v>
      </c>
      <c r="B36" s="3" t="s">
        <v>135</v>
      </c>
      <c r="C36" s="72" t="s">
        <v>131</v>
      </c>
      <c r="D36" s="53">
        <v>4851883.8074179851</v>
      </c>
      <c r="E36" s="53">
        <v>5548866.4783700239</v>
      </c>
      <c r="F36" s="53">
        <v>5954619.7490993757</v>
      </c>
      <c r="G36" s="53">
        <v>6363793.177570492</v>
      </c>
      <c r="H36" s="53">
        <v>6862681.5291777924</v>
      </c>
      <c r="I36" s="53">
        <v>7430776.4174247123</v>
      </c>
      <c r="J36" s="53">
        <v>7958064.5940639684</v>
      </c>
      <c r="K36" s="53">
        <v>7957168.0490261456</v>
      </c>
      <c r="L36" s="53">
        <v>7874171.1774361301</v>
      </c>
      <c r="M36" s="53">
        <v>7776287.7266217675</v>
      </c>
      <c r="N36" s="53">
        <v>8450702.8694002908</v>
      </c>
      <c r="O36" s="53">
        <v>9080603.7963677123</v>
      </c>
      <c r="P36" s="53">
        <v>9916810.7160479799</v>
      </c>
      <c r="Q36" s="53">
        <v>10742147.081796253</v>
      </c>
      <c r="R36" s="53">
        <v>11532452.826251276</v>
      </c>
      <c r="S36" s="53">
        <v>12410650.170190752</v>
      </c>
      <c r="T36" s="53">
        <v>13427370.439666543</v>
      </c>
      <c r="U36" s="53">
        <v>14508754.442283049</v>
      </c>
      <c r="V36" s="53">
        <v>15576671.591655424</v>
      </c>
      <c r="W36" s="53">
        <v>16678510.376912402</v>
      </c>
      <c r="X36" s="53">
        <v>17727086.423294671</v>
      </c>
      <c r="Y36" s="53">
        <v>18931202.45624445</v>
      </c>
      <c r="Z36" s="53">
        <v>20126360.67314858</v>
      </c>
      <c r="AA36" s="53">
        <v>21277070.972831454</v>
      </c>
      <c r="AB36" s="53">
        <v>22513024.658740595</v>
      </c>
      <c r="AC36" s="53">
        <v>23603677.486926477</v>
      </c>
      <c r="AD36" s="53">
        <v>24710377.8005694</v>
      </c>
    </row>
    <row r="38" spans="1:30" x14ac:dyDescent="0.35">
      <c r="A38" s="72"/>
      <c r="B38" s="72"/>
      <c r="C38" s="72" t="s">
        <v>136</v>
      </c>
      <c r="D38" s="53">
        <f>'Cost Assumptions'!$B$4</f>
        <v>40</v>
      </c>
      <c r="E38" s="53">
        <f>D38*'Cost Assumptions'!$B$5</f>
        <v>41</v>
      </c>
      <c r="F38" s="53">
        <f>E38*'Cost Assumptions'!$B$5</f>
        <v>42.024999999999999</v>
      </c>
      <c r="G38" s="53">
        <f>F38*'Cost Assumptions'!$B$5</f>
        <v>43.075624999999995</v>
      </c>
      <c r="H38" s="53">
        <f>G38*'Cost Assumptions'!$B$5</f>
        <v>44.152515624999992</v>
      </c>
      <c r="I38" s="53">
        <f>H38*'Cost Assumptions'!$B$5</f>
        <v>45.256328515624986</v>
      </c>
      <c r="J38" s="53">
        <f>I38*'Cost Assumptions'!$B$5</f>
        <v>46.387736728515605</v>
      </c>
      <c r="K38" s="53">
        <f>J38*'Cost Assumptions'!$B$5</f>
        <v>47.547430146728495</v>
      </c>
      <c r="L38" s="53">
        <f>K38*'Cost Assumptions'!$B$5</f>
        <v>48.736115900396705</v>
      </c>
      <c r="M38" s="53">
        <f>L38*'Cost Assumptions'!$B$5</f>
        <v>49.954518797906616</v>
      </c>
      <c r="N38" s="53">
        <f>M38*'Cost Assumptions'!$B$5</f>
        <v>51.203381767854275</v>
      </c>
      <c r="O38" s="53">
        <f>N38*'Cost Assumptions'!$B$5</f>
        <v>52.483466312050624</v>
      </c>
      <c r="P38" s="53">
        <f>O38*'Cost Assumptions'!$B$5</f>
        <v>53.795552969851883</v>
      </c>
      <c r="Q38" s="53">
        <f>P38*'Cost Assumptions'!$B$5</f>
        <v>55.140441794098173</v>
      </c>
      <c r="R38" s="53">
        <f>Q38*'Cost Assumptions'!$B$5</f>
        <v>56.518952838950625</v>
      </c>
      <c r="S38" s="53">
        <f>R38*'Cost Assumptions'!$B$5</f>
        <v>57.931926659924386</v>
      </c>
      <c r="T38" s="53">
        <f>S38*'Cost Assumptions'!$B$5</f>
        <v>59.380224826422491</v>
      </c>
      <c r="U38" s="53">
        <f>T38*'Cost Assumptions'!$B$5</f>
        <v>60.864730447083048</v>
      </c>
      <c r="V38" s="53">
        <f>U38*'Cost Assumptions'!$B$5</f>
        <v>62.386348708260115</v>
      </c>
      <c r="W38" s="53">
        <f>V38*'Cost Assumptions'!$B$5</f>
        <v>63.946007425966613</v>
      </c>
      <c r="X38" s="53">
        <f>W38*'Cost Assumptions'!$B$5</f>
        <v>65.544657611615776</v>
      </c>
      <c r="Y38" s="53">
        <f>X38*'Cost Assumptions'!$B$5</f>
        <v>67.183274051906167</v>
      </c>
      <c r="Z38" s="53">
        <f>Y38*'Cost Assumptions'!$B$5</f>
        <v>68.862855903203823</v>
      </c>
      <c r="AA38" s="53">
        <f>Z38*'Cost Assumptions'!$B$5</f>
        <v>70.584427300783915</v>
      </c>
      <c r="AB38" s="53">
        <f>AA38*'Cost Assumptions'!$B$5</f>
        <v>72.349037983303504</v>
      </c>
      <c r="AC38" s="53">
        <f>AB38*'Cost Assumptions'!$B$5</f>
        <v>74.157763932886084</v>
      </c>
      <c r="AD38" s="53">
        <f>AC38*'Cost Assumptions'!$B$5</f>
        <v>76.011708031208229</v>
      </c>
    </row>
    <row r="39" spans="1:30" x14ac:dyDescent="0.35">
      <c r="A39" s="72"/>
      <c r="B39" s="72"/>
      <c r="C39" s="72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</row>
    <row r="40" spans="1:30" ht="23.5" x14ac:dyDescent="0.55000000000000004">
      <c r="A40" s="72"/>
      <c r="B40" s="178" t="s">
        <v>137</v>
      </c>
      <c r="C40" s="178"/>
      <c r="D40" s="178"/>
      <c r="E40" s="178"/>
      <c r="F40" s="178"/>
      <c r="G40" s="178"/>
      <c r="H40" s="178"/>
      <c r="I40" s="178"/>
      <c r="J40" s="178"/>
      <c r="K40" s="178"/>
      <c r="L40" s="178"/>
      <c r="M40" s="178"/>
      <c r="N40" s="178"/>
      <c r="O40" s="178"/>
      <c r="P40" s="178"/>
      <c r="Q40" s="178"/>
      <c r="R40" s="178"/>
      <c r="S40" s="178"/>
      <c r="T40" s="178"/>
      <c r="U40" s="178"/>
      <c r="V40" s="178"/>
      <c r="W40" s="178"/>
      <c r="X40" s="178"/>
      <c r="Y40" s="178"/>
      <c r="Z40" s="178"/>
      <c r="AA40" s="178"/>
      <c r="AB40" s="178"/>
      <c r="AC40" s="178"/>
      <c r="AD40" s="178"/>
    </row>
    <row r="41" spans="1:30" ht="20" thickBot="1" x14ac:dyDescent="0.5">
      <c r="A41" s="113"/>
      <c r="B41" s="122" t="s">
        <v>138</v>
      </c>
      <c r="C41" s="113" t="s">
        <v>105</v>
      </c>
      <c r="D41" s="113">
        <v>2022</v>
      </c>
      <c r="E41" s="113">
        <v>2023</v>
      </c>
      <c r="F41" s="113">
        <v>2024</v>
      </c>
      <c r="G41" s="113">
        <v>2025</v>
      </c>
      <c r="H41" s="113">
        <v>2026</v>
      </c>
      <c r="I41" s="113">
        <v>2027</v>
      </c>
      <c r="J41" s="113">
        <v>2028</v>
      </c>
      <c r="K41" s="113">
        <v>2029</v>
      </c>
      <c r="L41" s="113">
        <v>2030</v>
      </c>
      <c r="M41" s="113">
        <v>2031</v>
      </c>
      <c r="N41" s="113">
        <v>2032</v>
      </c>
      <c r="O41" s="113">
        <v>2033</v>
      </c>
      <c r="P41" s="113">
        <v>2034</v>
      </c>
      <c r="Q41" s="113">
        <v>2035</v>
      </c>
      <c r="R41" s="113">
        <v>2036</v>
      </c>
      <c r="S41" s="113">
        <v>2037</v>
      </c>
      <c r="T41" s="113">
        <v>2038</v>
      </c>
      <c r="U41" s="113">
        <v>2039</v>
      </c>
      <c r="V41" s="113">
        <v>2040</v>
      </c>
      <c r="W41" s="113">
        <v>2041</v>
      </c>
      <c r="X41" s="113">
        <v>2042</v>
      </c>
      <c r="Y41" s="113">
        <v>2043</v>
      </c>
      <c r="Z41" s="113">
        <v>2044</v>
      </c>
      <c r="AA41" s="113">
        <v>2045</v>
      </c>
      <c r="AB41" s="113">
        <v>2046</v>
      </c>
      <c r="AC41" s="113">
        <v>2047</v>
      </c>
      <c r="AD41" s="113">
        <v>2048</v>
      </c>
    </row>
    <row r="42" spans="1:30" ht="15" thickTop="1" x14ac:dyDescent="0.35">
      <c r="A42" s="72"/>
      <c r="B42" s="10">
        <f>NPV('Cost Assumptions'!$B$3,Menifee!D42:'Menifee'!AD42)</f>
        <v>11889.762977927188</v>
      </c>
      <c r="C42" s="72" t="s">
        <v>107</v>
      </c>
      <c r="D42" s="53">
        <f t="shared" ref="D42:AD42" si="0">D2-D18</f>
        <v>768.97499999908177</v>
      </c>
      <c r="E42" s="53">
        <f t="shared" si="0"/>
        <v>804.13076922986511</v>
      </c>
      <c r="F42" s="53">
        <f t="shared" si="0"/>
        <v>839.28653846064844</v>
      </c>
      <c r="G42" s="53">
        <f t="shared" si="0"/>
        <v>874.44230769143178</v>
      </c>
      <c r="H42" s="53">
        <f t="shared" si="0"/>
        <v>909.59807692221511</v>
      </c>
      <c r="I42" s="53">
        <f t="shared" si="0"/>
        <v>944.75384615299845</v>
      </c>
      <c r="J42" s="53">
        <f t="shared" si="0"/>
        <v>979.90961538378178</v>
      </c>
      <c r="K42" s="53">
        <f t="shared" si="0"/>
        <v>1066.6346153840132</v>
      </c>
      <c r="L42" s="53">
        <f t="shared" si="0"/>
        <v>1562.6538461532764</v>
      </c>
      <c r="M42" s="53">
        <f t="shared" si="0"/>
        <v>972.1759615375413</v>
      </c>
      <c r="N42" s="53">
        <f t="shared" si="0"/>
        <v>2355.1923076917155</v>
      </c>
      <c r="O42" s="53">
        <f t="shared" si="0"/>
        <v>2292.7427884609278</v>
      </c>
      <c r="P42" s="53">
        <f t="shared" si="0"/>
        <v>2230.2932692301401</v>
      </c>
      <c r="Q42" s="53">
        <f t="shared" si="0"/>
        <v>2167.8437499993524</v>
      </c>
      <c r="R42" s="53">
        <f t="shared" si="0"/>
        <v>2105.3942307685647</v>
      </c>
      <c r="S42" s="53">
        <f t="shared" si="0"/>
        <v>2042.944711537777</v>
      </c>
      <c r="T42" s="53">
        <f t="shared" si="0"/>
        <v>1980.4951923069893</v>
      </c>
      <c r="U42" s="53">
        <f t="shared" si="0"/>
        <v>1918.0456730762016</v>
      </c>
      <c r="V42" s="53">
        <f t="shared" si="0"/>
        <v>1855.5961538454139</v>
      </c>
      <c r="W42" s="53">
        <f t="shared" si="0"/>
        <v>1793.1466346146262</v>
      </c>
      <c r="X42" s="53">
        <f t="shared" si="0"/>
        <v>1730.6971153838385</v>
      </c>
      <c r="Y42" s="53">
        <f t="shared" si="0"/>
        <v>1668.2475961530508</v>
      </c>
      <c r="Z42" s="53">
        <f t="shared" si="0"/>
        <v>1605.7980769222631</v>
      </c>
      <c r="AA42" s="53">
        <f t="shared" si="0"/>
        <v>1543.3485576914754</v>
      </c>
      <c r="AB42" s="53">
        <f t="shared" si="0"/>
        <v>1480.8990384606877</v>
      </c>
      <c r="AC42" s="53">
        <f t="shared" si="0"/>
        <v>1418.4495192299</v>
      </c>
      <c r="AD42" s="53">
        <f t="shared" si="0"/>
        <v>1355.9999999991342</v>
      </c>
    </row>
    <row r="43" spans="1:30" x14ac:dyDescent="0.35">
      <c r="A43" s="72"/>
      <c r="B43" s="10">
        <f>NPV('Cost Assumptions'!$B$3,Menifee!D43:'Menifee'!AD43)</f>
        <v>614918.62882412423</v>
      </c>
      <c r="C43" s="72" t="s">
        <v>139</v>
      </c>
      <c r="D43" s="53">
        <f>D42*D38</f>
        <v>30758.999999963271</v>
      </c>
      <c r="E43" s="53">
        <f>E42*E38</f>
        <v>32969.361538424469</v>
      </c>
      <c r="F43" s="53">
        <f>F42*F38</f>
        <v>35271.016778808749</v>
      </c>
      <c r="G43" s="53">
        <f>G42*G38</f>
        <v>37667.148930250725</v>
      </c>
      <c r="H43" s="53">
        <f t="shared" ref="H43:AD43" si="1">H42*H38</f>
        <v>40161.043303778046</v>
      </c>
      <c r="I43" s="53">
        <f t="shared" si="1"/>
        <v>42756.090427900323</v>
      </c>
      <c r="J43" s="53">
        <f t="shared" si="1"/>
        <v>45455.789256163858</v>
      </c>
      <c r="K43" s="53">
        <f t="shared" si="1"/>
        <v>50715.73486705398</v>
      </c>
      <c r="L43" s="53">
        <f t="shared" si="1"/>
        <v>76157.678958326753</v>
      </c>
      <c r="M43" s="53">
        <f t="shared" si="1"/>
        <v>48564.582345500043</v>
      </c>
      <c r="N43" s="53">
        <f t="shared" si="1"/>
        <v>120593.81086745262</v>
      </c>
      <c r="O43" s="53">
        <f t="shared" si="1"/>
        <v>120331.08890038611</v>
      </c>
      <c r="P43" s="53">
        <f t="shared" si="1"/>
        <v>119979.85970317414</v>
      </c>
      <c r="Q43" s="53">
        <f t="shared" si="1"/>
        <v>119535.86211553881</v>
      </c>
      <c r="R43" s="53">
        <f t="shared" si="1"/>
        <v>118994.67723620724</v>
      </c>
      <c r="S43" s="53">
        <f t="shared" si="1"/>
        <v>118351.72319908687</v>
      </c>
      <c r="T43" s="53">
        <f t="shared" si="1"/>
        <v>117602.24978683787</v>
      </c>
      <c r="U43" s="53">
        <f t="shared" si="1"/>
        <v>116741.33287697699</v>
      </c>
      <c r="V43" s="53">
        <f t="shared" si="1"/>
        <v>115763.86871550628</v>
      </c>
      <c r="W43" s="53">
        <f t="shared" si="1"/>
        <v>114664.56801291394</v>
      </c>
      <c r="X43" s="53">
        <f t="shared" si="1"/>
        <v>113437.94985724478</v>
      </c>
      <c r="Y43" s="53">
        <f t="shared" si="1"/>
        <v>112078.3354387841</v>
      </c>
      <c r="Z43" s="53">
        <f t="shared" si="1"/>
        <v>110579.84158073961</v>
      </c>
      <c r="AA43" s="53">
        <f t="shared" si="1"/>
        <v>108936.37407014366</v>
      </c>
      <c r="AB43" s="53">
        <f t="shared" si="1"/>
        <v>107141.62078302994</v>
      </c>
      <c r="AC43" s="53">
        <f t="shared" si="1"/>
        <v>105189.04459776668</v>
      </c>
      <c r="AD43" s="53">
        <f t="shared" si="1"/>
        <v>103071.87609025254</v>
      </c>
    </row>
    <row r="44" spans="1:30" x14ac:dyDescent="0.35">
      <c r="A44" s="72" t="s">
        <v>30</v>
      </c>
      <c r="B44" s="10">
        <f>NPV('Cost Assumptions'!$B$3,Menifee!D44:'Menifee'!AD44)</f>
        <v>114.42912412587738</v>
      </c>
      <c r="C44" s="72" t="s">
        <v>31</v>
      </c>
      <c r="D44" s="53">
        <f t="shared" ref="D44:AD44" si="2">D3-D19</f>
        <v>4.2000000000000171</v>
      </c>
      <c r="E44" s="53">
        <f t="shared" si="2"/>
        <v>6.0166666666666799</v>
      </c>
      <c r="F44" s="53">
        <f t="shared" si="2"/>
        <v>6.7133333333333383</v>
      </c>
      <c r="G44" s="53">
        <f t="shared" si="2"/>
        <v>7.4099999999999966</v>
      </c>
      <c r="H44" s="53">
        <f t="shared" si="2"/>
        <v>8.1066666666666549</v>
      </c>
      <c r="I44" s="53">
        <f t="shared" si="2"/>
        <v>8.8033333333333132</v>
      </c>
      <c r="J44" s="53">
        <f t="shared" si="2"/>
        <v>9.4999999999999716</v>
      </c>
      <c r="K44" s="53">
        <f t="shared" si="2"/>
        <v>5.0999999999999659</v>
      </c>
      <c r="L44" s="53">
        <f t="shared" si="2"/>
        <v>5.7000000000000455</v>
      </c>
      <c r="M44" s="53">
        <f t="shared" si="2"/>
        <v>5.5999999999999943</v>
      </c>
      <c r="N44" s="53">
        <f t="shared" si="2"/>
        <v>5.2000000000000455</v>
      </c>
      <c r="O44" s="53">
        <f t="shared" si="2"/>
        <v>13.966666666666612</v>
      </c>
      <c r="P44" s="53">
        <f t="shared" si="2"/>
        <v>14.053333333333299</v>
      </c>
      <c r="Q44" s="53">
        <f t="shared" si="2"/>
        <v>14.139999999999986</v>
      </c>
      <c r="R44" s="53">
        <f t="shared" si="2"/>
        <v>14.226666666666674</v>
      </c>
      <c r="S44" s="53">
        <f t="shared" si="2"/>
        <v>14.313333333333361</v>
      </c>
      <c r="T44" s="53">
        <f t="shared" si="2"/>
        <v>14.400000000000034</v>
      </c>
      <c r="U44" s="53">
        <f t="shared" si="2"/>
        <v>24.210000000000008</v>
      </c>
      <c r="V44" s="53">
        <f t="shared" si="2"/>
        <v>34.019999999999982</v>
      </c>
      <c r="W44" s="53">
        <f t="shared" si="2"/>
        <v>43.829999999999984</v>
      </c>
      <c r="X44" s="53">
        <f t="shared" si="2"/>
        <v>53.639999999999986</v>
      </c>
      <c r="Y44" s="53">
        <f t="shared" si="2"/>
        <v>23.60000000000008</v>
      </c>
      <c r="Z44" s="53">
        <f t="shared" si="2"/>
        <v>33.300000000000068</v>
      </c>
      <c r="AA44" s="53">
        <f t="shared" si="2"/>
        <v>43</v>
      </c>
      <c r="AB44" s="53">
        <f t="shared" si="2"/>
        <v>52.699999999999932</v>
      </c>
      <c r="AC44" s="53">
        <f t="shared" si="2"/>
        <v>62.399999999999864</v>
      </c>
      <c r="AD44" s="53">
        <f t="shared" si="2"/>
        <v>72.100000000000023</v>
      </c>
    </row>
    <row r="45" spans="1:30" x14ac:dyDescent="0.35">
      <c r="A45" s="72" t="s">
        <v>30</v>
      </c>
      <c r="B45" s="10">
        <f>NPV('Cost Assumptions'!$B$3,Menifee!D45:'Menifee'!AD45)</f>
        <v>-30.412621955669433</v>
      </c>
      <c r="C45" s="72" t="s">
        <v>32</v>
      </c>
      <c r="D45" s="53">
        <f t="shared" ref="D45:AD45" si="3">D4-D20</f>
        <v>-1</v>
      </c>
      <c r="E45" s="53">
        <f t="shared" si="3"/>
        <v>-1.916666666666667</v>
      </c>
      <c r="F45" s="53">
        <f t="shared" si="3"/>
        <v>-2.1533333333333387</v>
      </c>
      <c r="G45" s="53">
        <f t="shared" si="3"/>
        <v>-2.3900000000000095</v>
      </c>
      <c r="H45" s="53">
        <f t="shared" si="3"/>
        <v>-2.6266666666666794</v>
      </c>
      <c r="I45" s="53">
        <f t="shared" si="3"/>
        <v>-2.8633333333333493</v>
      </c>
      <c r="J45" s="53">
        <f t="shared" si="3"/>
        <v>-3.1000000000000227</v>
      </c>
      <c r="K45" s="53">
        <f t="shared" si="3"/>
        <v>-3.3000000000000114</v>
      </c>
      <c r="L45" s="53">
        <f t="shared" si="3"/>
        <v>-3.2000000000000171</v>
      </c>
      <c r="M45" s="53">
        <f t="shared" si="3"/>
        <v>-3.3000000000000114</v>
      </c>
      <c r="N45" s="53">
        <f t="shared" si="3"/>
        <v>-3.2999999999999545</v>
      </c>
      <c r="O45" s="53">
        <f t="shared" si="3"/>
        <v>-3.766666666666671</v>
      </c>
      <c r="P45" s="53">
        <f t="shared" si="3"/>
        <v>-4.1933333333333316</v>
      </c>
      <c r="Q45" s="53">
        <f t="shared" si="3"/>
        <v>-4.6199999999999921</v>
      </c>
      <c r="R45" s="53">
        <f t="shared" si="3"/>
        <v>-5.0466666666666526</v>
      </c>
      <c r="S45" s="53">
        <f t="shared" si="3"/>
        <v>-5.4733333333333114</v>
      </c>
      <c r="T45" s="53">
        <f t="shared" si="3"/>
        <v>-5.8999999999999773</v>
      </c>
      <c r="U45" s="53">
        <f t="shared" si="3"/>
        <v>-5.9599999999999795</v>
      </c>
      <c r="V45" s="53">
        <f t="shared" si="3"/>
        <v>-6.0199999999999818</v>
      </c>
      <c r="W45" s="53">
        <f t="shared" si="3"/>
        <v>-6.0799999999999841</v>
      </c>
      <c r="X45" s="53">
        <f t="shared" si="3"/>
        <v>-6.1399999999999864</v>
      </c>
      <c r="Y45" s="53">
        <f t="shared" si="3"/>
        <v>-6.1999999999999886</v>
      </c>
      <c r="Z45" s="53">
        <f t="shared" si="3"/>
        <v>-6.0999999999999908</v>
      </c>
      <c r="AA45" s="53">
        <f t="shared" si="3"/>
        <v>-5.9999999999999929</v>
      </c>
      <c r="AB45" s="53">
        <f t="shared" si="3"/>
        <v>-5.8999999999999986</v>
      </c>
      <c r="AC45" s="53">
        <f t="shared" si="3"/>
        <v>-5.8000000000000043</v>
      </c>
      <c r="AD45" s="53">
        <f t="shared" si="3"/>
        <v>-5.6999999999999886</v>
      </c>
    </row>
    <row r="46" spans="1:30" x14ac:dyDescent="0.35">
      <c r="A46" s="72" t="s">
        <v>30</v>
      </c>
      <c r="B46" s="10">
        <f>NPV('Cost Assumptions'!$B$3,Menifee!D46:'Menifee'!AD46)</f>
        <v>54.408682117250308</v>
      </c>
      <c r="C46" s="72" t="s">
        <v>33</v>
      </c>
      <c r="D46" s="53">
        <f t="shared" ref="D46:AD46" si="4">D5-D21</f>
        <v>6.8917982049977566E-2</v>
      </c>
      <c r="E46" s="53">
        <f t="shared" si="4"/>
        <v>0.15906981935651673</v>
      </c>
      <c r="F46" s="53">
        <f t="shared" si="4"/>
        <v>0.18882910507601286</v>
      </c>
      <c r="G46" s="53">
        <f t="shared" si="4"/>
        <v>0.21858839079550896</v>
      </c>
      <c r="H46" s="53">
        <f t="shared" si="4"/>
        <v>0.24834767651500511</v>
      </c>
      <c r="I46" s="53">
        <f t="shared" si="4"/>
        <v>0.27810696223450126</v>
      </c>
      <c r="J46" s="53">
        <f t="shared" si="4"/>
        <v>0.30786624795399731</v>
      </c>
      <c r="K46" s="53">
        <f t="shared" si="4"/>
        <v>0.28195331487555592</v>
      </c>
      <c r="L46" s="53">
        <f t="shared" si="4"/>
        <v>0.24759433463986247</v>
      </c>
      <c r="M46" s="53">
        <f t="shared" si="4"/>
        <v>0.28509284700382959</v>
      </c>
      <c r="N46" s="53">
        <f t="shared" si="4"/>
        <v>0.25668888932566963</v>
      </c>
      <c r="O46" s="53">
        <f t="shared" si="4"/>
        <v>0.52330631477244116</v>
      </c>
      <c r="P46" s="53">
        <f t="shared" si="4"/>
        <v>0.49655558207903017</v>
      </c>
      <c r="Q46" s="53">
        <f t="shared" si="4"/>
        <v>0.46980484938561906</v>
      </c>
      <c r="R46" s="53">
        <f t="shared" si="4"/>
        <v>0.44305411669220796</v>
      </c>
      <c r="S46" s="53">
        <f t="shared" si="4"/>
        <v>0.41630338399879685</v>
      </c>
      <c r="T46" s="53">
        <f t="shared" si="4"/>
        <v>0.38955265130538619</v>
      </c>
      <c r="U46" s="53">
        <f t="shared" si="4"/>
        <v>16.691773167103541</v>
      </c>
      <c r="V46" s="53">
        <f t="shared" si="4"/>
        <v>32.993993682901696</v>
      </c>
      <c r="W46" s="53">
        <f t="shared" si="4"/>
        <v>49.29621419869985</v>
      </c>
      <c r="X46" s="53">
        <f t="shared" si="4"/>
        <v>65.598434714497998</v>
      </c>
      <c r="Y46" s="53">
        <f t="shared" si="4"/>
        <v>81.900655230296152</v>
      </c>
      <c r="Z46" s="53">
        <f t="shared" si="4"/>
        <v>66.250682664889567</v>
      </c>
      <c r="AA46" s="53">
        <f t="shared" si="4"/>
        <v>50.600710099482981</v>
      </c>
      <c r="AB46" s="53">
        <f t="shared" si="4"/>
        <v>34.950737534076396</v>
      </c>
      <c r="AC46" s="53">
        <f t="shared" si="4"/>
        <v>19.30076496866981</v>
      </c>
      <c r="AD46" s="53">
        <f t="shared" si="4"/>
        <v>3.6507924032632211</v>
      </c>
    </row>
    <row r="47" spans="1:30" x14ac:dyDescent="0.35">
      <c r="A47" s="72" t="s">
        <v>30</v>
      </c>
      <c r="B47" s="10">
        <f>NPV('Cost Assumptions'!$B$3,Menifee!D47:'Menifee'!AD47)</f>
        <v>0.65104463482712971</v>
      </c>
      <c r="C47" s="72" t="s">
        <v>34</v>
      </c>
      <c r="D47" s="53">
        <f t="shared" ref="D47:AD47" si="5">D6-D22</f>
        <v>7.5996463269141067E-4</v>
      </c>
      <c r="E47" s="53">
        <f t="shared" si="5"/>
        <v>4.541872046191173E-3</v>
      </c>
      <c r="F47" s="53">
        <f t="shared" si="5"/>
        <v>3.8850528478319817E-3</v>
      </c>
      <c r="G47" s="53">
        <f t="shared" si="5"/>
        <v>3.2282336494727851E-3</v>
      </c>
      <c r="H47" s="53">
        <f t="shared" si="5"/>
        <v>2.571414451113592E-3</v>
      </c>
      <c r="I47" s="53">
        <f t="shared" si="5"/>
        <v>1.9145952527543988E-3</v>
      </c>
      <c r="J47" s="53">
        <f t="shared" si="5"/>
        <v>1.2577760543952127E-3</v>
      </c>
      <c r="K47" s="53">
        <f t="shared" si="5"/>
        <v>-2.2393738075584466E-3</v>
      </c>
      <c r="L47" s="53">
        <f t="shared" si="5"/>
        <v>-1.2916028075159111E-3</v>
      </c>
      <c r="M47" s="53">
        <f t="shared" si="5"/>
        <v>-1.0001742556337428E-3</v>
      </c>
      <c r="N47" s="53">
        <f t="shared" si="5"/>
        <v>-2.0899793109296627E-3</v>
      </c>
      <c r="O47" s="53">
        <f t="shared" si="5"/>
        <v>3.9542679857833413E-3</v>
      </c>
      <c r="P47" s="53">
        <f t="shared" si="5"/>
        <v>2.0670115788220395E-3</v>
      </c>
      <c r="Q47" s="53">
        <f t="shared" si="5"/>
        <v>1.7975517186072376E-4</v>
      </c>
      <c r="R47" s="53">
        <f t="shared" si="5"/>
        <v>-1.7075012351005919E-3</v>
      </c>
      <c r="S47" s="53">
        <f t="shared" si="5"/>
        <v>-3.5947576420619076E-3</v>
      </c>
      <c r="T47" s="53">
        <f t="shared" si="5"/>
        <v>-5.4820140490232094E-3</v>
      </c>
      <c r="U47" s="53">
        <f t="shared" si="5"/>
        <v>0.19895940009878027</v>
      </c>
      <c r="V47" s="53">
        <f t="shared" si="5"/>
        <v>0.40340081424658375</v>
      </c>
      <c r="W47" s="53">
        <f t="shared" si="5"/>
        <v>0.60784222839438717</v>
      </c>
      <c r="X47" s="53">
        <f t="shared" si="5"/>
        <v>0.81228364254219065</v>
      </c>
      <c r="Y47" s="53">
        <f t="shared" si="5"/>
        <v>1.0167250566899941</v>
      </c>
      <c r="Z47" s="53">
        <f t="shared" si="5"/>
        <v>0.81880901262046424</v>
      </c>
      <c r="AA47" s="53">
        <f t="shared" si="5"/>
        <v>0.62089296855093434</v>
      </c>
      <c r="AB47" s="53">
        <f t="shared" si="5"/>
        <v>0.42297692448140445</v>
      </c>
      <c r="AC47" s="53">
        <f t="shared" si="5"/>
        <v>0.22506088041187455</v>
      </c>
      <c r="AD47" s="53">
        <f t="shared" si="5"/>
        <v>2.7144836342344214E-2</v>
      </c>
    </row>
    <row r="48" spans="1:30" x14ac:dyDescent="0.35">
      <c r="A48" s="72" t="s">
        <v>30</v>
      </c>
      <c r="B48" s="10">
        <f>NPV('Cost Assumptions'!$B$3,Menifee!D48:'Menifee'!AD48)</f>
        <v>225.53030430590292</v>
      </c>
      <c r="C48" s="72" t="s">
        <v>35</v>
      </c>
      <c r="D48" s="53">
        <f t="shared" ref="D48:AD48" si="6">D7-D23</f>
        <v>11</v>
      </c>
      <c r="E48" s="53">
        <f t="shared" si="6"/>
        <v>17.166666666666668</v>
      </c>
      <c r="F48" s="53">
        <f t="shared" si="6"/>
        <v>18.533333333333331</v>
      </c>
      <c r="G48" s="53">
        <f t="shared" si="6"/>
        <v>19.899999999999999</v>
      </c>
      <c r="H48" s="53">
        <f t="shared" si="6"/>
        <v>21.266666666666666</v>
      </c>
      <c r="I48" s="53">
        <f t="shared" si="6"/>
        <v>22.633333333333333</v>
      </c>
      <c r="J48" s="53">
        <f t="shared" si="6"/>
        <v>24</v>
      </c>
      <c r="K48" s="53">
        <f t="shared" si="6"/>
        <v>23</v>
      </c>
      <c r="L48" s="53">
        <f t="shared" si="6"/>
        <v>22</v>
      </c>
      <c r="M48" s="53">
        <f t="shared" si="6"/>
        <v>23</v>
      </c>
      <c r="N48" s="53">
        <f t="shared" si="6"/>
        <v>22</v>
      </c>
      <c r="O48" s="53">
        <f t="shared" si="6"/>
        <v>24.666666666666664</v>
      </c>
      <c r="P48" s="53">
        <f t="shared" si="6"/>
        <v>26.533333333333328</v>
      </c>
      <c r="Q48" s="53">
        <f t="shared" si="6"/>
        <v>28.399999999999991</v>
      </c>
      <c r="R48" s="53">
        <f t="shared" si="6"/>
        <v>30.266666666666655</v>
      </c>
      <c r="S48" s="53">
        <f t="shared" si="6"/>
        <v>32.133333333333319</v>
      </c>
      <c r="T48" s="53">
        <f t="shared" si="6"/>
        <v>34</v>
      </c>
      <c r="U48" s="53">
        <f t="shared" si="6"/>
        <v>37</v>
      </c>
      <c r="V48" s="53">
        <f t="shared" si="6"/>
        <v>40</v>
      </c>
      <c r="W48" s="53">
        <f t="shared" si="6"/>
        <v>42.999999999999993</v>
      </c>
      <c r="X48" s="53">
        <f t="shared" si="6"/>
        <v>45.999999999999986</v>
      </c>
      <c r="Y48" s="53">
        <f t="shared" si="6"/>
        <v>49</v>
      </c>
      <c r="Z48" s="53">
        <f t="shared" si="6"/>
        <v>49.2</v>
      </c>
      <c r="AA48" s="53">
        <f t="shared" si="6"/>
        <v>49.400000000000006</v>
      </c>
      <c r="AB48" s="53">
        <f t="shared" si="6"/>
        <v>49.600000000000009</v>
      </c>
      <c r="AC48" s="53">
        <f t="shared" si="6"/>
        <v>49.800000000000011</v>
      </c>
      <c r="AD48" s="53">
        <f t="shared" si="6"/>
        <v>50</v>
      </c>
    </row>
    <row r="49" spans="1:30" s="52" customFormat="1" ht="13.9" customHeight="1" x14ac:dyDescent="0.35">
      <c r="A49" s="72" t="s">
        <v>30</v>
      </c>
      <c r="B49" s="10">
        <f>NPV('Cost Assumptions'!$B$3,D49:AD49)</f>
        <v>39141.445534236278</v>
      </c>
      <c r="C49" s="70" t="s">
        <v>140</v>
      </c>
      <c r="D49" s="53">
        <f>D13-D24</f>
        <v>1637.4650100268436</v>
      </c>
      <c r="E49" s="53">
        <f t="shared" ref="E49:AD49" si="7">E13-E24</f>
        <v>2177.3309561137412</v>
      </c>
      <c r="F49" s="53">
        <f t="shared" si="7"/>
        <v>2717.1969022006379</v>
      </c>
      <c r="G49" s="53">
        <f t="shared" si="7"/>
        <v>3257.0628482875345</v>
      </c>
      <c r="H49" s="53">
        <f t="shared" si="7"/>
        <v>3796.928794374433</v>
      </c>
      <c r="I49" s="53">
        <f t="shared" si="7"/>
        <v>4336.7947404613296</v>
      </c>
      <c r="J49" s="53">
        <f t="shared" si="7"/>
        <v>4876.6606865482263</v>
      </c>
      <c r="K49" s="53">
        <f t="shared" si="7"/>
        <v>4751.6880579350345</v>
      </c>
      <c r="L49" s="53">
        <f t="shared" si="7"/>
        <v>4626.7154293218427</v>
      </c>
      <c r="M49" s="53">
        <f t="shared" si="7"/>
        <v>3604.0088606696972</v>
      </c>
      <c r="N49" s="53">
        <f t="shared" si="7"/>
        <v>4264.9844683355968</v>
      </c>
      <c r="O49" s="53">
        <f t="shared" si="7"/>
        <v>5180.7852586977097</v>
      </c>
      <c r="P49" s="53">
        <f t="shared" si="7"/>
        <v>5378.5499981392313</v>
      </c>
      <c r="Q49" s="53">
        <f t="shared" si="7"/>
        <v>5576.3147375807512</v>
      </c>
      <c r="R49" s="53">
        <f t="shared" si="7"/>
        <v>5774.079477022271</v>
      </c>
      <c r="S49" s="53">
        <f t="shared" si="7"/>
        <v>5971.8442164637927</v>
      </c>
      <c r="T49" s="53">
        <f t="shared" si="7"/>
        <v>6169.6089559053144</v>
      </c>
      <c r="U49" s="53">
        <f t="shared" si="7"/>
        <v>6367.3736953468342</v>
      </c>
      <c r="V49" s="53">
        <f t="shared" si="7"/>
        <v>6565.1384347883541</v>
      </c>
      <c r="W49" s="53">
        <f t="shared" si="7"/>
        <v>6762.9031742298757</v>
      </c>
      <c r="X49" s="53">
        <f t="shared" si="7"/>
        <v>6960.6679136713974</v>
      </c>
      <c r="Y49" s="53">
        <f t="shared" si="7"/>
        <v>7158.4326531129154</v>
      </c>
      <c r="Z49" s="53">
        <f t="shared" si="7"/>
        <v>7356.1973925544371</v>
      </c>
      <c r="AA49" s="53">
        <f t="shared" si="7"/>
        <v>7553.9621319959588</v>
      </c>
      <c r="AB49" s="53">
        <f t="shared" si="7"/>
        <v>7751.7268714374804</v>
      </c>
      <c r="AC49" s="53">
        <f t="shared" si="7"/>
        <v>7949.4916108790021</v>
      </c>
      <c r="AD49" s="53">
        <f t="shared" si="7"/>
        <v>8147.2563503205129</v>
      </c>
    </row>
    <row r="50" spans="1:30" s="52" customFormat="1" x14ac:dyDescent="0.35">
      <c r="A50" s="72" t="s">
        <v>30</v>
      </c>
      <c r="B50" s="10">
        <f>NPV('Cost Assumptions'!$B$3,D50:AD50)</f>
        <v>1132819.4221929375</v>
      </c>
      <c r="C50" s="70" t="s">
        <v>141</v>
      </c>
      <c r="D50" s="53">
        <f>D14-D25</f>
        <v>121242.60656977084</v>
      </c>
      <c r="E50" s="53">
        <f t="shared" ref="E50:AD50" si="8">E14-E25</f>
        <v>121631.58418621913</v>
      </c>
      <c r="F50" s="53">
        <f t="shared" si="8"/>
        <v>121816.39382577654</v>
      </c>
      <c r="G50" s="53">
        <f t="shared" si="8"/>
        <v>122006.21443704171</v>
      </c>
      <c r="H50" s="53">
        <f t="shared" si="8"/>
        <v>122205.95925741762</v>
      </c>
      <c r="I50" s="53">
        <f t="shared" si="8"/>
        <v>122434.84077429736</v>
      </c>
      <c r="J50" s="53">
        <f t="shared" si="8"/>
        <v>122663.76458715784</v>
      </c>
      <c r="K50" s="53">
        <f t="shared" si="8"/>
        <v>122512.82273013031</v>
      </c>
      <c r="L50" s="53">
        <f t="shared" si="8"/>
        <v>122361.95054905942</v>
      </c>
      <c r="M50" s="53">
        <f t="shared" si="8"/>
        <v>122211.05044420916</v>
      </c>
      <c r="N50" s="53">
        <f t="shared" si="8"/>
        <v>122452.75868025378</v>
      </c>
      <c r="O50" s="53">
        <f t="shared" si="8"/>
        <v>122701.14069961826</v>
      </c>
      <c r="P50" s="53">
        <f t="shared" si="8"/>
        <v>122956.72705411415</v>
      </c>
      <c r="Q50" s="53">
        <f t="shared" si="8"/>
        <v>123207.59428986126</v>
      </c>
      <c r="R50" s="53">
        <f t="shared" si="8"/>
        <v>123463.90666262657</v>
      </c>
      <c r="S50" s="53">
        <f t="shared" si="8"/>
        <v>123724.85438280214</v>
      </c>
      <c r="T50" s="53">
        <f t="shared" si="8"/>
        <v>123991.8894869262</v>
      </c>
      <c r="U50" s="53">
        <f t="shared" si="8"/>
        <v>124234.71467415406</v>
      </c>
      <c r="V50" s="53">
        <f t="shared" si="8"/>
        <v>124478.62888878597</v>
      </c>
      <c r="W50" s="53">
        <f t="shared" si="8"/>
        <v>124722.45933207858</v>
      </c>
      <c r="X50" s="53">
        <f t="shared" si="8"/>
        <v>124967.85350702814</v>
      </c>
      <c r="Y50" s="53">
        <f t="shared" si="8"/>
        <v>125172.61858268882</v>
      </c>
      <c r="Z50" s="53">
        <f t="shared" si="8"/>
        <v>125372.5528444818</v>
      </c>
      <c r="AA50" s="53">
        <f t="shared" si="8"/>
        <v>125565.81332295501</v>
      </c>
      <c r="AB50" s="53">
        <f t="shared" si="8"/>
        <v>125753.76828330806</v>
      </c>
      <c r="AC50" s="53">
        <f t="shared" si="8"/>
        <v>125887.91412041101</v>
      </c>
      <c r="AD50" s="53">
        <f t="shared" si="8"/>
        <v>126007.79090614793</v>
      </c>
    </row>
    <row r="51" spans="1:30" s="66" customFormat="1" x14ac:dyDescent="0.35">
      <c r="A51" s="72"/>
      <c r="B51" s="10">
        <f>NPV('Cost Assumptions'!$B$3,D51:AD51)</f>
        <v>479183.40573156968</v>
      </c>
      <c r="C51" s="70" t="s">
        <v>142</v>
      </c>
      <c r="D51" s="53">
        <f>D15-D26</f>
        <v>41950.317319588241</v>
      </c>
      <c r="E51" s="53">
        <f t="shared" ref="E51:AD51" si="9">E15-E26</f>
        <v>44543.453126980952</v>
      </c>
      <c r="F51" s="53">
        <f t="shared" si="9"/>
        <v>45828.860716419767</v>
      </c>
      <c r="G51" s="53">
        <f t="shared" si="9"/>
        <v>47153.352767109565</v>
      </c>
      <c r="H51" s="53">
        <f t="shared" si="9"/>
        <v>48574.54795918976</v>
      </c>
      <c r="I51" s="53">
        <f t="shared" si="9"/>
        <v>50215.764777497636</v>
      </c>
      <c r="J51" s="53">
        <f t="shared" si="9"/>
        <v>51874.691963872247</v>
      </c>
      <c r="K51" s="53">
        <f t="shared" si="9"/>
        <v>50778.114869249301</v>
      </c>
      <c r="L51" s="53">
        <f t="shared" si="9"/>
        <v>49693.135746863452</v>
      </c>
      <c r="M51" s="53">
        <f t="shared" si="9"/>
        <v>48611.273086176574</v>
      </c>
      <c r="N51" s="53">
        <f t="shared" si="9"/>
        <v>50344.583019320264</v>
      </c>
      <c r="O51" s="53">
        <f t="shared" si="9"/>
        <v>52146.765099087497</v>
      </c>
      <c r="P51" s="53">
        <f t="shared" si="9"/>
        <v>54023.414660322465</v>
      </c>
      <c r="Q51" s="53">
        <f t="shared" si="9"/>
        <v>55888.522918306931</v>
      </c>
      <c r="R51" s="53">
        <f t="shared" si="9"/>
        <v>57769.072009230513</v>
      </c>
      <c r="S51" s="53">
        <f t="shared" si="9"/>
        <v>59689.474085032125</v>
      </c>
      <c r="T51" s="53">
        <f t="shared" si="9"/>
        <v>61697.84379550803</v>
      </c>
      <c r="U51" s="53">
        <f t="shared" si="9"/>
        <v>63562.358136175724</v>
      </c>
      <c r="V51" s="53">
        <f t="shared" si="9"/>
        <v>65462.168384773649</v>
      </c>
      <c r="W51" s="53">
        <f t="shared" si="9"/>
        <v>67413.848768282201</v>
      </c>
      <c r="X51" s="53">
        <f t="shared" si="9"/>
        <v>69383.773026755458</v>
      </c>
      <c r="Y51" s="53">
        <f t="shared" si="9"/>
        <v>71058.973139583541</v>
      </c>
      <c r="Z51" s="53">
        <f t="shared" si="9"/>
        <v>72692.90965949271</v>
      </c>
      <c r="AA51" s="53">
        <f t="shared" si="9"/>
        <v>74263.686691227922</v>
      </c>
      <c r="AB51" s="53">
        <f t="shared" si="9"/>
        <v>75805.906063189002</v>
      </c>
      <c r="AC51" s="53">
        <f t="shared" si="9"/>
        <v>76906.765075590141</v>
      </c>
      <c r="AD51" s="53">
        <f t="shared" si="9"/>
        <v>77904.270842658967</v>
      </c>
    </row>
    <row r="52" spans="1:30" x14ac:dyDescent="0.35">
      <c r="A52" s="72" t="s">
        <v>39</v>
      </c>
      <c r="B52" s="10">
        <f>NPV('Cost Assumptions'!$B$3,Menifee!D52:'Menifee'!AD52)</f>
        <v>3662.4319152534908</v>
      </c>
      <c r="C52" s="72" t="s">
        <v>31</v>
      </c>
      <c r="D52" s="53">
        <f t="shared" ref="D52:AD52" si="10">D8-D27</f>
        <v>22.2</v>
      </c>
      <c r="E52" s="53">
        <f t="shared" si="10"/>
        <v>65.8</v>
      </c>
      <c r="F52" s="53">
        <f t="shared" si="10"/>
        <v>102.72</v>
      </c>
      <c r="G52" s="53">
        <f t="shared" si="10"/>
        <v>139.63999999999999</v>
      </c>
      <c r="H52" s="53">
        <f t="shared" si="10"/>
        <v>176.56</v>
      </c>
      <c r="I52" s="53">
        <f t="shared" si="10"/>
        <v>213.48000000000002</v>
      </c>
      <c r="J52" s="53">
        <f t="shared" si="10"/>
        <v>250.4</v>
      </c>
      <c r="K52" s="53">
        <f t="shared" si="10"/>
        <v>216.60000000000014</v>
      </c>
      <c r="L52" s="53">
        <f t="shared" si="10"/>
        <v>182.59999999999991</v>
      </c>
      <c r="M52" s="53">
        <f t="shared" si="10"/>
        <v>151.20000000000005</v>
      </c>
      <c r="N52" s="53">
        <f t="shared" si="10"/>
        <v>202.60000000000014</v>
      </c>
      <c r="O52" s="53">
        <f t="shared" si="10"/>
        <v>292.1666666666668</v>
      </c>
      <c r="P52" s="53">
        <f t="shared" si="10"/>
        <v>381.73333333333346</v>
      </c>
      <c r="Q52" s="53">
        <f t="shared" si="10"/>
        <v>471.30000000000013</v>
      </c>
      <c r="R52" s="53">
        <f t="shared" si="10"/>
        <v>560.86666666666679</v>
      </c>
      <c r="S52" s="53">
        <f t="shared" si="10"/>
        <v>650.43333333333339</v>
      </c>
      <c r="T52" s="53">
        <f t="shared" si="10"/>
        <v>740</v>
      </c>
      <c r="U52" s="53">
        <f t="shared" si="10"/>
        <v>930.87999999999988</v>
      </c>
      <c r="V52" s="53">
        <f t="shared" si="10"/>
        <v>1121.7599999999998</v>
      </c>
      <c r="W52" s="53">
        <f t="shared" si="10"/>
        <v>1312.6399999999996</v>
      </c>
      <c r="X52" s="53">
        <f t="shared" si="10"/>
        <v>1503.5199999999995</v>
      </c>
      <c r="Y52" s="53">
        <f t="shared" si="10"/>
        <v>1694.3999999999994</v>
      </c>
      <c r="Z52" s="53">
        <f t="shared" si="10"/>
        <v>1887.3999999999994</v>
      </c>
      <c r="AA52" s="53">
        <f t="shared" si="10"/>
        <v>2080.3999999999996</v>
      </c>
      <c r="AB52" s="53">
        <f t="shared" si="10"/>
        <v>2273.3999999999996</v>
      </c>
      <c r="AC52" s="53">
        <f t="shared" si="10"/>
        <v>2466.3999999999996</v>
      </c>
      <c r="AD52" s="53">
        <f t="shared" si="10"/>
        <v>2659.3999999999996</v>
      </c>
    </row>
    <row r="53" spans="1:30" x14ac:dyDescent="0.35">
      <c r="A53" s="72" t="s">
        <v>39</v>
      </c>
      <c r="B53" s="10">
        <f>NPV('Cost Assumptions'!$B$3,Menifee!D53:'Menifee'!AD53)</f>
        <v>603.3370677068466</v>
      </c>
      <c r="C53" s="72" t="s">
        <v>32</v>
      </c>
      <c r="D53" s="53">
        <f t="shared" ref="D53:AD53" si="11">D9-D28</f>
        <v>13</v>
      </c>
      <c r="E53" s="53">
        <f t="shared" si="11"/>
        <v>27</v>
      </c>
      <c r="F53" s="53">
        <f t="shared" si="11"/>
        <v>34.519999999999982</v>
      </c>
      <c r="G53" s="53">
        <f t="shared" si="11"/>
        <v>42.039999999999964</v>
      </c>
      <c r="H53" s="53">
        <f t="shared" si="11"/>
        <v>49.559999999999945</v>
      </c>
      <c r="I53" s="53">
        <f t="shared" si="11"/>
        <v>57.079999999999927</v>
      </c>
      <c r="J53" s="53">
        <f t="shared" si="11"/>
        <v>64.599999999999909</v>
      </c>
      <c r="K53" s="53">
        <f t="shared" si="11"/>
        <v>59.799999999999955</v>
      </c>
      <c r="L53" s="53">
        <f t="shared" si="11"/>
        <v>52.799999999999955</v>
      </c>
      <c r="M53" s="53">
        <f t="shared" si="11"/>
        <v>46</v>
      </c>
      <c r="N53" s="53">
        <f t="shared" si="11"/>
        <v>57.400000000000091</v>
      </c>
      <c r="O53" s="53">
        <f t="shared" si="11"/>
        <v>67.333333333333414</v>
      </c>
      <c r="P53" s="53">
        <f t="shared" si="11"/>
        <v>77.266666666666737</v>
      </c>
      <c r="Q53" s="53">
        <f t="shared" si="11"/>
        <v>87.20000000000006</v>
      </c>
      <c r="R53" s="53">
        <f t="shared" si="11"/>
        <v>97.133333333333383</v>
      </c>
      <c r="S53" s="53">
        <f t="shared" si="11"/>
        <v>107.06666666666671</v>
      </c>
      <c r="T53" s="53">
        <f t="shared" si="11"/>
        <v>117</v>
      </c>
      <c r="U53" s="53">
        <f t="shared" si="11"/>
        <v>126.6</v>
      </c>
      <c r="V53" s="53">
        <f t="shared" si="11"/>
        <v>136.19999999999999</v>
      </c>
      <c r="W53" s="53">
        <f t="shared" si="11"/>
        <v>145.79999999999998</v>
      </c>
      <c r="X53" s="53">
        <f t="shared" si="11"/>
        <v>155.39999999999998</v>
      </c>
      <c r="Y53" s="53">
        <f t="shared" si="11"/>
        <v>165</v>
      </c>
      <c r="Z53" s="53">
        <f t="shared" si="11"/>
        <v>171.84</v>
      </c>
      <c r="AA53" s="53">
        <f t="shared" si="11"/>
        <v>178.68</v>
      </c>
      <c r="AB53" s="53">
        <f t="shared" si="11"/>
        <v>185.52</v>
      </c>
      <c r="AC53" s="53">
        <f t="shared" si="11"/>
        <v>192.36</v>
      </c>
      <c r="AD53" s="53">
        <f t="shared" si="11"/>
        <v>199.20000000000005</v>
      </c>
    </row>
    <row r="54" spans="1:30" x14ac:dyDescent="0.35">
      <c r="A54" s="72" t="s">
        <v>39</v>
      </c>
      <c r="B54" s="10">
        <f>NPV('Cost Assumptions'!$B$3,Menifee!D54:'Menifee'!AD54)</f>
        <v>54.089806048569208</v>
      </c>
      <c r="C54" s="72" t="s">
        <v>33</v>
      </c>
      <c r="D54" s="53">
        <f t="shared" ref="D54:AD54" si="12">D10-D29</f>
        <v>4.7253529883901121E-2</v>
      </c>
      <c r="E54" s="53">
        <f t="shared" si="12"/>
        <v>0.28011551949195379</v>
      </c>
      <c r="F54" s="53">
        <f t="shared" si="12"/>
        <v>0.59718244793816533</v>
      </c>
      <c r="G54" s="53">
        <f t="shared" si="12"/>
        <v>0.91424937638437687</v>
      </c>
      <c r="H54" s="53">
        <f t="shared" si="12"/>
        <v>1.2313163048305884</v>
      </c>
      <c r="I54" s="53">
        <f t="shared" si="12"/>
        <v>1.5483832332767999</v>
      </c>
      <c r="J54" s="53">
        <f t="shared" si="12"/>
        <v>1.8654501617230115</v>
      </c>
      <c r="K54" s="53">
        <f t="shared" si="12"/>
        <v>1.6136441894137561</v>
      </c>
      <c r="L54" s="53">
        <f t="shared" si="12"/>
        <v>1.1660127779459895</v>
      </c>
      <c r="M54" s="53">
        <f t="shared" si="12"/>
        <v>0.80458713045561225</v>
      </c>
      <c r="N54" s="53">
        <f t="shared" si="12"/>
        <v>0.56680711827214547</v>
      </c>
      <c r="O54" s="53">
        <f t="shared" si="12"/>
        <v>3.0445179689462347</v>
      </c>
      <c r="P54" s="53">
        <f t="shared" si="12"/>
        <v>4.5886299372095039</v>
      </c>
      <c r="Q54" s="53">
        <f t="shared" si="12"/>
        <v>6.1327419054727734</v>
      </c>
      <c r="R54" s="53">
        <f t="shared" si="12"/>
        <v>7.676853873736043</v>
      </c>
      <c r="S54" s="53">
        <f t="shared" si="12"/>
        <v>9.2209658419993126</v>
      </c>
      <c r="T54" s="53">
        <f t="shared" si="12"/>
        <v>10.765077810262582</v>
      </c>
      <c r="U54" s="53">
        <f t="shared" si="12"/>
        <v>11.285969377257926</v>
      </c>
      <c r="V54" s="53">
        <f t="shared" si="12"/>
        <v>11.80686094425327</v>
      </c>
      <c r="W54" s="53">
        <f t="shared" si="12"/>
        <v>12.327752511248613</v>
      </c>
      <c r="X54" s="53">
        <f t="shared" si="12"/>
        <v>12.848644078243957</v>
      </c>
      <c r="Y54" s="53">
        <f t="shared" si="12"/>
        <v>13.369535645239303</v>
      </c>
      <c r="Z54" s="53">
        <f t="shared" si="12"/>
        <v>31.024884631077057</v>
      </c>
      <c r="AA54" s="53">
        <f t="shared" si="12"/>
        <v>48.680233616914812</v>
      </c>
      <c r="AB54" s="53">
        <f t="shared" si="12"/>
        <v>66.335582602752567</v>
      </c>
      <c r="AC54" s="53">
        <f t="shared" si="12"/>
        <v>83.990931588590314</v>
      </c>
      <c r="AD54" s="53">
        <f t="shared" si="12"/>
        <v>101.64628057442808</v>
      </c>
    </row>
    <row r="55" spans="1:30" x14ac:dyDescent="0.35">
      <c r="A55" s="72" t="s">
        <v>39</v>
      </c>
      <c r="B55" s="10">
        <f>NPV('Cost Assumptions'!$B$3,Menifee!D55:'Menifee'!AD55)</f>
        <v>2.9078711043982364</v>
      </c>
      <c r="C55" s="72" t="s">
        <v>34</v>
      </c>
      <c r="D55" s="53">
        <f t="shared" ref="D55:AD55" si="13">D11-D30</f>
        <v>2.3626764941950561E-2</v>
      </c>
      <c r="E55" s="53">
        <f t="shared" si="13"/>
        <v>7.0028879872988448E-2</v>
      </c>
      <c r="F55" s="53">
        <f t="shared" si="13"/>
        <v>0.10932167994761965</v>
      </c>
      <c r="G55" s="53">
        <f t="shared" si="13"/>
        <v>0.14861448002225086</v>
      </c>
      <c r="H55" s="53">
        <f t="shared" si="13"/>
        <v>0.18790728009688207</v>
      </c>
      <c r="I55" s="53">
        <f t="shared" si="13"/>
        <v>0.22720008017151327</v>
      </c>
      <c r="J55" s="53">
        <f t="shared" si="13"/>
        <v>0.26649288024614448</v>
      </c>
      <c r="K55" s="53">
        <f t="shared" si="13"/>
        <v>0.23052059848767945</v>
      </c>
      <c r="L55" s="53">
        <f t="shared" si="13"/>
        <v>0.19433546299099821</v>
      </c>
      <c r="M55" s="53">
        <f t="shared" si="13"/>
        <v>0.16091742609112245</v>
      </c>
      <c r="N55" s="53">
        <f t="shared" si="13"/>
        <v>4.2212624824281168E-2</v>
      </c>
      <c r="O55" s="53">
        <f t="shared" si="13"/>
        <v>0.30677545020347896</v>
      </c>
      <c r="P55" s="53">
        <f t="shared" si="13"/>
        <v>0.39920718602367722</v>
      </c>
      <c r="Q55" s="53">
        <f t="shared" si="13"/>
        <v>0.49163892184387548</v>
      </c>
      <c r="R55" s="53">
        <f t="shared" si="13"/>
        <v>0.58407065766407373</v>
      </c>
      <c r="S55" s="53">
        <f t="shared" si="13"/>
        <v>0.67650239348427199</v>
      </c>
      <c r="T55" s="53">
        <f t="shared" si="13"/>
        <v>0.76893412930447014</v>
      </c>
      <c r="U55" s="53">
        <f t="shared" si="13"/>
        <v>0.69278283231502535</v>
      </c>
      <c r="V55" s="53">
        <f t="shared" si="13"/>
        <v>0.61663153532558057</v>
      </c>
      <c r="W55" s="53">
        <f t="shared" si="13"/>
        <v>0.54048023833613579</v>
      </c>
      <c r="X55" s="53">
        <f t="shared" si="13"/>
        <v>0.464328941346691</v>
      </c>
      <c r="Y55" s="53">
        <f t="shared" si="13"/>
        <v>0.38817764435724611</v>
      </c>
      <c r="Z55" s="53">
        <f t="shared" si="13"/>
        <v>0.85998146994216484</v>
      </c>
      <c r="AA55" s="53">
        <f t="shared" si="13"/>
        <v>1.3317852955270837</v>
      </c>
      <c r="AB55" s="53">
        <f t="shared" si="13"/>
        <v>1.8035891211120025</v>
      </c>
      <c r="AC55" s="53">
        <f t="shared" si="13"/>
        <v>2.2753929466969214</v>
      </c>
      <c r="AD55" s="53">
        <f t="shared" si="13"/>
        <v>2.74719677228184</v>
      </c>
    </row>
    <row r="56" spans="1:30" x14ac:dyDescent="0.35">
      <c r="A56" s="72" t="s">
        <v>39</v>
      </c>
      <c r="B56" s="10">
        <f>NPV('Cost Assumptions'!$B$3,Menifee!D56:'Menifee'!AD56)</f>
        <v>81.976482418430209</v>
      </c>
      <c r="C56" s="72" t="s">
        <v>35</v>
      </c>
      <c r="D56" s="53">
        <f t="shared" ref="D56:AD56" si="14">D12-D31</f>
        <v>2</v>
      </c>
      <c r="E56" s="53">
        <f t="shared" si="14"/>
        <v>4</v>
      </c>
      <c r="F56" s="53">
        <f t="shared" si="14"/>
        <v>4.5999999999999996</v>
      </c>
      <c r="G56" s="53">
        <f t="shared" si="14"/>
        <v>5.1999999999999993</v>
      </c>
      <c r="H56" s="53">
        <f t="shared" si="14"/>
        <v>5.7999999999999989</v>
      </c>
      <c r="I56" s="53">
        <f t="shared" si="14"/>
        <v>6.3999999999999986</v>
      </c>
      <c r="J56" s="53">
        <f t="shared" si="14"/>
        <v>7</v>
      </c>
      <c r="K56" s="53">
        <f t="shared" si="14"/>
        <v>7</v>
      </c>
      <c r="L56" s="53">
        <f t="shared" si="14"/>
        <v>6</v>
      </c>
      <c r="M56" s="53">
        <f t="shared" si="14"/>
        <v>5</v>
      </c>
      <c r="N56" s="53">
        <f t="shared" si="14"/>
        <v>7</v>
      </c>
      <c r="O56" s="53">
        <f t="shared" si="14"/>
        <v>8.1666666666666661</v>
      </c>
      <c r="P56" s="53">
        <f t="shared" si="14"/>
        <v>9.3333333333333321</v>
      </c>
      <c r="Q56" s="53">
        <f t="shared" si="14"/>
        <v>10.499999999999998</v>
      </c>
      <c r="R56" s="53">
        <f t="shared" si="14"/>
        <v>11.666666666666664</v>
      </c>
      <c r="S56" s="53">
        <f t="shared" si="14"/>
        <v>12.83333333333333</v>
      </c>
      <c r="T56" s="53">
        <f t="shared" si="14"/>
        <v>14</v>
      </c>
      <c r="U56" s="53">
        <f t="shared" si="14"/>
        <v>17</v>
      </c>
      <c r="V56" s="53">
        <f t="shared" si="14"/>
        <v>20</v>
      </c>
      <c r="W56" s="53">
        <f t="shared" si="14"/>
        <v>23</v>
      </c>
      <c r="X56" s="53">
        <f t="shared" si="14"/>
        <v>26</v>
      </c>
      <c r="Y56" s="53">
        <f t="shared" si="14"/>
        <v>29</v>
      </c>
      <c r="Z56" s="53">
        <f t="shared" si="14"/>
        <v>30.6</v>
      </c>
      <c r="AA56" s="53">
        <f t="shared" si="14"/>
        <v>32.200000000000003</v>
      </c>
      <c r="AB56" s="53">
        <f t="shared" si="14"/>
        <v>33.800000000000004</v>
      </c>
      <c r="AC56" s="53">
        <f t="shared" si="14"/>
        <v>35.400000000000006</v>
      </c>
      <c r="AD56" s="53">
        <f t="shared" si="14"/>
        <v>37</v>
      </c>
    </row>
    <row r="58" spans="1:30" ht="15" thickBot="1" x14ac:dyDescent="0.4">
      <c r="A58" s="177" t="s">
        <v>143</v>
      </c>
      <c r="B58" s="177"/>
      <c r="C58" s="177"/>
      <c r="D58" s="177"/>
      <c r="E58" s="177"/>
      <c r="F58" s="177"/>
      <c r="G58" s="177"/>
      <c r="H58" s="177"/>
      <c r="I58" s="177"/>
      <c r="J58" s="177"/>
      <c r="K58" s="177"/>
      <c r="L58" s="177"/>
      <c r="M58" s="177"/>
      <c r="N58" s="177"/>
      <c r="O58" s="177"/>
      <c r="P58" s="177"/>
      <c r="Q58" s="177"/>
      <c r="R58" s="177"/>
      <c r="S58" s="177"/>
      <c r="T58" s="177"/>
      <c r="U58" s="177"/>
      <c r="V58" s="177"/>
      <c r="W58" s="177"/>
      <c r="X58" s="177"/>
      <c r="Y58" s="177"/>
      <c r="Z58" s="177"/>
      <c r="AA58" s="177"/>
      <c r="AB58" s="177"/>
      <c r="AC58" s="177"/>
      <c r="AD58" s="177"/>
    </row>
    <row r="59" spans="1:30" ht="15.5" thickTop="1" thickBot="1" x14ac:dyDescent="0.4">
      <c r="A59" s="177"/>
      <c r="B59" s="177"/>
      <c r="C59" s="177"/>
      <c r="D59" s="177"/>
      <c r="E59" s="177"/>
      <c r="F59" s="177"/>
      <c r="G59" s="177"/>
      <c r="H59" s="177"/>
      <c r="I59" s="177"/>
      <c r="J59" s="177"/>
      <c r="K59" s="177"/>
      <c r="L59" s="177"/>
      <c r="M59" s="177"/>
      <c r="N59" s="177"/>
      <c r="O59" s="177"/>
      <c r="P59" s="177"/>
      <c r="Q59" s="177"/>
      <c r="R59" s="177"/>
      <c r="S59" s="177"/>
      <c r="T59" s="177"/>
      <c r="U59" s="177"/>
      <c r="V59" s="177"/>
      <c r="W59" s="177"/>
      <c r="X59" s="177"/>
      <c r="Y59" s="177"/>
      <c r="Z59" s="177"/>
      <c r="AA59" s="177"/>
      <c r="AB59" s="177"/>
      <c r="AC59" s="177"/>
      <c r="AD59" s="177"/>
    </row>
    <row r="60" spans="1:30" ht="15" thickTop="1" x14ac:dyDescent="0.35">
      <c r="A60" s="72" t="str">
        <f>'Baseline System Analysis'!A17</f>
        <v>Residential</v>
      </c>
      <c r="B60" s="72" t="str">
        <f>'Baseline System Analysis'!B17</f>
        <v>Cost of Reliability (N-1)</v>
      </c>
      <c r="C60" s="72" t="str">
        <f>'Baseline System Analysis'!C17</f>
        <v>$/kWh</v>
      </c>
      <c r="D60" s="4">
        <f>'Baseline System Analysis'!D17</f>
        <v>4.4933261328125003</v>
      </c>
      <c r="E60" s="4">
        <f>'Baseline System Analysis'!E17</f>
        <v>4.6056592861328127</v>
      </c>
      <c r="F60" s="4">
        <f>'Baseline System Analysis'!F17</f>
        <v>4.720800768286133</v>
      </c>
      <c r="G60" s="4">
        <f>'Baseline System Analysis'!G17</f>
        <v>4.8388207874932858</v>
      </c>
      <c r="H60" s="4">
        <f>'Baseline System Analysis'!H17</f>
        <v>4.9597913071806179</v>
      </c>
      <c r="I60" s="4">
        <f>'Baseline System Analysis'!I17</f>
        <v>5.0837860898601326</v>
      </c>
      <c r="J60" s="4">
        <f>'Baseline System Analysis'!J17</f>
        <v>5.2108807421066352</v>
      </c>
      <c r="K60" s="4">
        <f>'Baseline System Analysis'!K17</f>
        <v>5.341152760659301</v>
      </c>
      <c r="L60" s="4">
        <f>'Baseline System Analysis'!L17</f>
        <v>5.4746815796757833</v>
      </c>
      <c r="M60" s="4">
        <f>'Baseline System Analysis'!M17</f>
        <v>5.6115486191676771</v>
      </c>
      <c r="N60" s="4">
        <f>'Baseline System Analysis'!N17</f>
        <v>5.7518373346468685</v>
      </c>
      <c r="O60" s="4">
        <f>'Baseline System Analysis'!O17</f>
        <v>5.8956332680130394</v>
      </c>
      <c r="P60" s="4">
        <f>'Baseline System Analysis'!P17</f>
        <v>6.0430240997133646</v>
      </c>
      <c r="Q60" s="4">
        <f>'Baseline System Analysis'!Q17</f>
        <v>6.1940997022061985</v>
      </c>
      <c r="R60" s="4">
        <f>'Baseline System Analysis'!R17</f>
        <v>6.3489521947613525</v>
      </c>
      <c r="S60" s="4">
        <f>'Baseline System Analysis'!S17</f>
        <v>6.5076759996303855</v>
      </c>
      <c r="T60" s="4">
        <f>'Baseline System Analysis'!T17</f>
        <v>6.6703678996211444</v>
      </c>
      <c r="U60" s="4">
        <f>'Baseline System Analysis'!U17</f>
        <v>6.8371270971116722</v>
      </c>
      <c r="V60" s="4">
        <f>'Baseline System Analysis'!V17</f>
        <v>7.0080552745394638</v>
      </c>
      <c r="W60" s="4">
        <f>'Baseline System Analysis'!W17</f>
        <v>7.1832566564029499</v>
      </c>
      <c r="X60" s="4">
        <f>'Baseline System Analysis'!X17</f>
        <v>7.3628380728130232</v>
      </c>
      <c r="Y60" s="4">
        <f>'Baseline System Analysis'!Y17</f>
        <v>7.5469090246333481</v>
      </c>
      <c r="Z60" s="4">
        <f>'Baseline System Analysis'!Z17</f>
        <v>7.7355817502491808</v>
      </c>
      <c r="AA60" s="4">
        <f>'Baseline System Analysis'!AA17</f>
        <v>7.92897129400541</v>
      </c>
      <c r="AB60" s="4">
        <f>'Baseline System Analysis'!AB17</f>
        <v>8.127195576355545</v>
      </c>
      <c r="AC60" s="4">
        <f>'Baseline System Analysis'!AC17</f>
        <v>8.3303754657644333</v>
      </c>
      <c r="AD60" s="4">
        <f>'Baseline System Analysis'!AD17</f>
        <v>8.5386348524085438</v>
      </c>
    </row>
    <row r="61" spans="1:30" x14ac:dyDescent="0.35">
      <c r="A61" s="72" t="str">
        <f>'Baseline System Analysis'!A18</f>
        <v>Residential</v>
      </c>
      <c r="B61" s="72" t="str">
        <f>'Baseline System Analysis'!B18</f>
        <v>Cost of Reliability (N-0)</v>
      </c>
      <c r="C61" s="72" t="str">
        <f>'Baseline System Analysis'!C18</f>
        <v>$/kWh</v>
      </c>
      <c r="D61" s="4">
        <f>'Baseline System Analysis'!D18</f>
        <v>3.7920011132812497</v>
      </c>
      <c r="E61" s="4">
        <f>'Baseline System Analysis'!E18</f>
        <v>3.8868011411132808</v>
      </c>
      <c r="F61" s="4">
        <f>'Baseline System Analysis'!F18</f>
        <v>3.9839711696411126</v>
      </c>
      <c r="G61" s="4">
        <f>'Baseline System Analysis'!G18</f>
        <v>4.0835704488821403</v>
      </c>
      <c r="H61" s="4">
        <f>'Baseline System Analysis'!H18</f>
        <v>4.1856597101041935</v>
      </c>
      <c r="I61" s="4">
        <f>'Baseline System Analysis'!I18</f>
        <v>4.2903012028567975</v>
      </c>
      <c r="J61" s="4">
        <f>'Baseline System Analysis'!J18</f>
        <v>4.3975587329282169</v>
      </c>
      <c r="K61" s="4">
        <f>'Baseline System Analysis'!K18</f>
        <v>4.5074977012514221</v>
      </c>
      <c r="L61" s="4">
        <f>'Baseline System Analysis'!L18</f>
        <v>4.6201851437827068</v>
      </c>
      <c r="M61" s="4">
        <f>'Baseline System Analysis'!M18</f>
        <v>4.735689772377274</v>
      </c>
      <c r="N61" s="4">
        <f>'Baseline System Analysis'!N18</f>
        <v>4.8540820166867054</v>
      </c>
      <c r="O61" s="4">
        <f>'Baseline System Analysis'!O18</f>
        <v>4.9754340671038726</v>
      </c>
      <c r="P61" s="4">
        <f>'Baseline System Analysis'!P18</f>
        <v>5.0998199187814688</v>
      </c>
      <c r="Q61" s="4">
        <f>'Baseline System Analysis'!Q18</f>
        <v>5.2273154167510052</v>
      </c>
      <c r="R61" s="4">
        <f>'Baseline System Analysis'!R18</f>
        <v>5.3579983021697801</v>
      </c>
      <c r="S61" s="4">
        <f>'Baseline System Analysis'!S18</f>
        <v>5.4919482597240243</v>
      </c>
      <c r="T61" s="4">
        <f>'Baseline System Analysis'!T18</f>
        <v>5.6292469662171243</v>
      </c>
      <c r="U61" s="4">
        <f>'Baseline System Analysis'!U18</f>
        <v>5.7699781403725519</v>
      </c>
      <c r="V61" s="4">
        <f>'Baseline System Analysis'!V18</f>
        <v>5.9142275938818649</v>
      </c>
      <c r="W61" s="4">
        <f>'Baseline System Analysis'!W18</f>
        <v>6.0620832837289109</v>
      </c>
      <c r="X61" s="4">
        <f>'Baseline System Analysis'!X18</f>
        <v>6.2136353658221335</v>
      </c>
      <c r="Y61" s="4">
        <f>'Baseline System Analysis'!Y18</f>
        <v>6.3689762499676865</v>
      </c>
      <c r="Z61" s="4">
        <f>'Baseline System Analysis'!Z18</f>
        <v>6.5282006562168782</v>
      </c>
      <c r="AA61" s="4">
        <f>'Baseline System Analysis'!AA18</f>
        <v>6.6914056726222997</v>
      </c>
      <c r="AB61" s="4">
        <f>'Baseline System Analysis'!AB18</f>
        <v>6.8586908144378569</v>
      </c>
      <c r="AC61" s="4">
        <f>'Baseline System Analysis'!AC18</f>
        <v>7.0301580847988028</v>
      </c>
      <c r="AD61" s="4">
        <f>'Baseline System Analysis'!AD18</f>
        <v>7.2059120369187726</v>
      </c>
    </row>
    <row r="62" spans="1:30" x14ac:dyDescent="0.35">
      <c r="A62" s="72" t="str">
        <f>'Baseline System Analysis'!A19</f>
        <v>Commerical</v>
      </c>
      <c r="B62" s="72" t="str">
        <f>'Baseline System Analysis'!B19</f>
        <v>Cost of Reliability (N-1)</v>
      </c>
      <c r="C62" s="72" t="str">
        <f>'Baseline System Analysis'!C19</f>
        <v>$/kWh</v>
      </c>
      <c r="D62" s="4">
        <f>'Baseline System Analysis'!D19</f>
        <v>166.59767191406246</v>
      </c>
      <c r="E62" s="4">
        <f>'Baseline System Analysis'!E19</f>
        <v>170.76261371191401</v>
      </c>
      <c r="F62" s="4">
        <f>'Baseline System Analysis'!F19</f>
        <v>175.03167905471184</v>
      </c>
      <c r="G62" s="4">
        <f>'Baseline System Analysis'!G19</f>
        <v>179.40747103107964</v>
      </c>
      <c r="H62" s="4">
        <f>'Baseline System Analysis'!H19</f>
        <v>183.89265780685662</v>
      </c>
      <c r="I62" s="4">
        <f>'Baseline System Analysis'!I19</f>
        <v>188.48997425202802</v>
      </c>
      <c r="J62" s="4">
        <f>'Baseline System Analysis'!J19</f>
        <v>193.20222360832869</v>
      </c>
      <c r="K62" s="4">
        <f>'Baseline System Analysis'!K19</f>
        <v>198.03227919853688</v>
      </c>
      <c r="L62" s="4">
        <f>'Baseline System Analysis'!L19</f>
        <v>202.98308617850029</v>
      </c>
      <c r="M62" s="4">
        <f>'Baseline System Analysis'!M19</f>
        <v>208.05766333296279</v>
      </c>
      <c r="N62" s="4">
        <f>'Baseline System Analysis'!N19</f>
        <v>213.25910491628684</v>
      </c>
      <c r="O62" s="4">
        <f>'Baseline System Analysis'!O19</f>
        <v>218.590582539194</v>
      </c>
      <c r="P62" s="4">
        <f>'Baseline System Analysis'!P19</f>
        <v>224.05534710267384</v>
      </c>
      <c r="Q62" s="4">
        <f>'Baseline System Analysis'!Q19</f>
        <v>229.65673078024065</v>
      </c>
      <c r="R62" s="4">
        <f>'Baseline System Analysis'!R19</f>
        <v>235.39814904974665</v>
      </c>
      <c r="S62" s="4">
        <f>'Baseline System Analysis'!S19</f>
        <v>241.2831027759903</v>
      </c>
      <c r="T62" s="4">
        <f>'Baseline System Analysis'!T19</f>
        <v>247.31518034539005</v>
      </c>
      <c r="U62" s="4">
        <f>'Baseline System Analysis'!U19</f>
        <v>253.49805985402477</v>
      </c>
      <c r="V62" s="4">
        <f>'Baseline System Analysis'!V19</f>
        <v>259.83551135037538</v>
      </c>
      <c r="W62" s="4">
        <f>'Baseline System Analysis'!W19</f>
        <v>266.33139913413476</v>
      </c>
      <c r="X62" s="4">
        <f>'Baseline System Analysis'!X19</f>
        <v>272.98968411248808</v>
      </c>
      <c r="Y62" s="4">
        <f>'Baseline System Analysis'!Y19</f>
        <v>279.81442621530027</v>
      </c>
      <c r="Z62" s="4">
        <f>'Baseline System Analysis'!Z19</f>
        <v>286.80978687068273</v>
      </c>
      <c r="AA62" s="4">
        <f>'Baseline System Analysis'!AA19</f>
        <v>293.98003154244975</v>
      </c>
      <c r="AB62" s="4">
        <f>'Baseline System Analysis'!AB19</f>
        <v>301.32953233101097</v>
      </c>
      <c r="AC62" s="4">
        <f>'Baseline System Analysis'!AC19</f>
        <v>308.86277063928623</v>
      </c>
      <c r="AD62" s="4">
        <f>'Baseline System Analysis'!AD19</f>
        <v>316.58433990526834</v>
      </c>
    </row>
    <row r="63" spans="1:30" x14ac:dyDescent="0.35">
      <c r="A63" s="72" t="str">
        <f>'Baseline System Analysis'!A20</f>
        <v>Commerical</v>
      </c>
      <c r="B63" s="72" t="str">
        <f>'Baseline System Analysis'!B20</f>
        <v>Cost of Reliability (N-0)</v>
      </c>
      <c r="C63" s="72" t="str">
        <f>'Baseline System Analysis'!C20</f>
        <v>$/kWh</v>
      </c>
      <c r="D63" s="4">
        <f>'Baseline System Analysis'!D20</f>
        <v>153.83719106445315</v>
      </c>
      <c r="E63" s="4">
        <f>'Baseline System Analysis'!E20</f>
        <v>157.68312084106446</v>
      </c>
      <c r="F63" s="4">
        <f>'Baseline System Analysis'!F20</f>
        <v>161.62519886209105</v>
      </c>
      <c r="G63" s="4">
        <f>'Baseline System Analysis'!G20</f>
        <v>165.6658288336433</v>
      </c>
      <c r="H63" s="4">
        <f>'Baseline System Analysis'!H20</f>
        <v>169.80747455448437</v>
      </c>
      <c r="I63" s="4">
        <f>'Baseline System Analysis'!I20</f>
        <v>174.05266141834647</v>
      </c>
      <c r="J63" s="4">
        <f>'Baseline System Analysis'!J20</f>
        <v>178.40397795380511</v>
      </c>
      <c r="K63" s="4">
        <f>'Baseline System Analysis'!K20</f>
        <v>182.86407740265022</v>
      </c>
      <c r="L63" s="4">
        <f>'Baseline System Analysis'!L20</f>
        <v>187.43567933771646</v>
      </c>
      <c r="M63" s="4">
        <f>'Baseline System Analysis'!M20</f>
        <v>192.12157132115937</v>
      </c>
      <c r="N63" s="4">
        <f>'Baseline System Analysis'!N20</f>
        <v>196.92461060418833</v>
      </c>
      <c r="O63" s="4">
        <f>'Baseline System Analysis'!O20</f>
        <v>201.84772586929301</v>
      </c>
      <c r="P63" s="4">
        <f>'Baseline System Analysis'!P20</f>
        <v>206.89391901602534</v>
      </c>
      <c r="Q63" s="4">
        <f>'Baseline System Analysis'!Q20</f>
        <v>212.06626699142595</v>
      </c>
      <c r="R63" s="4">
        <f>'Baseline System Analysis'!R20</f>
        <v>217.36792366621157</v>
      </c>
      <c r="S63" s="4">
        <f>'Baseline System Analysis'!S20</f>
        <v>222.80212175786684</v>
      </c>
      <c r="T63" s="4">
        <f>'Baseline System Analysis'!T20</f>
        <v>228.37217480181349</v>
      </c>
      <c r="U63" s="4">
        <f>'Baseline System Analysis'!U20</f>
        <v>234.0814791718588</v>
      </c>
      <c r="V63" s="4">
        <f>'Baseline System Analysis'!V20</f>
        <v>239.93351615115526</v>
      </c>
      <c r="W63" s="4">
        <f>'Baseline System Analysis'!W20</f>
        <v>245.93185405493412</v>
      </c>
      <c r="X63" s="4">
        <f>'Baseline System Analysis'!X20</f>
        <v>252.08015040630744</v>
      </c>
      <c r="Y63" s="4">
        <f>'Baseline System Analysis'!Y20</f>
        <v>258.38215416646511</v>
      </c>
      <c r="Z63" s="4">
        <f>'Baseline System Analysis'!Z20</f>
        <v>264.8417080206267</v>
      </c>
      <c r="AA63" s="4">
        <f>'Baseline System Analysis'!AA20</f>
        <v>271.46275072114236</v>
      </c>
      <c r="AB63" s="4">
        <f>'Baseline System Analysis'!AB20</f>
        <v>278.24931948917089</v>
      </c>
      <c r="AC63" s="4">
        <f>'Baseline System Analysis'!AC20</f>
        <v>285.20555247640016</v>
      </c>
      <c r="AD63" s="4">
        <f>'Baseline System Analysis'!AD20</f>
        <v>292.33569128831016</v>
      </c>
    </row>
    <row r="65" spans="1:30" x14ac:dyDescent="0.35">
      <c r="A65" s="72" t="s">
        <v>117</v>
      </c>
      <c r="B65" s="72" t="s">
        <v>31</v>
      </c>
      <c r="C65" s="18">
        <f>NPV('Cost Assumptions'!$B$3,D65:AD65)</f>
        <v>24991.422415266501</v>
      </c>
      <c r="D65" s="4">
        <f>'Baseline System Analysis'!D24-D34</f>
        <v>194.90657816545217</v>
      </c>
      <c r="E65" s="4">
        <f>'Baseline System Analysis'!E24-E34</f>
        <v>-222.35582202960177</v>
      </c>
      <c r="F65" s="4">
        <f>'Baseline System Analysis'!F24-F34</f>
        <v>-639.61822222465617</v>
      </c>
      <c r="G65" s="4">
        <f>'Baseline System Analysis'!G24-G34</f>
        <v>-1056.8806224197106</v>
      </c>
      <c r="H65" s="4">
        <f>'Baseline System Analysis'!H24-H34</f>
        <v>-1474.143022614764</v>
      </c>
      <c r="I65" s="4">
        <f>'Baseline System Analysis'!I24-I34</f>
        <v>-1891.4054228098175</v>
      </c>
      <c r="J65" s="4">
        <f>'Baseline System Analysis'!J24-J34</f>
        <v>-2308.667823004871</v>
      </c>
      <c r="K65" s="4">
        <f>'Baseline System Analysis'!K24-K34</f>
        <v>-2456.82748709117</v>
      </c>
      <c r="L65" s="4">
        <f>'Baseline System Analysis'!L24-L34</f>
        <v>-1805.8239555268228</v>
      </c>
      <c r="M65" s="4">
        <f>'Baseline System Analysis'!M24-M34</f>
        <v>-2897.5093024808684</v>
      </c>
      <c r="N65" s="4">
        <f>'Baseline System Analysis'!N24-N34</f>
        <v>736.71990770213051</v>
      </c>
      <c r="O65" s="4">
        <f>'Baseline System Analysis'!O24-O34</f>
        <v>206.94369480076784</v>
      </c>
      <c r="P65" s="4">
        <f>'Baseline System Analysis'!P24-P34</f>
        <v>-709.27277443132334</v>
      </c>
      <c r="Q65" s="4">
        <f>'Baseline System Analysis'!Q24-Q34</f>
        <v>-1625.4892436634145</v>
      </c>
      <c r="R65" s="4">
        <f>'Baseline System Analysis'!R24-R34</f>
        <v>-2541.7057128955057</v>
      </c>
      <c r="S65" s="4">
        <f>'Baseline System Analysis'!S24-S34</f>
        <v>-3457.9221821276005</v>
      </c>
      <c r="T65" s="4">
        <f>'Baseline System Analysis'!T24-T34</f>
        <v>-4374.1386513597026</v>
      </c>
      <c r="U65" s="4">
        <f>'Baseline System Analysis'!U24-U34</f>
        <v>2568.4960768132296</v>
      </c>
      <c r="V65" s="4">
        <f>'Baseline System Analysis'!V24-V34</f>
        <v>9511.13080498614</v>
      </c>
      <c r="W65" s="4">
        <f>'Baseline System Analysis'!W24-W34</f>
        <v>16453.76553315905</v>
      </c>
      <c r="X65" s="4">
        <f>'Baseline System Analysis'!X24-X34</f>
        <v>23396.400261331961</v>
      </c>
      <c r="Y65" s="4">
        <f>'Baseline System Analysis'!Y24-Y34</f>
        <v>30339.0349895049</v>
      </c>
      <c r="Z65" s="4">
        <f>'Baseline System Analysis'!Z24-Z34</f>
        <v>37562.721572475566</v>
      </c>
      <c r="AA65" s="4">
        <f>'Baseline System Analysis'!AA24-AA34</f>
        <v>44786.408155446203</v>
      </c>
      <c r="AB65" s="4">
        <f>'Baseline System Analysis'!AB24-AB34</f>
        <v>52010.094738416898</v>
      </c>
      <c r="AC65" s="4">
        <f>'Baseline System Analysis'!AC24-AC34</f>
        <v>59233.781321387563</v>
      </c>
      <c r="AD65" s="4">
        <f>'Baseline System Analysis'!AD24-AD34</f>
        <v>66457.467904358229</v>
      </c>
    </row>
    <row r="66" spans="1:30" x14ac:dyDescent="0.35">
      <c r="A66" s="72" t="s">
        <v>119</v>
      </c>
      <c r="B66" s="72" t="s">
        <v>31</v>
      </c>
      <c r="C66" s="18">
        <f>NPV('Cost Assumptions'!$B$3,D66:AD66)</f>
        <v>103701.55315730353</v>
      </c>
      <c r="D66" s="4">
        <f>'Baseline System Analysis'!D25-D35</f>
        <v>808.76208406552269</v>
      </c>
      <c r="E66" s="4">
        <f>'Baseline System Analysis'!E25-E35</f>
        <v>-922.66233249503784</v>
      </c>
      <c r="F66" s="4">
        <f>'Baseline System Analysis'!F25-F35</f>
        <v>-2654.0867490556011</v>
      </c>
      <c r="G66" s="4">
        <f>'Baseline System Analysis'!G25-G35</f>
        <v>-4385.5111656161644</v>
      </c>
      <c r="H66" s="4">
        <f>'Baseline System Analysis'!H25-H35</f>
        <v>-6116.935582176724</v>
      </c>
      <c r="I66" s="4">
        <f>'Baseline System Analysis'!I25-I35</f>
        <v>-7848.3599987372872</v>
      </c>
      <c r="J66" s="4">
        <f>'Baseline System Analysis'!J25-J35</f>
        <v>-9579.7844152978432</v>
      </c>
      <c r="K66" s="4">
        <f>'Baseline System Analysis'!K25-K35</f>
        <v>-10194.570841845081</v>
      </c>
      <c r="L66" s="4">
        <f>'Baseline System Analysis'!L25-L35</f>
        <v>-7493.2409130262749</v>
      </c>
      <c r="M66" s="4">
        <f>'Baseline System Analysis'!M25-M35</f>
        <v>-12023.173789877968</v>
      </c>
      <c r="N66" s="4">
        <f>'Baseline System Analysis'!N25-N35</f>
        <v>3057.0088169109877</v>
      </c>
      <c r="O66" s="4">
        <f>'Baseline System Analysis'!O25-O35</f>
        <v>858.7099289651087</v>
      </c>
      <c r="P66" s="4">
        <f>'Baseline System Analysis'!P25-P35</f>
        <v>-2943.1173263586534</v>
      </c>
      <c r="Q66" s="4">
        <f>'Baseline System Analysis'!Q25-Q35</f>
        <v>-6744.9445816824154</v>
      </c>
      <c r="R66" s="4">
        <f>'Baseline System Analysis'!R25-R35</f>
        <v>-10546.771837006178</v>
      </c>
      <c r="S66" s="4">
        <f>'Baseline System Analysis'!S25-S35</f>
        <v>-14348.59909232994</v>
      </c>
      <c r="T66" s="4">
        <f>'Baseline System Analysis'!T25-T35</f>
        <v>-18150.426347653702</v>
      </c>
      <c r="U66" s="4">
        <f>'Baseline System Analysis'!U25-U35</f>
        <v>10657.938072434859</v>
      </c>
      <c r="V66" s="4">
        <f>'Baseline System Analysis'!V25-V35</f>
        <v>39466.302492523391</v>
      </c>
      <c r="W66" s="4">
        <f>'Baseline System Analysis'!W25-W35</f>
        <v>68274.666912611923</v>
      </c>
      <c r="X66" s="4">
        <f>'Baseline System Analysis'!X25-X35</f>
        <v>97083.031332700513</v>
      </c>
      <c r="Y66" s="4">
        <f>'Baseline System Analysis'!Y25-Y35</f>
        <v>125891.3957527891</v>
      </c>
      <c r="Z66" s="4">
        <f>'Baseline System Analysis'!Z25-Z35</f>
        <v>155865.98086155916</v>
      </c>
      <c r="AA66" s="4">
        <f>'Baseline System Analysis'!AA25-AA35</f>
        <v>185840.56597032933</v>
      </c>
      <c r="AB66" s="4">
        <f>'Baseline System Analysis'!AB25-AB35</f>
        <v>215815.15107909939</v>
      </c>
      <c r="AC66" s="4">
        <f>'Baseline System Analysis'!AC25-AC35</f>
        <v>245789.73618786945</v>
      </c>
      <c r="AD66" s="4">
        <f>'Baseline System Analysis'!AD25-AD35</f>
        <v>275764.32129663927</v>
      </c>
    </row>
    <row r="67" spans="1:30" x14ac:dyDescent="0.35">
      <c r="A67" s="72" t="s">
        <v>24</v>
      </c>
      <c r="B67" s="72" t="s">
        <v>31</v>
      </c>
      <c r="C67" s="18">
        <f>NPV('Cost Assumptions'!$B$3,D67:AD67)</f>
        <v>128692.97557257004</v>
      </c>
      <c r="D67" s="4">
        <f>SUM(D65:D66)</f>
        <v>1003.6686622309749</v>
      </c>
      <c r="E67" s="4">
        <f t="shared" ref="E67:AD67" si="15">SUM(E65:E66)</f>
        <v>-1145.0181545246396</v>
      </c>
      <c r="F67" s="4">
        <f t="shared" si="15"/>
        <v>-3293.7049712802573</v>
      </c>
      <c r="G67" s="4">
        <f t="shared" si="15"/>
        <v>-5442.3917880358749</v>
      </c>
      <c r="H67" s="4">
        <f t="shared" si="15"/>
        <v>-7591.078604791488</v>
      </c>
      <c r="I67" s="4">
        <f t="shared" si="15"/>
        <v>-9739.7654215471048</v>
      </c>
      <c r="J67" s="4">
        <f t="shared" si="15"/>
        <v>-11888.452238302714</v>
      </c>
      <c r="K67" s="4">
        <f t="shared" si="15"/>
        <v>-12651.398328936251</v>
      </c>
      <c r="L67" s="4">
        <f t="shared" si="15"/>
        <v>-9299.0648685530978</v>
      </c>
      <c r="M67" s="4">
        <f t="shared" si="15"/>
        <v>-14920.683092358837</v>
      </c>
      <c r="N67" s="4">
        <f t="shared" si="15"/>
        <v>3793.7287246131182</v>
      </c>
      <c r="O67" s="4">
        <f t="shared" si="15"/>
        <v>1065.6536237658765</v>
      </c>
      <c r="P67" s="4">
        <f t="shared" si="15"/>
        <v>-3652.3901007899767</v>
      </c>
      <c r="Q67" s="4">
        <f t="shared" si="15"/>
        <v>-8370.43382534583</v>
      </c>
      <c r="R67" s="4">
        <f t="shared" si="15"/>
        <v>-13088.477549901683</v>
      </c>
      <c r="S67" s="4">
        <f t="shared" si="15"/>
        <v>-17806.52127445754</v>
      </c>
      <c r="T67" s="4">
        <f t="shared" si="15"/>
        <v>-22524.564999013404</v>
      </c>
      <c r="U67" s="4">
        <f t="shared" si="15"/>
        <v>13226.434149248089</v>
      </c>
      <c r="V67" s="4">
        <f t="shared" si="15"/>
        <v>48977.433297509531</v>
      </c>
      <c r="W67" s="4">
        <f t="shared" si="15"/>
        <v>84728.432445770974</v>
      </c>
      <c r="X67" s="4">
        <f t="shared" si="15"/>
        <v>120479.43159403247</v>
      </c>
      <c r="Y67" s="4">
        <f t="shared" si="15"/>
        <v>156230.430742294</v>
      </c>
      <c r="Z67" s="4">
        <f t="shared" si="15"/>
        <v>193428.70243403473</v>
      </c>
      <c r="AA67" s="4">
        <f t="shared" si="15"/>
        <v>230626.97412577554</v>
      </c>
      <c r="AB67" s="4">
        <f t="shared" si="15"/>
        <v>267825.24581751629</v>
      </c>
      <c r="AC67" s="4">
        <f t="shared" si="15"/>
        <v>305023.51750925701</v>
      </c>
      <c r="AD67" s="4">
        <f t="shared" si="15"/>
        <v>342221.7892009975</v>
      </c>
    </row>
    <row r="68" spans="1:30" x14ac:dyDescent="0.35">
      <c r="A68" s="72"/>
      <c r="B68" s="72"/>
      <c r="C68" s="72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</row>
    <row r="69" spans="1:30" x14ac:dyDescent="0.35">
      <c r="A69" s="72" t="s">
        <v>120</v>
      </c>
      <c r="B69" s="72" t="s">
        <v>31</v>
      </c>
      <c r="C69" s="18">
        <f>NPV('Cost Assumptions'!$B$3,D69:AD69)</f>
        <v>24322736.867207415</v>
      </c>
      <c r="D69" s="4">
        <f>'Baseline System Analysis'!D28-D32</f>
        <v>160311.2620318876</v>
      </c>
      <c r="E69" s="4">
        <f>'Baseline System Analysis'!E28-E32</f>
        <v>426681.41358302307</v>
      </c>
      <c r="F69" s="4">
        <f>'Baseline System Analysis'!F28-F32</f>
        <v>622797.58403751405</v>
      </c>
      <c r="G69" s="4">
        <f>'Baseline System Analysis'!G28-G32</f>
        <v>833710.68965832237</v>
      </c>
      <c r="H69" s="4">
        <f>'Baseline System Analysis'!H28-H32</f>
        <v>1064544.9637495263</v>
      </c>
      <c r="I69" s="4">
        <f>'Baseline System Analysis'!I28-I32</f>
        <v>1155248.1483230039</v>
      </c>
      <c r="J69" s="4">
        <f>'Baseline System Analysis'!J28-J32</f>
        <v>1567795.6535710837</v>
      </c>
      <c r="K69" s="4">
        <f>'Baseline System Analysis'!K28-K32</f>
        <v>1347745.4554885479</v>
      </c>
      <c r="L69" s="4">
        <f>'Baseline System Analysis'!L28-L32</f>
        <v>1143199.8672408643</v>
      </c>
      <c r="M69" s="4">
        <f>'Baseline System Analysis'!M28-M32</f>
        <v>1340230.0479167867</v>
      </c>
      <c r="N69" s="4">
        <f>'Baseline System Analysis'!N28-N32</f>
        <v>1211871.2277846751</v>
      </c>
      <c r="O69" s="4">
        <f>'Baseline System Analysis'!O28-O32</f>
        <v>1844840.0090543826</v>
      </c>
      <c r="P69" s="4">
        <f>'Baseline System Analysis'!P28-P32</f>
        <v>2356895.0256503327</v>
      </c>
      <c r="Q69" s="4">
        <f>'Baseline System Analysis'!Q28-Q32</f>
        <v>2752240.7792296447</v>
      </c>
      <c r="R69" s="4">
        <f>'Baseline System Analysis'!R28-R32</f>
        <v>3112959.3920374792</v>
      </c>
      <c r="S69" s="4">
        <f>'Baseline System Analysis'!S28-S32</f>
        <v>3866030.048087935</v>
      </c>
      <c r="T69" s="4">
        <f>'Baseline System Analysis'!T28-T32</f>
        <v>4800043.3764840001</v>
      </c>
      <c r="U69" s="4">
        <f>'Baseline System Analysis'!U28-U32</f>
        <v>5605356.4974824116</v>
      </c>
      <c r="V69" s="4">
        <f>'Baseline System Analysis'!V28-V32</f>
        <v>6874181.4866932966</v>
      </c>
      <c r="W69" s="4">
        <f>'Baseline System Analysis'!W28-W32</f>
        <v>7999576.6636784412</v>
      </c>
      <c r="X69" s="4">
        <f>'Baseline System Analysis'!X28-X32</f>
        <v>9754283.3840660583</v>
      </c>
      <c r="Y69" s="4">
        <f>'Baseline System Analysis'!Y28-Y32</f>
        <v>11535617.976796627</v>
      </c>
      <c r="Z69" s="4">
        <f>'Baseline System Analysis'!Z28-Z32</f>
        <v>13419029.134060645</v>
      </c>
      <c r="AA69" s="4">
        <f>'Baseline System Analysis'!AA28-AA32</f>
        <v>15550241.498579893</v>
      </c>
      <c r="AB69" s="4">
        <f>'Baseline System Analysis'!AB28-AB32</f>
        <v>17751814.256896835</v>
      </c>
      <c r="AC69" s="4">
        <f>'Baseline System Analysis'!AC28-AC32</f>
        <v>19753092.153455924</v>
      </c>
      <c r="AD69" s="4">
        <f>'Baseline System Analysis'!AD28-AD32</f>
        <v>21673528.399512697</v>
      </c>
    </row>
    <row r="70" spans="1:30" x14ac:dyDescent="0.35">
      <c r="A70" s="72" t="s">
        <v>121</v>
      </c>
      <c r="B70" s="72" t="s">
        <v>31</v>
      </c>
      <c r="C70" s="18">
        <f>NPV('Cost Assumptions'!$B$3,D70:AD70)</f>
        <v>111616614.01387709</v>
      </c>
      <c r="D70" s="4">
        <f>'Baseline System Analysis'!D29-D33</f>
        <v>903346.68264248176</v>
      </c>
      <c r="E70" s="4">
        <f>'Baseline System Analysis'!E29-E33</f>
        <v>2253380.2014470203</v>
      </c>
      <c r="F70" s="4">
        <f>'Baseline System Analysis'!F29-F33</f>
        <v>3310518.2522157584</v>
      </c>
      <c r="G70" s="4">
        <f>'Baseline System Analysis'!G29-G33</f>
        <v>4447479.3478986584</v>
      </c>
      <c r="H70" s="4">
        <f>'Baseline System Analysis'!H29-H33</f>
        <v>5587189.795765399</v>
      </c>
      <c r="I70" s="4">
        <f>'Baseline System Analysis'!I29-I33</f>
        <v>5454549.1605001325</v>
      </c>
      <c r="J70" s="4">
        <f>'Baseline System Analysis'!J29-J33</f>
        <v>7543147.8061243081</v>
      </c>
      <c r="K70" s="4">
        <f>'Baseline System Analysis'!K29-K33</f>
        <v>6412592.364404032</v>
      </c>
      <c r="L70" s="4">
        <f>'Baseline System Analysis'!L29-L33</f>
        <v>5385232.8797742622</v>
      </c>
      <c r="M70" s="4">
        <f>'Baseline System Analysis'!M29-M33</f>
        <v>6340117.1212563487</v>
      </c>
      <c r="N70" s="4">
        <f>'Baseline System Analysis'!N29-N33</f>
        <v>6361112.9189538537</v>
      </c>
      <c r="O70" s="4">
        <f>'Baseline System Analysis'!O29-O33</f>
        <v>8895771.1264487375</v>
      </c>
      <c r="P70" s="4">
        <f>'Baseline System Analysis'!P29-P33</f>
        <v>11481103.835917845</v>
      </c>
      <c r="Q70" s="4">
        <f>'Baseline System Analysis'!Q29-Q33</f>
        <v>12843987.910857875</v>
      </c>
      <c r="R70" s="4">
        <f>'Baseline System Analysis'!R29-R33</f>
        <v>13698596.18827603</v>
      </c>
      <c r="S70" s="4">
        <f>'Baseline System Analysis'!S29-S33</f>
        <v>17199347.660875205</v>
      </c>
      <c r="T70" s="4">
        <f>'Baseline System Analysis'!T29-T33</f>
        <v>21372792.810114369</v>
      </c>
      <c r="U70" s="4">
        <f>'Baseline System Analysis'!U29-U33</f>
        <v>24257449.061312743</v>
      </c>
      <c r="V70" s="4">
        <f>'Baseline System Analysis'!V29-V33</f>
        <v>29703520.689742472</v>
      </c>
      <c r="W70" s="4">
        <f>'Baseline System Analysis'!W29-W33</f>
        <v>34774447.076135397</v>
      </c>
      <c r="X70" s="4">
        <f>'Baseline System Analysis'!X29-X33</f>
        <v>42273498.74532187</v>
      </c>
      <c r="Y70" s="4">
        <f>'Baseline System Analysis'!Y29-Y33</f>
        <v>50410415.488010727</v>
      </c>
      <c r="Z70" s="4">
        <f>'Baseline System Analysis'!Z29-Z33</f>
        <v>59093268.855131164</v>
      </c>
      <c r="AA70" s="4">
        <f>'Baseline System Analysis'!AA29-AA33</f>
        <v>69213486.158677086</v>
      </c>
      <c r="AB70" s="4">
        <f>'Baseline System Analysis'!AB29-AB33</f>
        <v>79553492.093079031</v>
      </c>
      <c r="AC70" s="4">
        <f>'Baseline System Analysis'!AC29-AC33</f>
        <v>89158920.062468082</v>
      </c>
      <c r="AD70" s="4">
        <f>'Baseline System Analysis'!AD29-AD33</f>
        <v>98364469.734937131</v>
      </c>
    </row>
    <row r="71" spans="1:30" x14ac:dyDescent="0.35">
      <c r="A71" s="72" t="s">
        <v>24</v>
      </c>
      <c r="B71" s="72" t="s">
        <v>31</v>
      </c>
      <c r="C71" s="18">
        <f>NPV('Cost Assumptions'!$B$3,D71:AD71)</f>
        <v>135939350.88108453</v>
      </c>
      <c r="D71" s="4">
        <f>SUM(D69:D70)</f>
        <v>1063657.9446743694</v>
      </c>
      <c r="E71" s="4">
        <f t="shared" ref="E71:AD71" si="16">SUM(E69:E70)</f>
        <v>2680061.6150300433</v>
      </c>
      <c r="F71" s="4">
        <f t="shared" si="16"/>
        <v>3933315.8362532724</v>
      </c>
      <c r="G71" s="4">
        <f t="shared" si="16"/>
        <v>5281190.0375569807</v>
      </c>
      <c r="H71" s="4">
        <f t="shared" si="16"/>
        <v>6651734.7595149251</v>
      </c>
      <c r="I71" s="4">
        <f t="shared" si="16"/>
        <v>6609797.3088231366</v>
      </c>
      <c r="J71" s="4">
        <f t="shared" si="16"/>
        <v>9110943.4596953914</v>
      </c>
      <c r="K71" s="4">
        <f t="shared" si="16"/>
        <v>7760337.8198925797</v>
      </c>
      <c r="L71" s="4">
        <f t="shared" si="16"/>
        <v>6528432.747015126</v>
      </c>
      <c r="M71" s="4">
        <f t="shared" si="16"/>
        <v>7680347.1691731354</v>
      </c>
      <c r="N71" s="4">
        <f t="shared" si="16"/>
        <v>7572984.1467385292</v>
      </c>
      <c r="O71" s="4">
        <f t="shared" si="16"/>
        <v>10740611.135503121</v>
      </c>
      <c r="P71" s="4">
        <f t="shared" si="16"/>
        <v>13837998.861568179</v>
      </c>
      <c r="Q71" s="4">
        <f t="shared" si="16"/>
        <v>15596228.69008752</v>
      </c>
      <c r="R71" s="4">
        <f t="shared" si="16"/>
        <v>16811555.580313511</v>
      </c>
      <c r="S71" s="4">
        <f t="shared" si="16"/>
        <v>21065377.708963141</v>
      </c>
      <c r="T71" s="4">
        <f t="shared" si="16"/>
        <v>26172836.186598368</v>
      </c>
      <c r="U71" s="4">
        <f t="shared" si="16"/>
        <v>29862805.558795154</v>
      </c>
      <c r="V71" s="4">
        <f t="shared" si="16"/>
        <v>36577702.176435769</v>
      </c>
      <c r="W71" s="4">
        <f t="shared" si="16"/>
        <v>42774023.739813834</v>
      </c>
      <c r="X71" s="4">
        <f t="shared" si="16"/>
        <v>52027782.12938793</v>
      </c>
      <c r="Y71" s="4">
        <f t="shared" si="16"/>
        <v>61946033.464807354</v>
      </c>
      <c r="Z71" s="4">
        <f t="shared" si="16"/>
        <v>72512297.989191815</v>
      </c>
      <c r="AA71" s="4">
        <f t="shared" si="16"/>
        <v>84763727.657256976</v>
      </c>
      <c r="AB71" s="4">
        <f t="shared" si="16"/>
        <v>97305306.349975869</v>
      </c>
      <c r="AC71" s="4">
        <f t="shared" si="16"/>
        <v>108912012.21592401</v>
      </c>
      <c r="AD71" s="4">
        <f t="shared" si="16"/>
        <v>120037998.13444982</v>
      </c>
    </row>
    <row r="73" spans="1:30" x14ac:dyDescent="0.35">
      <c r="A73" s="72" t="s">
        <v>117</v>
      </c>
      <c r="B73" s="72" t="s">
        <v>144</v>
      </c>
      <c r="C73" s="18">
        <f>NPV('Cost Assumptions'!$B$3,D73:AD73)</f>
        <v>207361752.67986608</v>
      </c>
      <c r="D73" s="53">
        <f>ABS((D49*D60*1000*'Cost Assumptions'!$B$6)/'Cost Assumptions'!$B$14)</f>
        <v>6621897.8890077285</v>
      </c>
      <c r="E73" s="53">
        <f>ABS((E49*E60*1000*'Cost Assumptions'!$B$6)/'Cost Assumptions'!$B$14)</f>
        <v>9025240.0833087191</v>
      </c>
      <c r="F73" s="53">
        <f>ABS((F49*F60*1000*'Cost Assumptions'!$B$6)/'Cost Assumptions'!$B$14)</f>
        <v>11544610.701144125</v>
      </c>
      <c r="G73" s="53">
        <f>ABS((G49*G60*1000*'Cost Assumptions'!$B$6)/'Cost Assumptions'!$B$14)</f>
        <v>14184309.074819231</v>
      </c>
      <c r="H73" s="53">
        <f>ABS((H49*H60*1000*'Cost Assumptions'!$B$6)/'Cost Assumptions'!$B$14)</f>
        <v>16948776.985489886</v>
      </c>
      <c r="I73" s="53">
        <f>ABS((I49*I60*1000*'Cost Assumptions'!$B$6)/'Cost Assumptions'!$B$14)</f>
        <v>19842603.098522302</v>
      </c>
      <c r="J73" s="53">
        <f>ABS((J49*J60*1000*'Cost Assumptions'!$B$6)/'Cost Assumptions'!$B$14)</f>
        <v>22870527.531590406</v>
      </c>
      <c r="K73" s="53">
        <f>ABS((K49*K60*1000*'Cost Assumptions'!$B$6)/'Cost Assumptions'!$B$14)</f>
        <v>22841542.609588388</v>
      </c>
      <c r="L73" s="53">
        <f>ABS((L49*L60*1000*'Cost Assumptions'!$B$6)/'Cost Assumptions'!$B$14)</f>
        <v>22796814.361779023</v>
      </c>
      <c r="M73" s="53">
        <f>ABS((M49*M60*1000*'Cost Assumptions'!$B$6)/'Cost Assumptions'!$B$14)</f>
        <v>18201663.851003204</v>
      </c>
      <c r="N73" s="53">
        <f>ABS((N49*N60*1000*'Cost Assumptions'!$B$6)/'Cost Assumptions'!$B$14)</f>
        <v>22078347.206995543</v>
      </c>
      <c r="O73" s="53">
        <f>ABS((O49*O60*1000*'Cost Assumptions'!$B$6)/'Cost Assumptions'!$B$14)</f>
        <v>27489608.933048781</v>
      </c>
      <c r="P73" s="53">
        <f>ABS((P49*P60*1000*'Cost Assumptions'!$B$6)/'Cost Assumptions'!$B$14)</f>
        <v>29252436.534241784</v>
      </c>
      <c r="Q73" s="53">
        <f>ABS((Q49*Q60*1000*'Cost Assumptions'!$B$6)/'Cost Assumptions'!$B$14)</f>
        <v>31086224.509911269</v>
      </c>
      <c r="R73" s="53">
        <f>ABS((R49*R60*1000*'Cost Assumptions'!$B$6)/'Cost Assumptions'!$B$14)</f>
        <v>32993419.11153033</v>
      </c>
      <c r="S73" s="53">
        <f>ABS((S49*S60*1000*'Cost Assumptions'!$B$6)/'Cost Assumptions'!$B$14)</f>
        <v>34976544.552911662</v>
      </c>
      <c r="T73" s="53">
        <f>ABS((T49*T60*1000*'Cost Assumptions'!$B$6)/'Cost Assumptions'!$B$14)</f>
        <v>37038205.379417345</v>
      </c>
      <c r="U73" s="53">
        <f>ABS((U49*U60*1000*'Cost Assumptions'!$B$6)/'Cost Assumptions'!$B$14)</f>
        <v>39181088.90690273</v>
      </c>
      <c r="V73" s="53">
        <f>ABS((V49*V60*1000*'Cost Assumptions'!$B$6)/'Cost Assumptions'!$B$14)</f>
        <v>41407967.732400253</v>
      </c>
      <c r="W73" s="53">
        <f>ABS((W49*W60*1000*'Cost Assumptions'!$B$6)/'Cost Assumptions'!$B$14)</f>
        <v>43721702.318605848</v>
      </c>
      <c r="X73" s="53">
        <f>ABS((X49*X60*1000*'Cost Assumptions'!$B$6)/'Cost Assumptions'!$B$14)</f>
        <v>46125243.654288985</v>
      </c>
      <c r="Y73" s="53">
        <f>ABS((Y49*Y60*1000*'Cost Assumptions'!$B$6)/'Cost Assumptions'!$B$14)</f>
        <v>48621635.992807105</v>
      </c>
      <c r="Z73" s="53">
        <f>ABS((Z49*Z60*1000*'Cost Assumptions'!$B$6)/'Cost Assumptions'!$B$14)</f>
        <v>51214019.670967244</v>
      </c>
      <c r="AA73" s="53">
        <f>ABS((AA49*AA60*1000*'Cost Assumptions'!$B$6)/'Cost Assumptions'!$B$14)</f>
        <v>53905634.010539882</v>
      </c>
      <c r="AB73" s="53">
        <f>ABS((AB49*AB60*1000*'Cost Assumptions'!$B$6)/'Cost Assumptions'!$B$14)</f>
        <v>56699820.304796793</v>
      </c>
      <c r="AC73" s="53">
        <f>ABS((AC49*AC60*1000*'Cost Assumptions'!$B$6)/'Cost Assumptions'!$B$14)</f>
        <v>59600024.892509967</v>
      </c>
      <c r="AD73" s="53">
        <f>ABS((AD49*AD60*1000*'Cost Assumptions'!$B$6)/'Cost Assumptions'!$B$14)</f>
        <v>62609802.321918212</v>
      </c>
    </row>
    <row r="74" spans="1:30" x14ac:dyDescent="0.35">
      <c r="A74" s="72" t="s">
        <v>119</v>
      </c>
      <c r="B74" s="72" t="s">
        <v>144</v>
      </c>
      <c r="C74" s="18">
        <f>NPV('Cost Assumptions'!$B$3,D74:AD74)</f>
        <v>854254218.59947979</v>
      </c>
      <c r="D74" s="53">
        <f>ABS((D49*D62*1000*'Cost Assumptions'!$B$7)/'Cost Assumptions'!$B$14)</f>
        <v>27279785.8511209</v>
      </c>
      <c r="E74" s="53">
        <f>ABS((E49*E62*1000*'Cost Assumptions'!$B$7)/'Cost Assumptions'!$B$14)</f>
        <v>37180672.498184308</v>
      </c>
      <c r="F74" s="53">
        <f>ABS((F49*F62*1000*'Cost Assumptions'!$B$7)/'Cost Assumptions'!$B$14)</f>
        <v>47559553.611443922</v>
      </c>
      <c r="G74" s="53">
        <f>ABS((G49*G62*1000*'Cost Assumptions'!$B$7)/'Cost Assumptions'!$B$14)</f>
        <v>58434140.860055134</v>
      </c>
      <c r="H74" s="53">
        <f>ABS((H49*H62*1000*'Cost Assumptions'!$B$7)/'Cost Assumptions'!$B$14)</f>
        <v>69822732.750089809</v>
      </c>
      <c r="I74" s="53">
        <f>ABS((I49*I62*1000*'Cost Assumptions'!$B$7)/'Cost Assumptions'!$B$14)</f>
        <v>81744232.896588638</v>
      </c>
      <c r="J74" s="53">
        <f>ABS((J49*J62*1000*'Cost Assumptions'!$B$7)/'Cost Assumptions'!$B$14)</f>
        <v>94218168.842443585</v>
      </c>
      <c r="K74" s="53">
        <f>ABS((K49*K62*1000*'Cost Assumptions'!$B$7)/'Cost Assumptions'!$B$14)</f>
        <v>94098761.615334406</v>
      </c>
      <c r="L74" s="53">
        <f>ABS((L49*L62*1000*'Cost Assumptions'!$B$7)/'Cost Assumptions'!$B$14)</f>
        <v>93914497.671343237</v>
      </c>
      <c r="M74" s="53">
        <f>ABS((M49*M62*1000*'Cost Assumptions'!$B$7)/'Cost Assumptions'!$B$14)</f>
        <v>74984166.218223035</v>
      </c>
      <c r="N74" s="53">
        <f>ABS((N49*N62*1000*'Cost Assumptions'!$B$7)/'Cost Assumptions'!$B$14)</f>
        <v>90954677.019911468</v>
      </c>
      <c r="O74" s="53">
        <f>ABS((O49*O62*1000*'Cost Assumptions'!$B$7)/'Cost Assumptions'!$B$14)</f>
        <v>113247086.77092011</v>
      </c>
      <c r="P74" s="53">
        <f>ABS((P49*P62*1000*'Cost Assumptions'!$B$7)/'Cost Assumptions'!$B$14)</f>
        <v>120509288.67421708</v>
      </c>
      <c r="Q74" s="53">
        <f>ABS((Q49*Q62*1000*'Cost Assumptions'!$B$7)/'Cost Assumptions'!$B$14)</f>
        <v>128063821.24344707</v>
      </c>
      <c r="R74" s="53">
        <f>ABS((R49*R62*1000*'Cost Assumptions'!$B$7)/'Cost Assumptions'!$B$14)</f>
        <v>135920762.13571715</v>
      </c>
      <c r="S74" s="53">
        <f>ABS((S49*S62*1000*'Cost Assumptions'!$B$7)/'Cost Assumptions'!$B$14)</f>
        <v>144090510.18432361</v>
      </c>
      <c r="T74" s="53">
        <f>ABS((T49*T62*1000*'Cost Assumptions'!$B$7)/'Cost Assumptions'!$B$14)</f>
        <v>152583795.15902558</v>
      </c>
      <c r="U74" s="53">
        <f>ABS((U49*U62*1000*'Cost Assumptions'!$B$7)/'Cost Assumptions'!$B$14)</f>
        <v>161411687.81359744</v>
      </c>
      <c r="V74" s="53">
        <f>ABS((V49*V62*1000*'Cost Assumptions'!$B$7)/'Cost Assumptions'!$B$14)</f>
        <v>170585610.22892344</v>
      </c>
      <c r="W74" s="53">
        <f>ABS((W49*W62*1000*'Cost Assumptions'!$B$7)/'Cost Assumptions'!$B$14)</f>
        <v>180117346.46013233</v>
      </c>
      <c r="X74" s="53">
        <f>ABS((X49*X62*1000*'Cost Assumptions'!$B$7)/'Cost Assumptions'!$B$14)</f>
        <v>190019053.49650857</v>
      </c>
      <c r="Y74" s="53">
        <f>ABS((Y49*Y62*1000*'Cost Assumptions'!$B$7)/'Cost Assumptions'!$B$14)</f>
        <v>200303272.54316595</v>
      </c>
      <c r="Z74" s="53">
        <f>ABS((Z49*Z62*1000*'Cost Assumptions'!$B$7)/'Cost Assumptions'!$B$14)</f>
        <v>210982940.63372093</v>
      </c>
      <c r="AA74" s="53">
        <f>ABS((AA49*AA62*1000*'Cost Assumptions'!$B$7)/'Cost Assumptions'!$B$14)</f>
        <v>222071402.58346424</v>
      </c>
      <c r="AB74" s="53">
        <f>ABS((AB49*AB62*1000*'Cost Assumptions'!$B$7)/'Cost Assumptions'!$B$14)</f>
        <v>233582423.29279867</v>
      </c>
      <c r="AC74" s="53">
        <f>ABS((AC49*AC62*1000*'Cost Assumptions'!$B$7)/'Cost Assumptions'!$B$14)</f>
        <v>245530200.41098502</v>
      </c>
      <c r="AD74" s="53">
        <f>ABS((AD49*AD62*1000*'Cost Assumptions'!$B$7)/'Cost Assumptions'!$B$14)</f>
        <v>257929377.3705225</v>
      </c>
    </row>
    <row r="75" spans="1:30" x14ac:dyDescent="0.35">
      <c r="A75" s="72" t="s">
        <v>24</v>
      </c>
      <c r="B75" s="72" t="s">
        <v>144</v>
      </c>
      <c r="C75" s="18">
        <f>NPV('Cost Assumptions'!$B$3,D75:AD75)</f>
        <v>1061615971.279346</v>
      </c>
      <c r="D75" s="53">
        <f>SUM(D73:D74)</f>
        <v>33901683.740128629</v>
      </c>
      <c r="E75" s="53">
        <f t="shared" ref="E75:AD75" si="17">SUM(E73:E74)</f>
        <v>46205912.581493028</v>
      </c>
      <c r="F75" s="53">
        <f t="shared" si="17"/>
        <v>59104164.312588051</v>
      </c>
      <c r="G75" s="53">
        <f t="shared" si="17"/>
        <v>72618449.934874371</v>
      </c>
      <c r="H75" s="53">
        <f t="shared" si="17"/>
        <v>86771509.735579699</v>
      </c>
      <c r="I75" s="53">
        <f t="shared" si="17"/>
        <v>101586835.99511094</v>
      </c>
      <c r="J75" s="53">
        <f t="shared" si="17"/>
        <v>117088696.37403399</v>
      </c>
      <c r="K75" s="53">
        <f t="shared" si="17"/>
        <v>116940304.22492279</v>
      </c>
      <c r="L75" s="53">
        <f t="shared" si="17"/>
        <v>116711312.03312226</v>
      </c>
      <c r="M75" s="53">
        <f t="shared" si="17"/>
        <v>93185830.069226235</v>
      </c>
      <c r="N75" s="53">
        <f t="shared" si="17"/>
        <v>113033024.22690701</v>
      </c>
      <c r="O75" s="53">
        <f t="shared" si="17"/>
        <v>140736695.70396888</v>
      </c>
      <c r="P75" s="53">
        <f t="shared" si="17"/>
        <v>149761725.20845887</v>
      </c>
      <c r="Q75" s="53">
        <f t="shared" si="17"/>
        <v>159150045.75335833</v>
      </c>
      <c r="R75" s="53">
        <f t="shared" si="17"/>
        <v>168914181.24724749</v>
      </c>
      <c r="S75" s="53">
        <f t="shared" si="17"/>
        <v>179067054.73723528</v>
      </c>
      <c r="T75" s="53">
        <f t="shared" si="17"/>
        <v>189622000.53844291</v>
      </c>
      <c r="U75" s="53">
        <f t="shared" si="17"/>
        <v>200592776.72050017</v>
      </c>
      <c r="V75" s="53">
        <f t="shared" si="17"/>
        <v>211993577.96132368</v>
      </c>
      <c r="W75" s="53">
        <f t="shared" si="17"/>
        <v>223839048.77873817</v>
      </c>
      <c r="X75" s="53">
        <f t="shared" si="17"/>
        <v>236144297.15079755</v>
      </c>
      <c r="Y75" s="53">
        <f t="shared" si="17"/>
        <v>248924908.53597307</v>
      </c>
      <c r="Z75" s="53">
        <f t="shared" si="17"/>
        <v>262196960.30468819</v>
      </c>
      <c r="AA75" s="53">
        <f t="shared" si="17"/>
        <v>275977036.59400409</v>
      </c>
      <c r="AB75" s="53">
        <f t="shared" si="17"/>
        <v>290282243.59759545</v>
      </c>
      <c r="AC75" s="53">
        <f t="shared" si="17"/>
        <v>305130225.30349499</v>
      </c>
      <c r="AD75" s="53">
        <f t="shared" si="17"/>
        <v>320539179.69244069</v>
      </c>
    </row>
    <row r="76" spans="1:30" x14ac:dyDescent="0.35">
      <c r="A76" s="72"/>
      <c r="B76" s="72"/>
      <c r="C76" s="18"/>
      <c r="D76" s="53"/>
      <c r="E76" s="53"/>
      <c r="F76" s="53"/>
      <c r="G76" s="53"/>
      <c r="H76" s="53"/>
      <c r="I76" s="53"/>
      <c r="J76" s="53"/>
      <c r="K76" s="53"/>
      <c r="L76" s="53"/>
      <c r="M76" s="53"/>
      <c r="N76" s="53"/>
      <c r="O76" s="53"/>
      <c r="P76" s="53"/>
      <c r="Q76" s="53"/>
      <c r="R76" s="53"/>
      <c r="S76" s="53"/>
      <c r="T76" s="53"/>
      <c r="U76" s="53"/>
      <c r="V76" s="53"/>
      <c r="W76" s="53"/>
      <c r="X76" s="53"/>
      <c r="Y76" s="53"/>
      <c r="Z76" s="53"/>
      <c r="AA76" s="53"/>
      <c r="AB76" s="53"/>
      <c r="AC76" s="53"/>
      <c r="AD76" s="53"/>
    </row>
    <row r="77" spans="1:30" x14ac:dyDescent="0.35">
      <c r="A77" s="72" t="s">
        <v>117</v>
      </c>
      <c r="B77" s="72" t="s">
        <v>152</v>
      </c>
      <c r="C77" s="18">
        <f>NPV('Cost Assumptions'!$B$3,D77:AD77)</f>
        <v>47590346.856613584</v>
      </c>
      <c r="D77" s="53">
        <f>ABS(D50)*D61*1000*'Cost Assumptions'!$B$6*'Cost Assumptions'!$B$13</f>
        <v>4137768.8918072241</v>
      </c>
      <c r="E77" s="53">
        <f>ABS(E50)*E61*1000*'Cost Assumptions'!$B$6*'Cost Assumptions'!$B$13</f>
        <v>4254820.0218937127</v>
      </c>
      <c r="F77" s="53">
        <f>ABS(F50)*F61*1000*'Cost Assumptions'!$B$6*'Cost Assumptions'!$B$13</f>
        <v>4367817.0089238724</v>
      </c>
      <c r="G77" s="53">
        <f>ABS(G50)*G61*1000*'Cost Assumptions'!$B$6*'Cost Assumptions'!$B$13</f>
        <v>4483988.7466957299</v>
      </c>
      <c r="H77" s="53">
        <f>ABS(H50)*H61*1000*'Cost Assumptions'!$B$6*'Cost Assumptions'!$B$13</f>
        <v>4603613.0399856679</v>
      </c>
      <c r="I77" s="53">
        <f>ABS(I50)*I61*1000*'Cost Assumptions'!$B$6*'Cost Assumptions'!$B$13</f>
        <v>4727541.1018099366</v>
      </c>
      <c r="J77" s="53">
        <f>ABS(J50)*J61*1000*'Cost Assumptions'!$B$6*'Cost Assumptions'!$B$13</f>
        <v>4854789.9825669629</v>
      </c>
      <c r="K77" s="53">
        <f>ABS(K50)*K61*1000*'Cost Assumptions'!$B$6*'Cost Assumptions'!$B$13</f>
        <v>4970036.401468969</v>
      </c>
      <c r="L77" s="53">
        <f>ABS(L50)*L61*1000*'Cost Assumptions'!$B$6*'Cost Assumptions'!$B$13</f>
        <v>5088013.7948193476</v>
      </c>
      <c r="M77" s="53">
        <f>ABS(M50)*M61*1000*'Cost Assumptions'!$B$6*'Cost Assumptions'!$B$13</f>
        <v>5208782.5949411206</v>
      </c>
      <c r="N77" s="53">
        <f>ABS(N50)*N61*1000*'Cost Assumptions'!$B$6*'Cost Assumptions'!$B$13</f>
        <v>5349561.6042314712</v>
      </c>
      <c r="O77" s="53">
        <f>ABS(O50)*O61*1000*'Cost Assumptions'!$B$6*'Cost Assumptions'!$B$13</f>
        <v>5494422.9195844755</v>
      </c>
      <c r="P77" s="53">
        <f>ABS(P50)*P61*1000*'Cost Assumptions'!$B$6*'Cost Assumptions'!$B$13</f>
        <v>5643514.4920087289</v>
      </c>
      <c r="Q77" s="53">
        <f>ABS(Q50)*Q61*1000*'Cost Assumptions'!$B$6*'Cost Assumptions'!$B$13</f>
        <v>5796404.6138297534</v>
      </c>
      <c r="R77" s="53">
        <f>ABS(R50)*R61*1000*'Cost Assumptions'!$B$6*'Cost Assumptions'!$B$13</f>
        <v>5953674.6204984132</v>
      </c>
      <c r="S77" s="53">
        <f>ABS(S50)*S61*1000*'Cost Assumptions'!$B$6*'Cost Assumptions'!$B$13</f>
        <v>6115414.4884101478</v>
      </c>
      <c r="T77" s="53">
        <f>ABS(T50)*T61*1000*'Cost Assumptions'!$B$6*'Cost Assumptions'!$B$13</f>
        <v>6281828.7095682751</v>
      </c>
      <c r="U77" s="53">
        <f>ABS(U50)*U61*1000*'Cost Assumptions'!$B$6*'Cost Assumptions'!$B$13</f>
        <v>6451484.2915076101</v>
      </c>
      <c r="V77" s="53">
        <f>ABS(V50)*V61*1000*'Cost Assumptions'!$B$6*'Cost Assumptions'!$B$13</f>
        <v>6625754.476403744</v>
      </c>
      <c r="W77" s="53">
        <f>ABS(W50)*W61*1000*'Cost Assumptions'!$B$6*'Cost Assumptions'!$B$13</f>
        <v>6804701.4224029724</v>
      </c>
      <c r="X77" s="53">
        <f>ABS(X50)*X61*1000*'Cost Assumptions'!$B$6*'Cost Assumptions'!$B$13</f>
        <v>6988542.0672793463</v>
      </c>
      <c r="Y77" s="53">
        <f>ABS(Y50)*Y61*1000*'Cost Assumptions'!$B$6*'Cost Assumptions'!$B$13</f>
        <v>7174992.9140946819</v>
      </c>
      <c r="Z77" s="53">
        <f>ABS(Z50)*Z61*1000*'Cost Assumptions'!$B$6*'Cost Assumptions'!$B$13</f>
        <v>7366114.6357583823</v>
      </c>
      <c r="AA77" s="53">
        <f>ABS(AA50)*AA61*1000*'Cost Assumptions'!$B$6*'Cost Assumptions'!$B$13</f>
        <v>7561906.1600098852</v>
      </c>
      <c r="AB77" s="53">
        <f>ABS(AB50)*AB61*1000*'Cost Assumptions'!$B$6*'Cost Assumptions'!$B$13</f>
        <v>7762555.9386510458</v>
      </c>
      <c r="AC77" s="53">
        <f>ABS(AC50)*AC61*1000*'Cost Assumptions'!$B$6*'Cost Assumptions'!$B$13</f>
        <v>7965107.4350885833</v>
      </c>
      <c r="AD77" s="53">
        <f>ABS(AD50)*AD61*1000*'Cost Assumptions'!$B$6*'Cost Assumptions'!$B$13</f>
        <v>8172009.5151253976</v>
      </c>
    </row>
    <row r="78" spans="1:30" x14ac:dyDescent="0.35">
      <c r="A78" s="72" t="s">
        <v>119</v>
      </c>
      <c r="B78" s="72" t="s">
        <v>152</v>
      </c>
      <c r="C78" s="18">
        <f>NPV('Cost Assumptions'!$B$3,D78:AD78)</f>
        <v>214520720.01896977</v>
      </c>
      <c r="D78" s="53">
        <f>ABS(D50)*D63*1000*'Cost Assumptions'!$B$7*'Cost Assumptions'!$B$13</f>
        <v>18651622.032026157</v>
      </c>
      <c r="E78" s="53">
        <f>ABS(E50)*E63*1000*'Cost Assumptions'!$B$7*'Cost Assumptions'!$B$13</f>
        <v>19179247.787325691</v>
      </c>
      <c r="F78" s="53">
        <f>ABS(F50)*F63*1000*'Cost Assumptions'!$B$7*'Cost Assumptions'!$B$13</f>
        <v>19688598.87675393</v>
      </c>
      <c r="G78" s="53">
        <f>ABS(G50)*G63*1000*'Cost Assumptions'!$B$7*'Cost Assumptions'!$B$13</f>
        <v>20212260.637567729</v>
      </c>
      <c r="H78" s="53">
        <f>ABS(H50)*H63*1000*'Cost Assumptions'!$B$7*'Cost Assumptions'!$B$13</f>
        <v>20751485.317010291</v>
      </c>
      <c r="I78" s="53">
        <f>ABS(I50)*I63*1000*'Cost Assumptions'!$B$7*'Cost Assumptions'!$B$13</f>
        <v>21310109.887097932</v>
      </c>
      <c r="J78" s="53">
        <f>ABS(J50)*J63*1000*'Cost Assumptions'!$B$7*'Cost Assumptions'!$B$13</f>
        <v>21883703.553138044</v>
      </c>
      <c r="K78" s="53">
        <f>ABS(K50)*K63*1000*'Cost Assumptions'!$B$7*'Cost Assumptions'!$B$13</f>
        <v>22403194.298539717</v>
      </c>
      <c r="L78" s="53">
        <f>ABS(L50)*L63*1000*'Cost Assumptions'!$B$7*'Cost Assumptions'!$B$13</f>
        <v>22934995.326251015</v>
      </c>
      <c r="M78" s="53">
        <f>ABS(M50)*M63*1000*'Cost Assumptions'!$B$7*'Cost Assumptions'!$B$13</f>
        <v>23479379.04415093</v>
      </c>
      <c r="N78" s="53">
        <f>ABS(N50)*N63*1000*'Cost Assumptions'!$B$7*'Cost Assumptions'!$B$13</f>
        <v>24113961.820517618</v>
      </c>
      <c r="O78" s="53">
        <f>ABS(O50)*O63*1000*'Cost Assumptions'!$B$7*'Cost Assumptions'!$B$13</f>
        <v>24766946.211786095</v>
      </c>
      <c r="P78" s="53">
        <f>ABS(P50)*P63*1000*'Cost Assumptions'!$B$7*'Cost Assumptions'!$B$13</f>
        <v>25438999.129609417</v>
      </c>
      <c r="Q78" s="53">
        <f>ABS(Q50)*Q63*1000*'Cost Assumptions'!$B$7*'Cost Assumptions'!$B$13</f>
        <v>26128174.586044997</v>
      </c>
      <c r="R78" s="53">
        <f>ABS(R50)*R63*1000*'Cost Assumptions'!$B$7*'Cost Assumptions'!$B$13</f>
        <v>26837093.038974077</v>
      </c>
      <c r="S78" s="53">
        <f>ABS(S50)*S63*1000*'Cost Assumptions'!$B$7*'Cost Assumptions'!$B$13</f>
        <v>27566160.070671424</v>
      </c>
      <c r="T78" s="53">
        <f>ABS(T50)*T63*1000*'Cost Assumptions'!$B$7*'Cost Assumptions'!$B$13</f>
        <v>28316297.459915444</v>
      </c>
      <c r="U78" s="53">
        <f>ABS(U50)*U63*1000*'Cost Assumptions'!$B$7*'Cost Assumptions'!$B$13</f>
        <v>29081045.775419809</v>
      </c>
      <c r="V78" s="53">
        <f>ABS(V50)*V63*1000*'Cost Assumptions'!$B$7*'Cost Assumptions'!$B$13</f>
        <v>29866595.114961185</v>
      </c>
      <c r="W78" s="53">
        <f>ABS(W50)*W63*1000*'Cost Assumptions'!$B$7*'Cost Assumptions'!$B$13</f>
        <v>30673225.665829197</v>
      </c>
      <c r="X78" s="53">
        <f>ABS(X50)*X63*1000*'Cost Assumptions'!$B$7*'Cost Assumptions'!$B$13</f>
        <v>31501915.308005042</v>
      </c>
      <c r="Y78" s="53">
        <f>ABS(Y50)*Y63*1000*'Cost Assumptions'!$B$7*'Cost Assumptions'!$B$13</f>
        <v>32342370.832052432</v>
      </c>
      <c r="Z78" s="53">
        <f>ABS(Z50)*Z63*1000*'Cost Assumptions'!$B$7*'Cost Assumptions'!$B$13</f>
        <v>33203881.034238834</v>
      </c>
      <c r="AA78" s="53">
        <f>ABS(AA50)*AA63*1000*'Cost Assumptions'!$B$7*'Cost Assumptions'!$B$13</f>
        <v>34086441.081186824</v>
      </c>
      <c r="AB78" s="53">
        <f>ABS(AB50)*AB63*1000*'Cost Assumptions'!$B$7*'Cost Assumptions'!$B$13</f>
        <v>34990900.448029339</v>
      </c>
      <c r="AC78" s="53">
        <f>ABS(AC50)*AC63*1000*'Cost Assumptions'!$B$7*'Cost Assumptions'!$B$13</f>
        <v>35903932.096813433</v>
      </c>
      <c r="AD78" s="53">
        <f>ABS(AD50)*AD63*1000*'Cost Assumptions'!$B$7*'Cost Assumptions'!$B$13</f>
        <v>36836574.66226159</v>
      </c>
    </row>
    <row r="79" spans="1:30" s="52" customFormat="1" ht="29" x14ac:dyDescent="0.35">
      <c r="A79" s="3" t="s">
        <v>146</v>
      </c>
      <c r="B79" s="72" t="s">
        <v>152</v>
      </c>
      <c r="C79" s="18">
        <f>NPV('Cost Assumptions'!$B$3,D79:AD79)</f>
        <v>262111066.87558335</v>
      </c>
      <c r="D79" s="53">
        <f>SUM(D77:D78)</f>
        <v>22789390.923833381</v>
      </c>
      <c r="E79" s="53">
        <f t="shared" ref="E79:AD79" si="18">SUM(E77:E78)</f>
        <v>23434067.809219405</v>
      </c>
      <c r="F79" s="53">
        <f t="shared" si="18"/>
        <v>24056415.885677803</v>
      </c>
      <c r="G79" s="53">
        <f t="shared" si="18"/>
        <v>24696249.38426346</v>
      </c>
      <c r="H79" s="53">
        <f t="shared" si="18"/>
        <v>25355098.356995959</v>
      </c>
      <c r="I79" s="53">
        <f t="shared" si="18"/>
        <v>26037650.98890787</v>
      </c>
      <c r="J79" s="53">
        <f t="shared" si="18"/>
        <v>26738493.535705008</v>
      </c>
      <c r="K79" s="53">
        <f t="shared" si="18"/>
        <v>27373230.700008687</v>
      </c>
      <c r="L79" s="53">
        <f t="shared" si="18"/>
        <v>28023009.121070363</v>
      </c>
      <c r="M79" s="53">
        <f t="shared" si="18"/>
        <v>28688161.63909205</v>
      </c>
      <c r="N79" s="53">
        <f t="shared" si="18"/>
        <v>29463523.424749091</v>
      </c>
      <c r="O79" s="53">
        <f t="shared" si="18"/>
        <v>30261369.131370571</v>
      </c>
      <c r="P79" s="53">
        <f t="shared" si="18"/>
        <v>31082513.621618144</v>
      </c>
      <c r="Q79" s="53">
        <f t="shared" si="18"/>
        <v>31924579.199874751</v>
      </c>
      <c r="R79" s="53">
        <f t="shared" si="18"/>
        <v>32790767.659472488</v>
      </c>
      <c r="S79" s="53">
        <f t="shared" si="18"/>
        <v>33681574.559081569</v>
      </c>
      <c r="T79" s="53">
        <f t="shared" si="18"/>
        <v>34598126.169483721</v>
      </c>
      <c r="U79" s="53">
        <f t="shared" si="18"/>
        <v>35532530.066927418</v>
      </c>
      <c r="V79" s="53">
        <f t="shared" si="18"/>
        <v>36492349.591364928</v>
      </c>
      <c r="W79" s="53">
        <f t="shared" si="18"/>
        <v>37477927.088232167</v>
      </c>
      <c r="X79" s="53">
        <f t="shared" si="18"/>
        <v>38490457.375284389</v>
      </c>
      <c r="Y79" s="53">
        <f t="shared" si="18"/>
        <v>39517363.746147111</v>
      </c>
      <c r="Z79" s="53">
        <f t="shared" si="18"/>
        <v>40569995.669997215</v>
      </c>
      <c r="AA79" s="53">
        <f t="shared" si="18"/>
        <v>41648347.241196707</v>
      </c>
      <c r="AB79" s="53">
        <f t="shared" si="18"/>
        <v>42753456.386680387</v>
      </c>
      <c r="AC79" s="53">
        <f t="shared" si="18"/>
        <v>43869039.531902015</v>
      </c>
      <c r="AD79" s="53">
        <f t="shared" si="18"/>
        <v>45008584.177386984</v>
      </c>
    </row>
    <row r="80" spans="1:30" s="52" customFormat="1" x14ac:dyDescent="0.35">
      <c r="A80" s="3"/>
      <c r="B80" s="72"/>
      <c r="C80" s="18"/>
      <c r="D80" s="53"/>
      <c r="E80" s="53"/>
      <c r="F80" s="53"/>
      <c r="G80" s="53"/>
      <c r="H80" s="53"/>
      <c r="I80" s="53"/>
      <c r="J80" s="53"/>
      <c r="K80" s="53"/>
      <c r="L80" s="53"/>
      <c r="M80" s="53"/>
      <c r="N80" s="53"/>
      <c r="O80" s="53"/>
      <c r="P80" s="53"/>
      <c r="Q80" s="53"/>
      <c r="R80" s="53"/>
      <c r="S80" s="53"/>
      <c r="T80" s="53"/>
      <c r="U80" s="53"/>
      <c r="V80" s="53"/>
      <c r="W80" s="53"/>
      <c r="X80" s="53"/>
      <c r="Y80" s="53"/>
      <c r="Z80" s="53"/>
      <c r="AA80" s="53"/>
      <c r="AB80" s="53"/>
      <c r="AC80" s="53"/>
      <c r="AD80" s="53"/>
    </row>
    <row r="81" spans="1:30" s="52" customFormat="1" ht="29" x14ac:dyDescent="0.35">
      <c r="A81" s="3" t="s">
        <v>147</v>
      </c>
      <c r="B81" s="72" t="s">
        <v>148</v>
      </c>
      <c r="C81" s="18">
        <f>NPV('Cost Assumptions'!$B$3,D81:AD81)</f>
        <v>158850774.45155588</v>
      </c>
      <c r="D81" s="53">
        <f>('Baseline System Analysis'!D42-D36)</f>
        <v>11220634.218776356</v>
      </c>
      <c r="E81" s="53">
        <f>('Baseline System Analysis'!E42-E36)</f>
        <v>12144918.158391396</v>
      </c>
      <c r="F81" s="53">
        <f>('Baseline System Analysis'!F42-F36)</f>
        <v>12786910.250911316</v>
      </c>
      <c r="G81" s="53">
        <f>('Baseline System Analysis'!G42-G36)</f>
        <v>13549003.839093808</v>
      </c>
      <c r="H81" s="53">
        <f>('Baseline System Analysis'!H42-H36)</f>
        <v>14198581.058293991</v>
      </c>
      <c r="I81" s="53">
        <f>('Baseline System Analysis'!I42-I36)</f>
        <v>15000915.705759082</v>
      </c>
      <c r="J81" s="53">
        <f>('Baseline System Analysis'!J42-J36)</f>
        <v>15909014.271733448</v>
      </c>
      <c r="K81" s="53">
        <f>('Baseline System Analysis'!K42-K36)</f>
        <v>15943271.595302396</v>
      </c>
      <c r="L81" s="53">
        <f>('Baseline System Analysis'!L42-L36)</f>
        <v>15999716.407154804</v>
      </c>
      <c r="M81" s="53">
        <f>('Baseline System Analysis'!M42-M36)</f>
        <v>16077364.969675282</v>
      </c>
      <c r="N81" s="53">
        <f>('Baseline System Analysis'!N42-N36)</f>
        <v>17017237.489677273</v>
      </c>
      <c r="O81" s="53">
        <f>('Baseline System Analysis'!O42-O36)</f>
        <v>18089024.979813445</v>
      </c>
      <c r="P81" s="53">
        <f>('Baseline System Analysis'!P42-P36)</f>
        <v>19073573.17911505</v>
      </c>
      <c r="Q81" s="53">
        <f>('Baseline System Analysis'!Q42-Q36)</f>
        <v>20183246.853354089</v>
      </c>
      <c r="R81" s="53">
        <f>('Baseline System Analysis'!R42-R36)</f>
        <v>21490829.702122267</v>
      </c>
      <c r="S81" s="53">
        <f>('Baseline System Analysis'!S42-S36)</f>
        <v>22579839.787277065</v>
      </c>
      <c r="T81" s="53">
        <f>('Baseline System Analysis'!T42-T36)</f>
        <v>23724942.355195578</v>
      </c>
      <c r="U81" s="53">
        <f>('Baseline System Analysis'!U42-U36)</f>
        <v>24911056.93055214</v>
      </c>
      <c r="V81" s="53">
        <f>('Baseline System Analysis'!V42-V36)</f>
        <v>26196805.959472567</v>
      </c>
      <c r="W81" s="53">
        <f>('Baseline System Analysis'!W42-W36)</f>
        <v>27625844.33481878</v>
      </c>
      <c r="X81" s="53">
        <f>('Baseline System Analysis'!X42-X36)</f>
        <v>29110039.048498206</v>
      </c>
      <c r="Y81" s="53">
        <f>('Baseline System Analysis'!Y42-Y36)</f>
        <v>30411440.882966798</v>
      </c>
      <c r="Z81" s="53">
        <f>('Baseline System Analysis'!Z42-Z36)</f>
        <v>31944711.584258407</v>
      </c>
      <c r="AA81" s="53">
        <f>('Baseline System Analysis'!AA42-AA36)</f>
        <v>33332991.330264848</v>
      </c>
      <c r="AB81" s="53">
        <f>('Baseline System Analysis'!AB42-AB36)</f>
        <v>34748837.665194772</v>
      </c>
      <c r="AC81" s="53">
        <f>('Baseline System Analysis'!AC42-AC36)</f>
        <v>36032493.52792114</v>
      </c>
      <c r="AD81" s="53">
        <f>('Baseline System Analysis'!AD42-AD36)</f>
        <v>37232773.532337174</v>
      </c>
    </row>
    <row r="82" spans="1:30" s="52" customFormat="1" x14ac:dyDescent="0.35">
      <c r="A82" s="72"/>
      <c r="B82" s="72"/>
      <c r="C82" s="72"/>
      <c r="D82" s="72"/>
      <c r="E82" s="72"/>
      <c r="F82" s="72"/>
      <c r="G82" s="72"/>
      <c r="H82" s="72"/>
      <c r="I82" s="72"/>
      <c r="J82" s="72"/>
      <c r="K82" s="72"/>
      <c r="L82" s="72"/>
      <c r="M82" s="72"/>
      <c r="N82" s="72"/>
      <c r="O82" s="72"/>
      <c r="P82" s="72"/>
      <c r="Q82" s="72"/>
      <c r="R82" s="72"/>
      <c r="S82" s="72"/>
      <c r="T82" s="72"/>
      <c r="U82" s="72"/>
      <c r="V82" s="72"/>
      <c r="W82" s="72"/>
      <c r="X82" s="72"/>
      <c r="Y82" s="72"/>
      <c r="Z82" s="72"/>
      <c r="AA82" s="72"/>
      <c r="AB82" s="72"/>
      <c r="AC82" s="72"/>
      <c r="AD82" s="72"/>
    </row>
    <row r="83" spans="1:30" s="52" customFormat="1" ht="20" thickBot="1" x14ac:dyDescent="0.5">
      <c r="A83" s="134" t="s">
        <v>61</v>
      </c>
      <c r="B83" s="182"/>
      <c r="C83" s="18">
        <f>NPV('Cost Assumptions'!$B$3,D83:AD83)/1000000</f>
        <v>1618.6458564631419</v>
      </c>
      <c r="D83" s="53">
        <f>SUM(D67,D71,D75,D79,D81)</f>
        <v>68976370.496074975</v>
      </c>
      <c r="E83" s="53">
        <f t="shared" ref="E83:AD83" si="19">SUM(E67,E71,E75,E79,E81)</f>
        <v>84463815.14597936</v>
      </c>
      <c r="F83" s="53">
        <f t="shared" si="19"/>
        <v>99877512.580459163</v>
      </c>
      <c r="G83" s="53">
        <f t="shared" si="19"/>
        <v>116139450.80400057</v>
      </c>
      <c r="H83" s="53">
        <f t="shared" si="19"/>
        <v>132969332.83177978</v>
      </c>
      <c r="I83" s="53">
        <f t="shared" si="19"/>
        <v>149225460.23317948</v>
      </c>
      <c r="J83" s="53">
        <f t="shared" si="19"/>
        <v>168835259.18892956</v>
      </c>
      <c r="K83" s="53">
        <f t="shared" si="19"/>
        <v>168004492.94179752</v>
      </c>
      <c r="L83" s="53">
        <f t="shared" si="19"/>
        <v>167253171.243494</v>
      </c>
      <c r="M83" s="53">
        <f t="shared" si="19"/>
        <v>145616783.16407433</v>
      </c>
      <c r="N83" s="53">
        <f t="shared" si="19"/>
        <v>167090563.01679653</v>
      </c>
      <c r="O83" s="53">
        <f t="shared" si="19"/>
        <v>199828766.60427979</v>
      </c>
      <c r="P83" s="53">
        <f t="shared" si="19"/>
        <v>213752158.48065946</v>
      </c>
      <c r="Q83" s="53">
        <f t="shared" si="19"/>
        <v>226845730.06284937</v>
      </c>
      <c r="R83" s="53">
        <f t="shared" si="19"/>
        <v>239994245.71160588</v>
      </c>
      <c r="S83" s="53">
        <f t="shared" si="19"/>
        <v>256376040.27128258</v>
      </c>
      <c r="T83" s="53">
        <f t="shared" si="19"/>
        <v>274095380.68472153</v>
      </c>
      <c r="U83" s="53">
        <f t="shared" si="19"/>
        <v>290912395.71092409</v>
      </c>
      <c r="V83" s="53">
        <f t="shared" si="19"/>
        <v>311309413.12189448</v>
      </c>
      <c r="W83" s="53">
        <f t="shared" si="19"/>
        <v>331801572.37404871</v>
      </c>
      <c r="X83" s="53">
        <f t="shared" si="19"/>
        <v>355893055.13556206</v>
      </c>
      <c r="Y83" s="53">
        <f t="shared" si="19"/>
        <v>380955977.06063664</v>
      </c>
      <c r="Z83" s="53">
        <f t="shared" si="19"/>
        <v>407417394.2505697</v>
      </c>
      <c r="AA83" s="53">
        <f t="shared" si="19"/>
        <v>435952729.79684842</v>
      </c>
      <c r="AB83" s="53">
        <f t="shared" si="19"/>
        <v>465357669.24526393</v>
      </c>
      <c r="AC83" s="53">
        <f t="shared" si="19"/>
        <v>494248794.09675139</v>
      </c>
      <c r="AD83" s="53">
        <f t="shared" si="19"/>
        <v>523160757.32581568</v>
      </c>
    </row>
    <row r="84" spans="1:30" s="52" customFormat="1" ht="20.5" thickTop="1" thickBot="1" x14ac:dyDescent="0.5">
      <c r="A84" s="134" t="s">
        <v>149</v>
      </c>
      <c r="B84" s="134"/>
      <c r="C84" s="18">
        <f>NPV('Cost Assumptions'!$B$3,D84:AD84)/1000000</f>
        <v>1619.2607750919663</v>
      </c>
      <c r="D84" s="53">
        <f>D83+D43</f>
        <v>69007129.496074945</v>
      </c>
      <c r="E84" s="53">
        <f t="shared" ref="E84:AD84" si="20">E83+E43</f>
        <v>84496784.507517785</v>
      </c>
      <c r="F84" s="53">
        <f t="shared" si="20"/>
        <v>99912783.597237974</v>
      </c>
      <c r="G84" s="53">
        <f t="shared" si="20"/>
        <v>116177117.95293082</v>
      </c>
      <c r="H84" s="53">
        <f t="shared" si="20"/>
        <v>133009493.87508355</v>
      </c>
      <c r="I84" s="53">
        <f t="shared" si="20"/>
        <v>149268216.32360739</v>
      </c>
      <c r="J84" s="53">
        <f t="shared" si="20"/>
        <v>168880714.97818571</v>
      </c>
      <c r="K84" s="53">
        <f t="shared" si="20"/>
        <v>168055208.67666459</v>
      </c>
      <c r="L84" s="53">
        <f t="shared" si="20"/>
        <v>167329328.92245233</v>
      </c>
      <c r="M84" s="53">
        <f t="shared" si="20"/>
        <v>145665347.74641982</v>
      </c>
      <c r="N84" s="53">
        <f t="shared" si="20"/>
        <v>167211156.82766399</v>
      </c>
      <c r="O84" s="53">
        <f t="shared" si="20"/>
        <v>199949097.69318017</v>
      </c>
      <c r="P84" s="53">
        <f t="shared" si="20"/>
        <v>213872138.34036264</v>
      </c>
      <c r="Q84" s="53">
        <f t="shared" si="20"/>
        <v>226965265.9249649</v>
      </c>
      <c r="R84" s="53">
        <f t="shared" si="20"/>
        <v>240113240.38884208</v>
      </c>
      <c r="S84" s="53">
        <f t="shared" si="20"/>
        <v>256494391.99448168</v>
      </c>
      <c r="T84" s="53">
        <f t="shared" si="20"/>
        <v>274212982.93450838</v>
      </c>
      <c r="U84" s="53">
        <f t="shared" si="20"/>
        <v>291029137.04380107</v>
      </c>
      <c r="V84" s="53">
        <f t="shared" si="20"/>
        <v>311425176.99061</v>
      </c>
      <c r="W84" s="53">
        <f t="shared" si="20"/>
        <v>331916236.9420616</v>
      </c>
      <c r="X84" s="53">
        <f t="shared" si="20"/>
        <v>356006493.0854193</v>
      </c>
      <c r="Y84" s="53">
        <f t="shared" si="20"/>
        <v>381068055.39607543</v>
      </c>
      <c r="Z84" s="53">
        <f t="shared" si="20"/>
        <v>407527974.09215045</v>
      </c>
      <c r="AA84" s="53">
        <f t="shared" si="20"/>
        <v>436061666.17091858</v>
      </c>
      <c r="AB84" s="53">
        <f t="shared" si="20"/>
        <v>465464810.86604697</v>
      </c>
      <c r="AC84" s="53">
        <f t="shared" si="20"/>
        <v>494353983.14134914</v>
      </c>
      <c r="AD84" s="53">
        <f t="shared" si="20"/>
        <v>523263829.20190591</v>
      </c>
    </row>
    <row r="85" spans="1:30" ht="15" thickTop="1" x14ac:dyDescent="0.35">
      <c r="A85" s="72"/>
      <c r="B85" s="72"/>
      <c r="C85" s="72"/>
      <c r="D85" s="72"/>
      <c r="E85" s="72"/>
      <c r="F85" s="72"/>
      <c r="G85" s="72"/>
      <c r="H85" s="72"/>
      <c r="I85" s="72"/>
      <c r="J85" s="72"/>
      <c r="K85" s="72"/>
      <c r="L85" s="72"/>
      <c r="M85" s="72"/>
      <c r="N85" s="72"/>
      <c r="O85" s="72"/>
      <c r="P85" s="72"/>
      <c r="Q85" s="72"/>
      <c r="R85" s="72"/>
      <c r="S85" s="72"/>
      <c r="T85" s="72"/>
      <c r="U85" s="72"/>
      <c r="V85" s="72"/>
      <c r="W85" s="72"/>
      <c r="X85" s="72"/>
      <c r="Y85" s="72"/>
      <c r="Z85" s="72"/>
      <c r="AA85" s="72"/>
      <c r="AB85" s="72"/>
      <c r="AC85" s="72"/>
      <c r="AD85" s="72"/>
    </row>
    <row r="86" spans="1:30" ht="20" thickBot="1" x14ac:dyDescent="0.5">
      <c r="A86" s="134" t="s">
        <v>150</v>
      </c>
      <c r="B86" s="134"/>
      <c r="C86" s="18">
        <f>Summary!$D$13</f>
        <v>315</v>
      </c>
      <c r="D86" s="72"/>
      <c r="E86" s="72"/>
      <c r="F86" s="72"/>
      <c r="G86" s="72"/>
      <c r="H86" s="72"/>
      <c r="I86" s="72"/>
      <c r="J86" s="72"/>
      <c r="K86" s="72"/>
      <c r="L86" s="72"/>
      <c r="M86" s="72"/>
      <c r="N86" s="72"/>
      <c r="O86" s="72"/>
      <c r="P86" s="72"/>
      <c r="Q86" s="72"/>
      <c r="R86" s="72"/>
      <c r="S86" s="72"/>
      <c r="T86" s="72"/>
      <c r="U86" s="72"/>
      <c r="V86" s="72"/>
      <c r="W86" s="72"/>
      <c r="X86" s="72"/>
      <c r="Y86" s="72"/>
      <c r="Z86" s="72"/>
      <c r="AA86" s="72"/>
      <c r="AB86" s="72"/>
      <c r="AC86" s="72"/>
      <c r="AD86" s="72"/>
    </row>
    <row r="87" spans="1:30" ht="15" thickTop="1" x14ac:dyDescent="0.35">
      <c r="A87" s="72"/>
      <c r="B87" s="72"/>
      <c r="C87" s="72"/>
      <c r="D87" s="72"/>
      <c r="E87" s="72"/>
      <c r="F87" s="72"/>
      <c r="G87" s="72"/>
      <c r="H87" s="72"/>
      <c r="I87" s="72"/>
      <c r="J87" s="72"/>
      <c r="K87" s="72"/>
      <c r="L87" s="72"/>
      <c r="M87" s="72"/>
      <c r="N87" s="72"/>
      <c r="O87" s="72"/>
      <c r="P87" s="72"/>
      <c r="Q87" s="72"/>
      <c r="R87" s="72"/>
      <c r="S87" s="72"/>
      <c r="T87" s="72"/>
      <c r="U87" s="72"/>
      <c r="V87" s="72"/>
      <c r="W87" s="72"/>
      <c r="X87" s="72"/>
      <c r="Y87" s="72"/>
      <c r="Z87" s="72"/>
      <c r="AA87" s="72"/>
      <c r="AB87" s="72"/>
      <c r="AC87" s="72"/>
      <c r="AD87" s="72"/>
    </row>
    <row r="88" spans="1:30" ht="20" thickBot="1" x14ac:dyDescent="0.5">
      <c r="A88" s="134" t="s">
        <v>7</v>
      </c>
      <c r="B88" s="134"/>
      <c r="C88" s="46">
        <f>C84/C86</f>
        <v>5.1405103971173531</v>
      </c>
      <c r="D88" s="8"/>
      <c r="E88" s="72"/>
      <c r="F88" s="72"/>
      <c r="G88" s="72"/>
      <c r="H88" s="72"/>
      <c r="I88" s="72"/>
      <c r="J88" s="72"/>
      <c r="K88" s="72"/>
      <c r="L88" s="72"/>
      <c r="M88" s="72"/>
      <c r="N88" s="72"/>
      <c r="O88" s="72"/>
      <c r="P88" s="72"/>
      <c r="Q88" s="72"/>
      <c r="R88" s="72"/>
      <c r="S88" s="72"/>
      <c r="T88" s="72"/>
      <c r="U88" s="72"/>
      <c r="V88" s="72"/>
      <c r="W88" s="72"/>
      <c r="X88" s="72"/>
      <c r="Y88" s="72"/>
      <c r="Z88" s="72"/>
      <c r="AA88" s="72"/>
      <c r="AB88" s="72"/>
      <c r="AC88" s="72"/>
      <c r="AD88" s="72"/>
    </row>
    <row r="89" spans="1:30" ht="15" thickTop="1" x14ac:dyDescent="0.35">
      <c r="A89" s="72"/>
      <c r="B89" s="72"/>
      <c r="C89" s="72"/>
      <c r="D89" s="72"/>
      <c r="E89" s="72"/>
      <c r="F89" s="72"/>
      <c r="G89" s="72"/>
      <c r="H89" s="72"/>
      <c r="I89" s="72"/>
      <c r="J89" s="72"/>
      <c r="K89" s="72"/>
      <c r="L89" s="72"/>
      <c r="M89" s="72"/>
      <c r="N89" s="72"/>
      <c r="O89" s="72"/>
      <c r="P89" s="72"/>
      <c r="Q89" s="72"/>
      <c r="R89" s="72"/>
      <c r="S89" s="72"/>
      <c r="T89" s="72"/>
      <c r="U89" s="72"/>
      <c r="V89" s="72"/>
      <c r="W89" s="72"/>
      <c r="X89" s="72"/>
      <c r="Y89" s="72"/>
      <c r="Z89" s="72"/>
      <c r="AA89" s="72"/>
      <c r="AB89" s="72"/>
      <c r="AC89" s="72"/>
      <c r="AD89" s="72"/>
    </row>
    <row r="90" spans="1:30" s="52" customFormat="1" x14ac:dyDescent="0.35">
      <c r="A90" s="56"/>
      <c r="B90" s="56"/>
      <c r="C90" s="72"/>
      <c r="D90" s="72"/>
      <c r="E90" s="72"/>
      <c r="F90" s="53"/>
      <c r="G90" s="53"/>
      <c r="H90" s="53"/>
      <c r="I90" s="53"/>
      <c r="J90" s="53"/>
      <c r="K90" s="53"/>
      <c r="L90" s="53"/>
      <c r="M90" s="53"/>
      <c r="N90" s="53"/>
      <c r="O90" s="53"/>
      <c r="P90" s="53"/>
      <c r="Q90" s="53"/>
      <c r="R90" s="53"/>
      <c r="S90" s="53"/>
      <c r="T90" s="53"/>
      <c r="U90" s="53"/>
      <c r="V90" s="53"/>
      <c r="W90" s="53"/>
      <c r="X90" s="53"/>
      <c r="Y90" s="53"/>
      <c r="Z90" s="53"/>
      <c r="AA90" s="53"/>
      <c r="AB90" s="53"/>
      <c r="AC90" s="53"/>
      <c r="AD90" s="53"/>
    </row>
  </sheetData>
  <mergeCells count="8">
    <mergeCell ref="A86:B86"/>
    <mergeCell ref="A88:B88"/>
    <mergeCell ref="A84:B84"/>
    <mergeCell ref="B2:B15"/>
    <mergeCell ref="B18:B31"/>
    <mergeCell ref="B40:AD40"/>
    <mergeCell ref="A58:AD59"/>
    <mergeCell ref="A83:B83"/>
  </mergeCells>
  <pageMargins left="0.7" right="0.7" top="0.75" bottom="0.75" header="0.3" footer="0.3"/>
  <pageSetup orientation="portrait" horizontalDpi="1200" verticalDpi="12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D89"/>
  <sheetViews>
    <sheetView zoomScale="78" zoomScaleNormal="78" workbookViewId="0"/>
  </sheetViews>
  <sheetFormatPr defaultColWidth="8.81640625" defaultRowHeight="14.5" x14ac:dyDescent="0.35"/>
  <cols>
    <col min="1" max="1" width="17.1796875" style="52" customWidth="1"/>
    <col min="2" max="2" width="28.1796875" style="52" customWidth="1"/>
    <col min="3" max="3" width="14.81640625" style="52" bestFit="1" customWidth="1"/>
    <col min="4" max="4" width="14.7265625" style="52" bestFit="1" customWidth="1"/>
    <col min="5" max="30" width="15.7265625" style="52" bestFit="1" customWidth="1"/>
    <col min="31" max="16384" width="8.81640625" style="52"/>
  </cols>
  <sheetData>
    <row r="1" spans="1:30" ht="20" thickBot="1" x14ac:dyDescent="0.5">
      <c r="A1" s="113"/>
      <c r="B1" s="122"/>
      <c r="C1" s="113" t="s">
        <v>105</v>
      </c>
      <c r="D1" s="113">
        <v>2022</v>
      </c>
      <c r="E1" s="113">
        <v>2023</v>
      </c>
      <c r="F1" s="113">
        <v>2024</v>
      </c>
      <c r="G1" s="113">
        <v>2025</v>
      </c>
      <c r="H1" s="113">
        <v>2026</v>
      </c>
      <c r="I1" s="113">
        <v>2027</v>
      </c>
      <c r="J1" s="113">
        <v>2028</v>
      </c>
      <c r="K1" s="113">
        <v>2029</v>
      </c>
      <c r="L1" s="113">
        <v>2030</v>
      </c>
      <c r="M1" s="113">
        <v>2031</v>
      </c>
      <c r="N1" s="113">
        <v>2032</v>
      </c>
      <c r="O1" s="113">
        <v>2033</v>
      </c>
      <c r="P1" s="113">
        <v>2034</v>
      </c>
      <c r="Q1" s="113">
        <v>2035</v>
      </c>
      <c r="R1" s="113">
        <v>2036</v>
      </c>
      <c r="S1" s="113">
        <v>2037</v>
      </c>
      <c r="T1" s="113">
        <v>2038</v>
      </c>
      <c r="U1" s="113">
        <v>2039</v>
      </c>
      <c r="V1" s="113">
        <v>2040</v>
      </c>
      <c r="W1" s="113">
        <v>2041</v>
      </c>
      <c r="X1" s="113">
        <v>2042</v>
      </c>
      <c r="Y1" s="113">
        <v>2043</v>
      </c>
      <c r="Z1" s="113">
        <v>2044</v>
      </c>
      <c r="AA1" s="113">
        <v>2045</v>
      </c>
      <c r="AB1" s="113">
        <v>2046</v>
      </c>
      <c r="AC1" s="113">
        <v>2047</v>
      </c>
      <c r="AD1" s="113">
        <v>2048</v>
      </c>
    </row>
    <row r="2" spans="1:30" ht="15" thickTop="1" x14ac:dyDescent="0.35">
      <c r="A2" s="72"/>
      <c r="B2" s="179" t="s">
        <v>26</v>
      </c>
      <c r="C2" s="72" t="s">
        <v>107</v>
      </c>
      <c r="D2" s="53">
        <f>'Baseline System Analysis'!D2</f>
        <v>49666.999999999534</v>
      </c>
      <c r="E2" s="53">
        <f>'Baseline System Analysis'!E2</f>
        <v>50103.790384614935</v>
      </c>
      <c r="F2" s="53">
        <f>'Baseline System Analysis'!F2</f>
        <v>50540.580769230335</v>
      </c>
      <c r="G2" s="53">
        <f>'Baseline System Analysis'!G2</f>
        <v>50977.371153845736</v>
      </c>
      <c r="H2" s="53">
        <f>'Baseline System Analysis'!H2</f>
        <v>51414.161538461136</v>
      </c>
      <c r="I2" s="53">
        <f>'Baseline System Analysis'!I2</f>
        <v>51850.951923076536</v>
      </c>
      <c r="J2" s="53">
        <f>'Baseline System Analysis'!J2</f>
        <v>52287.742307691937</v>
      </c>
      <c r="K2" s="53">
        <f>'Baseline System Analysis'!K2</f>
        <v>51698.184615384183</v>
      </c>
      <c r="L2" s="53">
        <f>'Baseline System Analysis'!L2</f>
        <v>51988.353846153419</v>
      </c>
      <c r="M2" s="53">
        <f>'Baseline System Analysis'!M2</f>
        <v>52278.523076922655</v>
      </c>
      <c r="N2" s="53">
        <f>'Baseline System Analysis'!N2</f>
        <v>52568.69230769189</v>
      </c>
      <c r="O2" s="53">
        <f>'Baseline System Analysis'!O2</f>
        <v>52858.861538461126</v>
      </c>
      <c r="P2" s="53">
        <f>'Baseline System Analysis'!P2</f>
        <v>53149.030769230361</v>
      </c>
      <c r="Q2" s="53">
        <f>'Baseline System Analysis'!Q2</f>
        <v>53439.199999999597</v>
      </c>
      <c r="R2" s="53">
        <f>'Baseline System Analysis'!R2</f>
        <v>53729.369230768832</v>
      </c>
      <c r="S2" s="53">
        <f>'Baseline System Analysis'!S2</f>
        <v>54019.538461538068</v>
      </c>
      <c r="T2" s="53">
        <f>'Baseline System Analysis'!T2</f>
        <v>54309.707692307304</v>
      </c>
      <c r="U2" s="53">
        <f>'Baseline System Analysis'!U2</f>
        <v>54599.876923076539</v>
      </c>
      <c r="V2" s="53">
        <f>'Baseline System Analysis'!V2</f>
        <v>54890.046153845775</v>
      </c>
      <c r="W2" s="53">
        <f>'Baseline System Analysis'!W2</f>
        <v>55180.21538461501</v>
      </c>
      <c r="X2" s="53">
        <f>'Baseline System Analysis'!X2</f>
        <v>55470.384615384246</v>
      </c>
      <c r="Y2" s="53">
        <f>'Baseline System Analysis'!Y2</f>
        <v>55760.553846153482</v>
      </c>
      <c r="Z2" s="53">
        <f>'Baseline System Analysis'!Z2</f>
        <v>56050.723076922717</v>
      </c>
      <c r="AA2" s="53">
        <f>'Baseline System Analysis'!AA2</f>
        <v>56340.892307691953</v>
      </c>
      <c r="AB2" s="53">
        <f>'Baseline System Analysis'!AB2</f>
        <v>56631.061538461188</v>
      </c>
      <c r="AC2" s="53">
        <f>'Baseline System Analysis'!AC2</f>
        <v>56921.230769230424</v>
      </c>
      <c r="AD2" s="53">
        <f>'Baseline System Analysis'!AD2</f>
        <v>57211.399999999638</v>
      </c>
    </row>
    <row r="3" spans="1:30" x14ac:dyDescent="0.35">
      <c r="A3" s="72" t="s">
        <v>30</v>
      </c>
      <c r="B3" s="180"/>
      <c r="C3" s="72" t="s">
        <v>31</v>
      </c>
      <c r="D3" s="53">
        <f>'Baseline System Analysis'!D3</f>
        <v>10</v>
      </c>
      <c r="E3" s="53">
        <f>'Baseline System Analysis'!E3</f>
        <v>20.5</v>
      </c>
      <c r="F3" s="53">
        <f>'Baseline System Analysis'!F3</f>
        <v>29.879999999999995</v>
      </c>
      <c r="G3" s="53">
        <f>'Baseline System Analysis'!G3</f>
        <v>39.259999999999991</v>
      </c>
      <c r="H3" s="53">
        <f>'Baseline System Analysis'!H3</f>
        <v>48.639999999999986</v>
      </c>
      <c r="I3" s="53">
        <f>'Baseline System Analysis'!I3</f>
        <v>58.019999999999982</v>
      </c>
      <c r="J3" s="53">
        <f>'Baseline System Analysis'!J3</f>
        <v>67.399999999999977</v>
      </c>
      <c r="K3" s="53">
        <f>'Baseline System Analysis'!K3</f>
        <v>57.599999999999966</v>
      </c>
      <c r="L3" s="53">
        <f>'Baseline System Analysis'!L3</f>
        <v>49.800000000000011</v>
      </c>
      <c r="M3" s="53">
        <f>'Baseline System Analysis'!M3</f>
        <v>41.5</v>
      </c>
      <c r="N3" s="53">
        <f>'Baseline System Analysis'!N3</f>
        <v>53.700000000000017</v>
      </c>
      <c r="O3" s="53">
        <f>'Baseline System Analysis'!O3</f>
        <v>75.066666666666691</v>
      </c>
      <c r="P3" s="53">
        <f>'Baseline System Analysis'!P3</f>
        <v>96.433333333333366</v>
      </c>
      <c r="Q3" s="53">
        <f>'Baseline System Analysis'!Q3</f>
        <v>117.80000000000004</v>
      </c>
      <c r="R3" s="53">
        <f>'Baseline System Analysis'!R3</f>
        <v>139.16666666666671</v>
      </c>
      <c r="S3" s="53">
        <f>'Baseline System Analysis'!S3</f>
        <v>160.53333333333339</v>
      </c>
      <c r="T3" s="53">
        <f>'Baseline System Analysis'!T3</f>
        <v>181.90000000000003</v>
      </c>
      <c r="U3" s="53">
        <f>'Baseline System Analysis'!U3</f>
        <v>244.23000000000002</v>
      </c>
      <c r="V3" s="53">
        <f>'Baseline System Analysis'!V3</f>
        <v>306.56</v>
      </c>
      <c r="W3" s="53">
        <f>'Baseline System Analysis'!W3</f>
        <v>368.89</v>
      </c>
      <c r="X3" s="53">
        <f>'Baseline System Analysis'!X3</f>
        <v>431.21999999999997</v>
      </c>
      <c r="Y3" s="53">
        <f>'Baseline System Analysis'!Y3</f>
        <v>453.7000000000001</v>
      </c>
      <c r="Z3" s="53">
        <f>'Baseline System Analysis'!Z3</f>
        <v>524.00000000000011</v>
      </c>
      <c r="AA3" s="53">
        <f>'Baseline System Analysis'!AA3</f>
        <v>594.30000000000007</v>
      </c>
      <c r="AB3" s="53">
        <f>'Baseline System Analysis'!AB3</f>
        <v>664.6</v>
      </c>
      <c r="AC3" s="53">
        <f>'Baseline System Analysis'!AC3</f>
        <v>734.9</v>
      </c>
      <c r="AD3" s="53">
        <f>'Baseline System Analysis'!AD3</f>
        <v>805.2</v>
      </c>
    </row>
    <row r="4" spans="1:30" x14ac:dyDescent="0.35">
      <c r="A4" s="72" t="s">
        <v>30</v>
      </c>
      <c r="B4" s="180"/>
      <c r="C4" s="72" t="s">
        <v>32</v>
      </c>
      <c r="D4" s="53">
        <f>'Baseline System Analysis'!D4</f>
        <v>2</v>
      </c>
      <c r="E4" s="53">
        <f>'Baseline System Analysis'!E4</f>
        <v>3</v>
      </c>
      <c r="F4" s="53">
        <f>'Baseline System Analysis'!F4</f>
        <v>4.6799999999999953</v>
      </c>
      <c r="G4" s="53">
        <f>'Baseline System Analysis'!G4</f>
        <v>6.3599999999999905</v>
      </c>
      <c r="H4" s="53">
        <f>'Baseline System Analysis'!H4</f>
        <v>8.0399999999999867</v>
      </c>
      <c r="I4" s="53">
        <f>'Baseline System Analysis'!I4</f>
        <v>9.7199999999999829</v>
      </c>
      <c r="J4" s="53">
        <f>'Baseline System Analysis'!J4</f>
        <v>11.399999999999977</v>
      </c>
      <c r="K4" s="53">
        <f>'Baseline System Analysis'!K4</f>
        <v>10.199999999999989</v>
      </c>
      <c r="L4" s="53">
        <f>'Baseline System Analysis'!L4</f>
        <v>8.5999999999999943</v>
      </c>
      <c r="M4" s="53">
        <f>'Baseline System Analysis'!M4</f>
        <v>6.8000000000000114</v>
      </c>
      <c r="N4" s="53">
        <f>'Baseline System Analysis'!N4</f>
        <v>9.6000000000000227</v>
      </c>
      <c r="O4" s="53">
        <f>'Baseline System Analysis'!O4</f>
        <v>11.333333333333352</v>
      </c>
      <c r="P4" s="53">
        <f>'Baseline System Analysis'!P4</f>
        <v>13.066666666666681</v>
      </c>
      <c r="Q4" s="53">
        <f>'Baseline System Analysis'!Q4</f>
        <v>14.80000000000001</v>
      </c>
      <c r="R4" s="53">
        <f>'Baseline System Analysis'!R4</f>
        <v>16.533333333333339</v>
      </c>
      <c r="S4" s="53">
        <f>'Baseline System Analysis'!S4</f>
        <v>18.266666666666669</v>
      </c>
      <c r="T4" s="53">
        <f>'Baseline System Analysis'!T4</f>
        <v>20</v>
      </c>
      <c r="U4" s="53">
        <f>'Baseline System Analysis'!U4</f>
        <v>21.860000000000003</v>
      </c>
      <c r="V4" s="53">
        <f>'Baseline System Analysis'!V4</f>
        <v>23.720000000000006</v>
      </c>
      <c r="W4" s="53">
        <f>'Baseline System Analysis'!W4</f>
        <v>25.580000000000009</v>
      </c>
      <c r="X4" s="53">
        <f>'Baseline System Analysis'!X4</f>
        <v>27.440000000000012</v>
      </c>
      <c r="Y4" s="53">
        <f>'Baseline System Analysis'!Y4</f>
        <v>29.300000000000011</v>
      </c>
      <c r="Z4" s="53">
        <f>'Baseline System Analysis'!Z4</f>
        <v>30.480000000000008</v>
      </c>
      <c r="AA4" s="53">
        <f>'Baseline System Analysis'!AA4</f>
        <v>31.660000000000004</v>
      </c>
      <c r="AB4" s="53">
        <f>'Baseline System Analysis'!AB4</f>
        <v>32.839999999999996</v>
      </c>
      <c r="AC4" s="53">
        <f>'Baseline System Analysis'!AC4</f>
        <v>34.019999999999989</v>
      </c>
      <c r="AD4" s="53">
        <f>'Baseline System Analysis'!AD4</f>
        <v>35.199999999999989</v>
      </c>
    </row>
    <row r="5" spans="1:30" x14ac:dyDescent="0.35">
      <c r="A5" s="72" t="s">
        <v>30</v>
      </c>
      <c r="B5" s="180"/>
      <c r="C5" s="72" t="s">
        <v>33</v>
      </c>
      <c r="D5" s="53">
        <f>'Baseline System Analysis'!D5</f>
        <v>8.4812112193331513E-2</v>
      </c>
      <c r="E5" s="53">
        <f>'Baseline System Analysis'!E5</f>
        <v>0.24283371212350299</v>
      </c>
      <c r="F5" s="53">
        <f>'Baseline System Analysis'!F5</f>
        <v>0.34046276046663143</v>
      </c>
      <c r="G5" s="53">
        <f>'Baseline System Analysis'!G5</f>
        <v>0.43809180880975984</v>
      </c>
      <c r="H5" s="53">
        <f>'Baseline System Analysis'!H5</f>
        <v>0.53572085715288831</v>
      </c>
      <c r="I5" s="53">
        <f>'Baseline System Analysis'!I5</f>
        <v>0.63334990549601677</v>
      </c>
      <c r="J5" s="53">
        <f>'Baseline System Analysis'!J5</f>
        <v>0.73097895383914513</v>
      </c>
      <c r="K5" s="53">
        <f>'Baseline System Analysis'!K5</f>
        <v>0.61764830497225676</v>
      </c>
      <c r="L5" s="53">
        <f>'Baseline System Analysis'!L5</f>
        <v>0.52957812632109091</v>
      </c>
      <c r="M5" s="53">
        <f>'Baseline System Analysis'!M5</f>
        <v>0.48185121670948772</v>
      </c>
      <c r="N5" s="53">
        <f>'Baseline System Analysis'!N5</f>
        <v>0.56680711827214547</v>
      </c>
      <c r="O5" s="53">
        <f>'Baseline System Analysis'!O5</f>
        <v>0.96980348799493798</v>
      </c>
      <c r="P5" s="53">
        <f>'Baseline System Analysis'!P5</f>
        <v>1.3727998577177305</v>
      </c>
      <c r="Q5" s="53">
        <f>'Baseline System Analysis'!Q5</f>
        <v>1.775796227440523</v>
      </c>
      <c r="R5" s="53">
        <f>'Baseline System Analysis'!R5</f>
        <v>2.1787925971633153</v>
      </c>
      <c r="S5" s="53">
        <f>'Baseline System Analysis'!S5</f>
        <v>2.5817889668861076</v>
      </c>
      <c r="T5" s="53">
        <f>'Baseline System Analysis'!T5</f>
        <v>2.9847853366089003</v>
      </c>
      <c r="U5" s="53">
        <f>'Baseline System Analysis'!U5</f>
        <v>21.070525908414965</v>
      </c>
      <c r="V5" s="53">
        <f>'Baseline System Analysis'!V5</f>
        <v>39.156266480221028</v>
      </c>
      <c r="W5" s="53">
        <f>'Baseline System Analysis'!W5</f>
        <v>57.242007052027091</v>
      </c>
      <c r="X5" s="53">
        <f>'Baseline System Analysis'!X5</f>
        <v>75.327747623833147</v>
      </c>
      <c r="Y5" s="53">
        <f>'Baseline System Analysis'!Y5</f>
        <v>93.413488195639218</v>
      </c>
      <c r="Z5" s="53">
        <f>'Baseline System Analysis'!Z5</f>
        <v>81.062212021092932</v>
      </c>
      <c r="AA5" s="53">
        <f>'Baseline System Analysis'!AA5</f>
        <v>68.710935846546647</v>
      </c>
      <c r="AB5" s="53">
        <f>'Baseline System Analysis'!AB5</f>
        <v>56.359659672000362</v>
      </c>
      <c r="AC5" s="53">
        <f>'Baseline System Analysis'!AC5</f>
        <v>44.008383497454076</v>
      </c>
      <c r="AD5" s="53">
        <f>'Baseline System Analysis'!AD5</f>
        <v>31.657107322907791</v>
      </c>
    </row>
    <row r="6" spans="1:30" x14ac:dyDescent="0.35">
      <c r="A6" s="72" t="s">
        <v>30</v>
      </c>
      <c r="B6" s="180"/>
      <c r="C6" s="72" t="s">
        <v>34</v>
      </c>
      <c r="D6" s="53">
        <f>'Baseline System Analysis'!D6</f>
        <v>6.0580080138093939E-3</v>
      </c>
      <c r="E6" s="53">
        <f>'Baseline System Analysis'!E6</f>
        <v>1.7771756236396739E-2</v>
      </c>
      <c r="F6" s="53">
        <f>'Baseline System Analysis'!F6</f>
        <v>2.504677784712513E-2</v>
      </c>
      <c r="G6" s="53">
        <f>'Baseline System Analysis'!G6</f>
        <v>3.2321799457853517E-2</v>
      </c>
      <c r="H6" s="53">
        <f>'Baseline System Analysis'!H6</f>
        <v>3.9596821068581908E-2</v>
      </c>
      <c r="I6" s="53">
        <f>'Baseline System Analysis'!I6</f>
        <v>4.6871842679310299E-2</v>
      </c>
      <c r="J6" s="53">
        <f>'Baseline System Analysis'!J6</f>
        <v>5.414686429003869E-2</v>
      </c>
      <c r="K6" s="53">
        <f>'Baseline System Analysis'!K6</f>
        <v>4.57170533491131E-2</v>
      </c>
      <c r="L6" s="53">
        <f>'Baseline System Analysis'!L6</f>
        <v>3.8991796004088156E-2</v>
      </c>
      <c r="M6" s="53">
        <f>'Baseline System Analysis'!M6</f>
        <v>3.1792887361975948E-2</v>
      </c>
      <c r="N6" s="53">
        <f>'Baseline System Analysis'!N6</f>
        <v>4.2212624824281168E-2</v>
      </c>
      <c r="O6" s="53">
        <f>'Baseline System Analysis'!O6</f>
        <v>5.9766414638595444E-2</v>
      </c>
      <c r="P6" s="53">
        <f>'Baseline System Analysis'!P6</f>
        <v>7.7320204452909727E-2</v>
      </c>
      <c r="Q6" s="53">
        <f>'Baseline System Analysis'!Q6</f>
        <v>9.487399426722401E-2</v>
      </c>
      <c r="R6" s="53">
        <f>'Baseline System Analysis'!R6</f>
        <v>0.11242778408153829</v>
      </c>
      <c r="S6" s="53">
        <f>'Baseline System Analysis'!S6</f>
        <v>0.12998157389585258</v>
      </c>
      <c r="T6" s="53">
        <f>'Baseline System Analysis'!T6</f>
        <v>0.14753536371016684</v>
      </c>
      <c r="U6" s="53">
        <f>'Baseline System Analysis'!U6</f>
        <v>0.40051087482777559</v>
      </c>
      <c r="V6" s="53">
        <f>'Baseline System Analysis'!V6</f>
        <v>0.65348638594538433</v>
      </c>
      <c r="W6" s="53">
        <f>'Baseline System Analysis'!W6</f>
        <v>0.90646189706299307</v>
      </c>
      <c r="X6" s="53">
        <f>'Baseline System Analysis'!X6</f>
        <v>1.1594374081806018</v>
      </c>
      <c r="Y6" s="53">
        <f>'Baseline System Analysis'!Y6</f>
        <v>1.4124129192982104</v>
      </c>
      <c r="Z6" s="53">
        <f>'Baseline System Analysis'!Z6</f>
        <v>1.2710233198999881</v>
      </c>
      <c r="AA6" s="53">
        <f>'Baseline System Analysis'!AA6</f>
        <v>1.1296337205017657</v>
      </c>
      <c r="AB6" s="53">
        <f>'Baseline System Analysis'!AB6</f>
        <v>0.98824412110354332</v>
      </c>
      <c r="AC6" s="53">
        <f>'Baseline System Analysis'!AC6</f>
        <v>0.84685452170532094</v>
      </c>
      <c r="AD6" s="53">
        <f>'Baseline System Analysis'!AD6</f>
        <v>0.70546492230709823</v>
      </c>
    </row>
    <row r="7" spans="1:30" x14ac:dyDescent="0.35">
      <c r="A7" s="72" t="s">
        <v>30</v>
      </c>
      <c r="B7" s="180"/>
      <c r="C7" s="72" t="s">
        <v>35</v>
      </c>
      <c r="D7" s="53">
        <f>'Baseline System Analysis'!D7</f>
        <v>14</v>
      </c>
      <c r="E7" s="53">
        <f>'Baseline System Analysis'!E7</f>
        <v>21</v>
      </c>
      <c r="F7" s="53">
        <f>'Baseline System Analysis'!F7</f>
        <v>23.2</v>
      </c>
      <c r="G7" s="53">
        <f>'Baseline System Analysis'!G7</f>
        <v>25.4</v>
      </c>
      <c r="H7" s="53">
        <f>'Baseline System Analysis'!H7</f>
        <v>27.599999999999998</v>
      </c>
      <c r="I7" s="53">
        <f>'Baseline System Analysis'!I7</f>
        <v>29.799999999999997</v>
      </c>
      <c r="J7" s="53">
        <f>'Baseline System Analysis'!J7</f>
        <v>32</v>
      </c>
      <c r="K7" s="53">
        <f>'Baseline System Analysis'!K7</f>
        <v>30</v>
      </c>
      <c r="L7" s="53">
        <f>'Baseline System Analysis'!L7</f>
        <v>29</v>
      </c>
      <c r="M7" s="53">
        <f>'Baseline System Analysis'!M7</f>
        <v>29</v>
      </c>
      <c r="N7" s="53">
        <f>'Baseline System Analysis'!N7</f>
        <v>29</v>
      </c>
      <c r="O7" s="53">
        <f>'Baseline System Analysis'!O7</f>
        <v>32.666666666666664</v>
      </c>
      <c r="P7" s="53">
        <f>'Baseline System Analysis'!P7</f>
        <v>36.333333333333329</v>
      </c>
      <c r="Q7" s="53">
        <f>'Baseline System Analysis'!Q7</f>
        <v>39.999999999999993</v>
      </c>
      <c r="R7" s="53">
        <f>'Baseline System Analysis'!R7</f>
        <v>43.666666666666657</v>
      </c>
      <c r="S7" s="53">
        <f>'Baseline System Analysis'!S7</f>
        <v>47.333333333333321</v>
      </c>
      <c r="T7" s="53">
        <f>'Baseline System Analysis'!T7</f>
        <v>51</v>
      </c>
      <c r="U7" s="53">
        <f>'Baseline System Analysis'!U7</f>
        <v>56.6</v>
      </c>
      <c r="V7" s="53">
        <f>'Baseline System Analysis'!V7</f>
        <v>62.2</v>
      </c>
      <c r="W7" s="53">
        <f>'Baseline System Analysis'!W7</f>
        <v>67.8</v>
      </c>
      <c r="X7" s="53">
        <f>'Baseline System Analysis'!X7</f>
        <v>73.399999999999991</v>
      </c>
      <c r="Y7" s="53">
        <f>'Baseline System Analysis'!Y7</f>
        <v>79</v>
      </c>
      <c r="Z7" s="53">
        <f>'Baseline System Analysis'!Z7</f>
        <v>82</v>
      </c>
      <c r="AA7" s="53">
        <f>'Baseline System Analysis'!AA7</f>
        <v>85</v>
      </c>
      <c r="AB7" s="53">
        <f>'Baseline System Analysis'!AB7</f>
        <v>88</v>
      </c>
      <c r="AC7" s="53">
        <f>'Baseline System Analysis'!AC7</f>
        <v>91</v>
      </c>
      <c r="AD7" s="53">
        <f>'Baseline System Analysis'!AD7</f>
        <v>94</v>
      </c>
    </row>
    <row r="8" spans="1:30" x14ac:dyDescent="0.35">
      <c r="A8" s="72" t="s">
        <v>39</v>
      </c>
      <c r="B8" s="180"/>
      <c r="C8" s="72" t="s">
        <v>31</v>
      </c>
      <c r="D8" s="53">
        <f>'Baseline System Analysis'!D8</f>
        <v>22.2</v>
      </c>
      <c r="E8" s="53">
        <f>'Baseline System Analysis'!E8</f>
        <v>65.8</v>
      </c>
      <c r="F8" s="53">
        <f>'Baseline System Analysis'!F8</f>
        <v>102.72</v>
      </c>
      <c r="G8" s="53">
        <f>'Baseline System Analysis'!G8</f>
        <v>139.63999999999999</v>
      </c>
      <c r="H8" s="53">
        <f>'Baseline System Analysis'!H8</f>
        <v>176.56</v>
      </c>
      <c r="I8" s="53">
        <f>'Baseline System Analysis'!I8</f>
        <v>213.48000000000002</v>
      </c>
      <c r="J8" s="53">
        <f>'Baseline System Analysis'!J8</f>
        <v>250.4</v>
      </c>
      <c r="K8" s="53">
        <f>'Baseline System Analysis'!K8</f>
        <v>216.60000000000014</v>
      </c>
      <c r="L8" s="53">
        <f>'Baseline System Analysis'!L8</f>
        <v>182.59999999999991</v>
      </c>
      <c r="M8" s="53">
        <f>'Baseline System Analysis'!M8</f>
        <v>151.20000000000005</v>
      </c>
      <c r="N8" s="53">
        <f>'Baseline System Analysis'!N8</f>
        <v>202.60000000000014</v>
      </c>
      <c r="O8" s="53">
        <f>'Baseline System Analysis'!O8</f>
        <v>292.1666666666668</v>
      </c>
      <c r="P8" s="53">
        <f>'Baseline System Analysis'!P8</f>
        <v>381.73333333333346</v>
      </c>
      <c r="Q8" s="53">
        <f>'Baseline System Analysis'!Q8</f>
        <v>471.30000000000013</v>
      </c>
      <c r="R8" s="53">
        <f>'Baseline System Analysis'!R8</f>
        <v>560.86666666666679</v>
      </c>
      <c r="S8" s="53">
        <f>'Baseline System Analysis'!S8</f>
        <v>650.43333333333339</v>
      </c>
      <c r="T8" s="53">
        <f>'Baseline System Analysis'!T8</f>
        <v>740</v>
      </c>
      <c r="U8" s="53">
        <f>'Baseline System Analysis'!U8</f>
        <v>930.87999999999988</v>
      </c>
      <c r="V8" s="53">
        <f>'Baseline System Analysis'!V8</f>
        <v>1121.7599999999998</v>
      </c>
      <c r="W8" s="53">
        <f>'Baseline System Analysis'!W8</f>
        <v>1312.6399999999996</v>
      </c>
      <c r="X8" s="53">
        <f>'Baseline System Analysis'!X8</f>
        <v>1503.5199999999995</v>
      </c>
      <c r="Y8" s="53">
        <f>'Baseline System Analysis'!Y8</f>
        <v>1694.3999999999994</v>
      </c>
      <c r="Z8" s="53">
        <f>'Baseline System Analysis'!Z8</f>
        <v>1887.3999999999994</v>
      </c>
      <c r="AA8" s="53">
        <f>'Baseline System Analysis'!AA8</f>
        <v>2080.3999999999996</v>
      </c>
      <c r="AB8" s="53">
        <f>'Baseline System Analysis'!AB8</f>
        <v>2273.3999999999996</v>
      </c>
      <c r="AC8" s="53">
        <f>'Baseline System Analysis'!AC8</f>
        <v>2466.3999999999996</v>
      </c>
      <c r="AD8" s="53">
        <f>'Baseline System Analysis'!AD8</f>
        <v>2659.3999999999996</v>
      </c>
    </row>
    <row r="9" spans="1:30" x14ac:dyDescent="0.35">
      <c r="A9" s="72" t="s">
        <v>39</v>
      </c>
      <c r="B9" s="180"/>
      <c r="C9" s="72" t="s">
        <v>32</v>
      </c>
      <c r="D9" s="53">
        <f>'Baseline System Analysis'!D9</f>
        <v>13</v>
      </c>
      <c r="E9" s="53">
        <f>'Baseline System Analysis'!E9</f>
        <v>27</v>
      </c>
      <c r="F9" s="53">
        <f>'Baseline System Analysis'!F9</f>
        <v>34.519999999999982</v>
      </c>
      <c r="G9" s="53">
        <f>'Baseline System Analysis'!G9</f>
        <v>42.039999999999964</v>
      </c>
      <c r="H9" s="53">
        <f>'Baseline System Analysis'!H9</f>
        <v>49.559999999999945</v>
      </c>
      <c r="I9" s="53">
        <f>'Baseline System Analysis'!I9</f>
        <v>57.079999999999927</v>
      </c>
      <c r="J9" s="53">
        <f>'Baseline System Analysis'!J9</f>
        <v>64.599999999999909</v>
      </c>
      <c r="K9" s="53">
        <f>'Baseline System Analysis'!K9</f>
        <v>59.799999999999955</v>
      </c>
      <c r="L9" s="53">
        <f>'Baseline System Analysis'!L9</f>
        <v>52.799999999999955</v>
      </c>
      <c r="M9" s="53">
        <f>'Baseline System Analysis'!M9</f>
        <v>46</v>
      </c>
      <c r="N9" s="53">
        <f>'Baseline System Analysis'!N9</f>
        <v>57.400000000000091</v>
      </c>
      <c r="O9" s="53">
        <f>'Baseline System Analysis'!O9</f>
        <v>67.333333333333414</v>
      </c>
      <c r="P9" s="53">
        <f>'Baseline System Analysis'!P9</f>
        <v>77.266666666666737</v>
      </c>
      <c r="Q9" s="53">
        <f>'Baseline System Analysis'!Q9</f>
        <v>87.20000000000006</v>
      </c>
      <c r="R9" s="53">
        <f>'Baseline System Analysis'!R9</f>
        <v>97.133333333333383</v>
      </c>
      <c r="S9" s="53">
        <f>'Baseline System Analysis'!S9</f>
        <v>107.06666666666671</v>
      </c>
      <c r="T9" s="53">
        <f>'Baseline System Analysis'!T9</f>
        <v>117</v>
      </c>
      <c r="U9" s="53">
        <f>'Baseline System Analysis'!U9</f>
        <v>126.6</v>
      </c>
      <c r="V9" s="53">
        <f>'Baseline System Analysis'!V9</f>
        <v>136.19999999999999</v>
      </c>
      <c r="W9" s="53">
        <f>'Baseline System Analysis'!W9</f>
        <v>145.79999999999998</v>
      </c>
      <c r="X9" s="53">
        <f>'Baseline System Analysis'!X9</f>
        <v>155.39999999999998</v>
      </c>
      <c r="Y9" s="53">
        <f>'Baseline System Analysis'!Y9</f>
        <v>165</v>
      </c>
      <c r="Z9" s="53">
        <f>'Baseline System Analysis'!Z9</f>
        <v>171.84</v>
      </c>
      <c r="AA9" s="53">
        <f>'Baseline System Analysis'!AA9</f>
        <v>178.68</v>
      </c>
      <c r="AB9" s="53">
        <f>'Baseline System Analysis'!AB9</f>
        <v>185.52</v>
      </c>
      <c r="AC9" s="53">
        <f>'Baseline System Analysis'!AC9</f>
        <v>192.36</v>
      </c>
      <c r="AD9" s="53">
        <f>'Baseline System Analysis'!AD9</f>
        <v>199.20000000000005</v>
      </c>
    </row>
    <row r="10" spans="1:30" x14ac:dyDescent="0.35">
      <c r="A10" s="72" t="s">
        <v>39</v>
      </c>
      <c r="B10" s="180"/>
      <c r="C10" s="72" t="s">
        <v>33</v>
      </c>
      <c r="D10" s="53">
        <f>'Baseline System Analysis'!D10</f>
        <v>4.7253529883901121E-2</v>
      </c>
      <c r="E10" s="53">
        <f>'Baseline System Analysis'!E10</f>
        <v>0.28011551949195379</v>
      </c>
      <c r="F10" s="53">
        <f>'Baseline System Analysis'!F10</f>
        <v>0.59718244793816533</v>
      </c>
      <c r="G10" s="53">
        <f>'Baseline System Analysis'!G10</f>
        <v>0.91424937638437687</v>
      </c>
      <c r="H10" s="53">
        <f>'Baseline System Analysis'!H10</f>
        <v>1.2313163048305884</v>
      </c>
      <c r="I10" s="53">
        <f>'Baseline System Analysis'!I10</f>
        <v>1.5483832332767999</v>
      </c>
      <c r="J10" s="53">
        <f>'Baseline System Analysis'!J10</f>
        <v>1.8654501617230115</v>
      </c>
      <c r="K10" s="53">
        <f>'Baseline System Analysis'!K10</f>
        <v>1.6136441894137561</v>
      </c>
      <c r="L10" s="53">
        <f>'Baseline System Analysis'!L10</f>
        <v>1.1660127779459895</v>
      </c>
      <c r="M10" s="53">
        <f>'Baseline System Analysis'!M10</f>
        <v>0.80458713045561225</v>
      </c>
      <c r="N10" s="53">
        <f>'Baseline System Analysis'!N10</f>
        <v>0.56680711827214547</v>
      </c>
      <c r="O10" s="53">
        <f>'Baseline System Analysis'!O10</f>
        <v>3.0445179689462347</v>
      </c>
      <c r="P10" s="53">
        <f>'Baseline System Analysis'!P10</f>
        <v>4.5886299372095039</v>
      </c>
      <c r="Q10" s="53">
        <f>'Baseline System Analysis'!Q10</f>
        <v>6.1327419054727734</v>
      </c>
      <c r="R10" s="53">
        <f>'Baseline System Analysis'!R10</f>
        <v>7.676853873736043</v>
      </c>
      <c r="S10" s="53">
        <f>'Baseline System Analysis'!S10</f>
        <v>9.2209658419993126</v>
      </c>
      <c r="T10" s="53">
        <f>'Baseline System Analysis'!T10</f>
        <v>10.765077810262582</v>
      </c>
      <c r="U10" s="53">
        <f>'Baseline System Analysis'!U10</f>
        <v>11.285969377257926</v>
      </c>
      <c r="V10" s="53">
        <f>'Baseline System Analysis'!V10</f>
        <v>11.80686094425327</v>
      </c>
      <c r="W10" s="53">
        <f>'Baseline System Analysis'!W10</f>
        <v>12.327752511248613</v>
      </c>
      <c r="X10" s="53">
        <f>'Baseline System Analysis'!X10</f>
        <v>12.848644078243957</v>
      </c>
      <c r="Y10" s="53">
        <f>'Baseline System Analysis'!Y10</f>
        <v>13.369535645239303</v>
      </c>
      <c r="Z10" s="53">
        <f>'Baseline System Analysis'!Z10</f>
        <v>31.024884631077057</v>
      </c>
      <c r="AA10" s="53">
        <f>'Baseline System Analysis'!AA10</f>
        <v>48.680233616914812</v>
      </c>
      <c r="AB10" s="53">
        <f>'Baseline System Analysis'!AB10</f>
        <v>66.335582602752567</v>
      </c>
      <c r="AC10" s="53">
        <f>'Baseline System Analysis'!AC10</f>
        <v>83.990931588590314</v>
      </c>
      <c r="AD10" s="53">
        <f>'Baseline System Analysis'!AD10</f>
        <v>101.64628057442808</v>
      </c>
    </row>
    <row r="11" spans="1:30" x14ac:dyDescent="0.35">
      <c r="A11" s="72" t="s">
        <v>39</v>
      </c>
      <c r="B11" s="180"/>
      <c r="C11" s="72" t="s">
        <v>34</v>
      </c>
      <c r="D11" s="53">
        <f>'Baseline System Analysis'!D11</f>
        <v>2.3626764941950561E-2</v>
      </c>
      <c r="E11" s="53">
        <f>'Baseline System Analysis'!E11</f>
        <v>7.0028879872988448E-2</v>
      </c>
      <c r="F11" s="53">
        <f>'Baseline System Analysis'!F11</f>
        <v>0.10932167994761965</v>
      </c>
      <c r="G11" s="53">
        <f>'Baseline System Analysis'!G11</f>
        <v>0.14861448002225086</v>
      </c>
      <c r="H11" s="53">
        <f>'Baseline System Analysis'!H11</f>
        <v>0.18790728009688207</v>
      </c>
      <c r="I11" s="53">
        <f>'Baseline System Analysis'!I11</f>
        <v>0.22720008017151327</v>
      </c>
      <c r="J11" s="53">
        <f>'Baseline System Analysis'!J11</f>
        <v>0.26649288024614448</v>
      </c>
      <c r="K11" s="53">
        <f>'Baseline System Analysis'!K11</f>
        <v>0.23052059848767945</v>
      </c>
      <c r="L11" s="53">
        <f>'Baseline System Analysis'!L11</f>
        <v>0.19433546299099821</v>
      </c>
      <c r="M11" s="53">
        <f>'Baseline System Analysis'!M11</f>
        <v>0.16091742609112245</v>
      </c>
      <c r="N11" s="53">
        <f>'Baseline System Analysis'!N11</f>
        <v>4.2212624824281168E-2</v>
      </c>
      <c r="O11" s="53">
        <f>'Baseline System Analysis'!O11</f>
        <v>0.30677545020347896</v>
      </c>
      <c r="P11" s="53">
        <f>'Baseline System Analysis'!P11</f>
        <v>0.39920718602367722</v>
      </c>
      <c r="Q11" s="53">
        <f>'Baseline System Analysis'!Q11</f>
        <v>0.49163892184387548</v>
      </c>
      <c r="R11" s="53">
        <f>'Baseline System Analysis'!R11</f>
        <v>0.58407065766407373</v>
      </c>
      <c r="S11" s="53">
        <f>'Baseline System Analysis'!S11</f>
        <v>0.67650239348427199</v>
      </c>
      <c r="T11" s="53">
        <f>'Baseline System Analysis'!T11</f>
        <v>0.76893412930447014</v>
      </c>
      <c r="U11" s="53">
        <f>'Baseline System Analysis'!U11</f>
        <v>0.69278283231502535</v>
      </c>
      <c r="V11" s="53">
        <f>'Baseline System Analysis'!V11</f>
        <v>0.61663153532558057</v>
      </c>
      <c r="W11" s="53">
        <f>'Baseline System Analysis'!W11</f>
        <v>0.54048023833613579</v>
      </c>
      <c r="X11" s="53">
        <f>'Baseline System Analysis'!X11</f>
        <v>0.464328941346691</v>
      </c>
      <c r="Y11" s="53">
        <f>'Baseline System Analysis'!Y11</f>
        <v>0.38817764435724611</v>
      </c>
      <c r="Z11" s="53">
        <f>'Baseline System Analysis'!Z11</f>
        <v>0.85998146994216484</v>
      </c>
      <c r="AA11" s="53">
        <f>'Baseline System Analysis'!AA11</f>
        <v>1.3317852955270837</v>
      </c>
      <c r="AB11" s="53">
        <f>'Baseline System Analysis'!AB11</f>
        <v>1.8035891211120025</v>
      </c>
      <c r="AC11" s="53">
        <f>'Baseline System Analysis'!AC11</f>
        <v>2.2753929466969214</v>
      </c>
      <c r="AD11" s="53">
        <f>'Baseline System Analysis'!AD11</f>
        <v>2.74719677228184</v>
      </c>
    </row>
    <row r="12" spans="1:30" x14ac:dyDescent="0.35">
      <c r="A12" s="72" t="s">
        <v>39</v>
      </c>
      <c r="B12" s="180"/>
      <c r="C12" s="72" t="s">
        <v>35</v>
      </c>
      <c r="D12" s="53">
        <f>'Baseline System Analysis'!D12</f>
        <v>2</v>
      </c>
      <c r="E12" s="53">
        <f>'Baseline System Analysis'!E12</f>
        <v>4</v>
      </c>
      <c r="F12" s="53">
        <f>'Baseline System Analysis'!F12</f>
        <v>4.5999999999999996</v>
      </c>
      <c r="G12" s="53">
        <f>'Baseline System Analysis'!G12</f>
        <v>5.1999999999999993</v>
      </c>
      <c r="H12" s="53">
        <f>'Baseline System Analysis'!H12</f>
        <v>5.7999999999999989</v>
      </c>
      <c r="I12" s="53">
        <f>'Baseline System Analysis'!I12</f>
        <v>6.3999999999999986</v>
      </c>
      <c r="J12" s="53">
        <f>'Baseline System Analysis'!J12</f>
        <v>7</v>
      </c>
      <c r="K12" s="53">
        <f>'Baseline System Analysis'!K12</f>
        <v>7</v>
      </c>
      <c r="L12" s="53">
        <f>'Baseline System Analysis'!L12</f>
        <v>6</v>
      </c>
      <c r="M12" s="53">
        <f>'Baseline System Analysis'!M12</f>
        <v>5</v>
      </c>
      <c r="N12" s="53">
        <f>'Baseline System Analysis'!N12</f>
        <v>7</v>
      </c>
      <c r="O12" s="53">
        <f>'Baseline System Analysis'!O12</f>
        <v>8.1666666666666661</v>
      </c>
      <c r="P12" s="53">
        <f>'Baseline System Analysis'!P12</f>
        <v>9.3333333333333321</v>
      </c>
      <c r="Q12" s="53">
        <f>'Baseline System Analysis'!Q12</f>
        <v>10.499999999999998</v>
      </c>
      <c r="R12" s="53">
        <f>'Baseline System Analysis'!R12</f>
        <v>11.666666666666664</v>
      </c>
      <c r="S12" s="53">
        <f>'Baseline System Analysis'!S12</f>
        <v>12.83333333333333</v>
      </c>
      <c r="T12" s="53">
        <f>'Baseline System Analysis'!T12</f>
        <v>14</v>
      </c>
      <c r="U12" s="53">
        <f>'Baseline System Analysis'!U12</f>
        <v>17</v>
      </c>
      <c r="V12" s="53">
        <f>'Baseline System Analysis'!V12</f>
        <v>20</v>
      </c>
      <c r="W12" s="53">
        <f>'Baseline System Analysis'!W12</f>
        <v>23</v>
      </c>
      <c r="X12" s="53">
        <f>'Baseline System Analysis'!X12</f>
        <v>26</v>
      </c>
      <c r="Y12" s="53">
        <f>'Baseline System Analysis'!Y12</f>
        <v>29</v>
      </c>
      <c r="Z12" s="53">
        <f>'Baseline System Analysis'!Z12</f>
        <v>30.6</v>
      </c>
      <c r="AA12" s="53">
        <f>'Baseline System Analysis'!AA12</f>
        <v>32.200000000000003</v>
      </c>
      <c r="AB12" s="53">
        <f>'Baseline System Analysis'!AB12</f>
        <v>33.800000000000004</v>
      </c>
      <c r="AC12" s="53">
        <f>'Baseline System Analysis'!AC12</f>
        <v>35.400000000000006</v>
      </c>
      <c r="AD12" s="53">
        <f>'Baseline System Analysis'!AD12</f>
        <v>37</v>
      </c>
    </row>
    <row r="13" spans="1:30" x14ac:dyDescent="0.35">
      <c r="A13" s="72" t="s">
        <v>30</v>
      </c>
      <c r="B13" s="180"/>
      <c r="C13" s="72" t="s">
        <v>108</v>
      </c>
      <c r="D13" s="53">
        <f>'Baseline System Analysis'!D13</f>
        <v>5445.825674993449</v>
      </c>
      <c r="E13" s="53">
        <f>'Baseline System Analysis'!E13</f>
        <v>7241.293555071361</v>
      </c>
      <c r="F13" s="53">
        <f>'Baseline System Analysis'!F13</f>
        <v>9036.7614351492721</v>
      </c>
      <c r="G13" s="53">
        <f>'Baseline System Analysis'!G13</f>
        <v>10832.229315227183</v>
      </c>
      <c r="H13" s="53">
        <f>'Baseline System Analysis'!H13</f>
        <v>12627.697195305094</v>
      </c>
      <c r="I13" s="53">
        <f>'Baseline System Analysis'!I13</f>
        <v>14423.165075383005</v>
      </c>
      <c r="J13" s="53">
        <f>'Baseline System Analysis'!J13</f>
        <v>16218.632955460916</v>
      </c>
      <c r="K13" s="53">
        <f>'Baseline System Analysis'!K13</f>
        <v>15620.143662101613</v>
      </c>
      <c r="L13" s="53">
        <f>'Baseline System Analysis'!L13</f>
        <v>15021.654368742309</v>
      </c>
      <c r="M13" s="53">
        <f>'Baseline System Analysis'!M13</f>
        <v>13525.43113534405</v>
      </c>
      <c r="N13" s="53">
        <f>'Baseline System Analysis'!N13</f>
        <v>14423.165075383005</v>
      </c>
      <c r="O13" s="53">
        <f>'Baseline System Analysis'!O13</f>
        <v>16913.232955460899</v>
      </c>
      <c r="P13" s="53">
        <f>'Baseline System Analysis'!P13</f>
        <v>17831.369243247562</v>
      </c>
      <c r="Q13" s="53">
        <f>'Baseline System Analysis'!Q13</f>
        <v>18749.505531034225</v>
      </c>
      <c r="R13" s="53">
        <f>'Baseline System Analysis'!R13</f>
        <v>19667.641818820888</v>
      </c>
      <c r="S13" s="53">
        <f>'Baseline System Analysis'!S13</f>
        <v>20585.778106607551</v>
      </c>
      <c r="T13" s="53">
        <f>'Baseline System Analysis'!T13</f>
        <v>21503.914394394214</v>
      </c>
      <c r="U13" s="53">
        <f>'Baseline System Analysis'!U13</f>
        <v>22422.050682180878</v>
      </c>
      <c r="V13" s="53">
        <f>'Baseline System Analysis'!V13</f>
        <v>23340.186969967541</v>
      </c>
      <c r="W13" s="53">
        <f>'Baseline System Analysis'!W13</f>
        <v>24258.323257754204</v>
      </c>
      <c r="X13" s="53">
        <f>'Baseline System Analysis'!X13</f>
        <v>25176.459545540867</v>
      </c>
      <c r="Y13" s="53">
        <f>'Baseline System Analysis'!Y13</f>
        <v>26094.59583332753</v>
      </c>
      <c r="Z13" s="53">
        <f>'Baseline System Analysis'!Z13</f>
        <v>27012.732121114193</v>
      </c>
      <c r="AA13" s="53">
        <f>'Baseline System Analysis'!AA13</f>
        <v>27930.868408900857</v>
      </c>
      <c r="AB13" s="53">
        <f>'Baseline System Analysis'!AB13</f>
        <v>28849.00469668752</v>
      </c>
      <c r="AC13" s="53">
        <f>'Baseline System Analysis'!AC13</f>
        <v>29767.140984474183</v>
      </c>
      <c r="AD13" s="53">
        <f>'Baseline System Analysis'!AD13</f>
        <v>30685.277272260842</v>
      </c>
    </row>
    <row r="14" spans="1:30" x14ac:dyDescent="0.35">
      <c r="A14" s="72" t="s">
        <v>30</v>
      </c>
      <c r="B14" s="180"/>
      <c r="C14" s="72" t="s">
        <v>109</v>
      </c>
      <c r="D14" s="53">
        <f>'Baseline System Analysis'!D14</f>
        <v>192864.66620394157</v>
      </c>
      <c r="E14" s="53">
        <f>'Baseline System Analysis'!E14</f>
        <v>195239.2419650236</v>
      </c>
      <c r="F14" s="53">
        <f>'Baseline System Analysis'!F14</f>
        <v>196366.76544203321</v>
      </c>
      <c r="G14" s="53">
        <f>'Baseline System Analysis'!G14</f>
        <v>197525.37556068008</v>
      </c>
      <c r="H14" s="53">
        <f>'Baseline System Analysis'!H14</f>
        <v>198743.92387830256</v>
      </c>
      <c r="I14" s="53">
        <f>'Baseline System Analysis'!I14</f>
        <v>200140.93841202525</v>
      </c>
      <c r="J14" s="53">
        <f>'Baseline System Analysis'!J14</f>
        <v>201537.7102617296</v>
      </c>
      <c r="K14" s="53">
        <f>'Baseline System Analysis'!K14</f>
        <v>200616.89493678272</v>
      </c>
      <c r="L14" s="53">
        <f>'Baseline System Analysis'!L14</f>
        <v>199696.14928779242</v>
      </c>
      <c r="M14" s="53">
        <f>'Baseline System Analysis'!M14</f>
        <v>198775.23322502323</v>
      </c>
      <c r="N14" s="53">
        <f>'Baseline System Analysis'!N14</f>
        <v>200250.33489773443</v>
      </c>
      <c r="O14" s="53">
        <f>'Baseline System Analysis'!O14</f>
        <v>201766.1654636735</v>
      </c>
      <c r="P14" s="53">
        <f>'Baseline System Analysis'!P14</f>
        <v>203325.96278464468</v>
      </c>
      <c r="Q14" s="53">
        <f>'Baseline System Analysis'!Q14</f>
        <v>204856.96017693213</v>
      </c>
      <c r="R14" s="53">
        <f>'Baseline System Analysis'!R14</f>
        <v>206421.18825616254</v>
      </c>
      <c r="S14" s="53">
        <f>'Baseline System Analysis'!S14</f>
        <v>208013.70502273936</v>
      </c>
      <c r="T14" s="53">
        <f>'Baseline System Analysis'!T14</f>
        <v>209643.37199318074</v>
      </c>
      <c r="U14" s="53">
        <f>'Baseline System Analysis'!U14</f>
        <v>211125.2902170599</v>
      </c>
      <c r="V14" s="53">
        <f>'Baseline System Analysis'!V14</f>
        <v>212613.854578328</v>
      </c>
      <c r="W14" s="53">
        <f>'Baseline System Analysis'!W14</f>
        <v>214101.90769825791</v>
      </c>
      <c r="X14" s="53">
        <f>'Baseline System Analysis'!X14</f>
        <v>215599.50398982322</v>
      </c>
      <c r="Y14" s="53">
        <f>'Baseline System Analysis'!Y14</f>
        <v>216849.14823265999</v>
      </c>
      <c r="Z14" s="53">
        <f>'Baseline System Analysis'!Z14</f>
        <v>218069.3108916957</v>
      </c>
      <c r="AA14" s="53">
        <f>'Baseline System Analysis'!AA14</f>
        <v>219248.74465750376</v>
      </c>
      <c r="AB14" s="53">
        <f>'Baseline System Analysis'!AB14</f>
        <v>220395.79980526475</v>
      </c>
      <c r="AC14" s="53">
        <f>'Baseline System Analysis'!AC14</f>
        <v>221214.46760051764</v>
      </c>
      <c r="AD14" s="53">
        <f>'Baseline System Analysis'!AD14</f>
        <v>221946.05395460132</v>
      </c>
    </row>
    <row r="15" spans="1:30" x14ac:dyDescent="0.35">
      <c r="A15" s="72" t="s">
        <v>30</v>
      </c>
      <c r="B15" s="180"/>
      <c r="C15" s="72" t="s">
        <v>110</v>
      </c>
      <c r="D15" s="53">
        <f>'Baseline System Analysis'!D15</f>
        <v>57814.1637958055</v>
      </c>
      <c r="E15" s="53">
        <f>'Baseline System Analysis'!E15</f>
        <v>62191.746894023359</v>
      </c>
      <c r="F15" s="53">
        <f>'Baseline System Analysis'!F15</f>
        <v>64361.105239567863</v>
      </c>
      <c r="G15" s="53">
        <f>'Baseline System Analysis'!G15</f>
        <v>66628.501001105484</v>
      </c>
      <c r="H15" s="53">
        <f>'Baseline System Analysis'!H15</f>
        <v>69068.22672153436</v>
      </c>
      <c r="I15" s="53">
        <f>'Baseline System Analysis'!I15</f>
        <v>71918.961016641551</v>
      </c>
      <c r="J15" s="53">
        <f>'Baseline System Analysis'!J15</f>
        <v>74820.679205256296</v>
      </c>
      <c r="K15" s="53">
        <f>'Baseline System Analysis'!K15</f>
        <v>72899.28225345345</v>
      </c>
      <c r="L15" s="53">
        <f>'Baseline System Analysis'!L15</f>
        <v>71006.352594376862</v>
      </c>
      <c r="M15" s="53">
        <f>'Baseline System Analysis'!M15</f>
        <v>69131.616141376318</v>
      </c>
      <c r="N15" s="53">
        <f>'Baseline System Analysis'!N15</f>
        <v>72143.764963991809</v>
      </c>
      <c r="O15" s="53">
        <f>'Baseline System Analysis'!O15</f>
        <v>75301.925896232133</v>
      </c>
      <c r="P15" s="53">
        <f>'Baseline System Analysis'!P15</f>
        <v>78629.627518656707</v>
      </c>
      <c r="Q15" s="53">
        <f>'Baseline System Analysis'!Q15</f>
        <v>81951.057574073071</v>
      </c>
      <c r="R15" s="53">
        <f>'Baseline System Analysis'!R15</f>
        <v>85383.424638269789</v>
      </c>
      <c r="S15" s="53">
        <f>'Baseline System Analysis'!S15</f>
        <v>88945.971119594135</v>
      </c>
      <c r="T15" s="53">
        <f>'Baseline System Analysis'!T15</f>
        <v>92676.895920951385</v>
      </c>
      <c r="U15" s="53">
        <f>'Baseline System Analysis'!U15</f>
        <v>96145.729908431153</v>
      </c>
      <c r="V15" s="53">
        <f>'Baseline System Analysis'!V15</f>
        <v>99700.858162341799</v>
      </c>
      <c r="W15" s="53">
        <f>'Baseline System Analysis'!W15</f>
        <v>103340.20977892888</v>
      </c>
      <c r="X15" s="53">
        <f>'Baseline System Analysis'!X15</f>
        <v>107065.51818072386</v>
      </c>
      <c r="Y15" s="53">
        <f>'Baseline System Analysis'!Y15</f>
        <v>110237.64392344528</v>
      </c>
      <c r="Z15" s="53">
        <f>'Baseline System Analysis'!Z15</f>
        <v>113355.67104643886</v>
      </c>
      <c r="AA15" s="53">
        <f>'Baseline System Analysis'!AA15</f>
        <v>116394.79841235251</v>
      </c>
      <c r="AB15" s="53">
        <f>'Baseline System Analysis'!AB15</f>
        <v>119393.94598127359</v>
      </c>
      <c r="AC15" s="53">
        <f>'Baseline System Analysis'!AC15</f>
        <v>121552.79504833522</v>
      </c>
      <c r="AD15" s="53">
        <f>'Baseline System Analysis'!AD15</f>
        <v>123501.36707164065</v>
      </c>
    </row>
    <row r="17" spans="1:30" ht="20" thickBot="1" x14ac:dyDescent="0.5">
      <c r="A17" s="113"/>
      <c r="B17" s="122"/>
      <c r="C17" s="113" t="s">
        <v>105</v>
      </c>
      <c r="D17" s="113">
        <v>2022</v>
      </c>
      <c r="E17" s="113">
        <v>2023</v>
      </c>
      <c r="F17" s="113">
        <v>2024</v>
      </c>
      <c r="G17" s="113">
        <v>2025</v>
      </c>
      <c r="H17" s="113">
        <v>2026</v>
      </c>
      <c r="I17" s="113">
        <v>2027</v>
      </c>
      <c r="J17" s="113">
        <v>2028</v>
      </c>
      <c r="K17" s="113">
        <v>2029</v>
      </c>
      <c r="L17" s="113">
        <v>2030</v>
      </c>
      <c r="M17" s="113">
        <v>2031</v>
      </c>
      <c r="N17" s="113">
        <v>2032</v>
      </c>
      <c r="O17" s="113">
        <v>2033</v>
      </c>
      <c r="P17" s="113">
        <v>2034</v>
      </c>
      <c r="Q17" s="113">
        <v>2035</v>
      </c>
      <c r="R17" s="113">
        <v>2036</v>
      </c>
      <c r="S17" s="113">
        <v>2037</v>
      </c>
      <c r="T17" s="113">
        <v>2038</v>
      </c>
      <c r="U17" s="113">
        <v>2039</v>
      </c>
      <c r="V17" s="113">
        <v>2040</v>
      </c>
      <c r="W17" s="113">
        <v>2041</v>
      </c>
      <c r="X17" s="113">
        <v>2042</v>
      </c>
      <c r="Y17" s="113">
        <v>2043</v>
      </c>
      <c r="Z17" s="113">
        <v>2044</v>
      </c>
      <c r="AA17" s="113">
        <v>2045</v>
      </c>
      <c r="AB17" s="113">
        <v>2046</v>
      </c>
      <c r="AC17" s="113">
        <v>2047</v>
      </c>
      <c r="AD17" s="113">
        <v>2048</v>
      </c>
    </row>
    <row r="18" spans="1:30" ht="15" thickTop="1" x14ac:dyDescent="0.35">
      <c r="A18" s="72"/>
      <c r="B18" s="179" t="s">
        <v>10</v>
      </c>
      <c r="C18" s="72" t="s">
        <v>107</v>
      </c>
      <c r="D18" s="53">
        <v>48453.299999999697</v>
      </c>
      <c r="E18" s="53">
        <v>48868.542307692027</v>
      </c>
      <c r="F18" s="53">
        <v>49283.784615384357</v>
      </c>
      <c r="G18" s="53">
        <v>49699.026923076686</v>
      </c>
      <c r="H18" s="53">
        <v>50114.269230769016</v>
      </c>
      <c r="I18" s="53">
        <v>50529.511538461345</v>
      </c>
      <c r="J18" s="53">
        <v>50805.914423076749</v>
      </c>
      <c r="K18" s="53">
        <v>50242.599999999642</v>
      </c>
      <c r="L18" s="53">
        <v>50024.199999999473</v>
      </c>
      <c r="M18" s="53">
        <v>49809.374999999534</v>
      </c>
      <c r="N18" s="53">
        <v>50154.999999999709</v>
      </c>
      <c r="O18" s="53">
        <v>50497.79843749974</v>
      </c>
      <c r="P18" s="53">
        <v>50840.59687499977</v>
      </c>
      <c r="Q18" s="53">
        <v>51183.395312499801</v>
      </c>
      <c r="R18" s="53">
        <v>51526.193749999831</v>
      </c>
      <c r="S18" s="53">
        <v>51868.992187499862</v>
      </c>
      <c r="T18" s="53">
        <v>52211.790624999892</v>
      </c>
      <c r="U18" s="53">
        <v>52554.589062499923</v>
      </c>
      <c r="V18" s="53">
        <v>52897.387499999953</v>
      </c>
      <c r="W18" s="53">
        <v>53240.185937499984</v>
      </c>
      <c r="X18" s="53">
        <v>53582.984375000015</v>
      </c>
      <c r="Y18" s="53">
        <v>53925.782812500045</v>
      </c>
      <c r="Z18" s="53">
        <v>54268.581250000076</v>
      </c>
      <c r="AA18" s="53">
        <v>54611.379687500106</v>
      </c>
      <c r="AB18" s="53">
        <v>54954.178125000137</v>
      </c>
      <c r="AC18" s="53">
        <v>55296.976562500167</v>
      </c>
      <c r="AD18" s="53">
        <v>55639.775000000198</v>
      </c>
    </row>
    <row r="19" spans="1:30" x14ac:dyDescent="0.35">
      <c r="A19" s="72" t="s">
        <v>30</v>
      </c>
      <c r="B19" s="180"/>
      <c r="C19" s="72" t="s">
        <v>31</v>
      </c>
      <c r="D19" s="53">
        <v>0</v>
      </c>
      <c r="E19" s="53">
        <v>0</v>
      </c>
      <c r="F19" s="53">
        <v>0</v>
      </c>
      <c r="G19" s="53">
        <v>0</v>
      </c>
      <c r="H19" s="53">
        <v>0</v>
      </c>
      <c r="I19" s="53">
        <v>0</v>
      </c>
      <c r="J19" s="53">
        <v>29.400000000000006</v>
      </c>
      <c r="K19" s="53">
        <v>22.700000000000017</v>
      </c>
      <c r="L19" s="53">
        <v>17.299999999999983</v>
      </c>
      <c r="M19" s="53">
        <v>15.000000000000028</v>
      </c>
      <c r="N19" s="53">
        <v>20.500000000000028</v>
      </c>
      <c r="O19" s="53">
        <v>26.599999999999966</v>
      </c>
      <c r="P19" s="53">
        <v>44.466666666666683</v>
      </c>
      <c r="Q19" s="53">
        <v>56.45000000000001</v>
      </c>
      <c r="R19" s="53">
        <v>68.433333333333337</v>
      </c>
      <c r="S19" s="53">
        <v>80.416666666666657</v>
      </c>
      <c r="T19" s="72">
        <v>92.399999999999977</v>
      </c>
      <c r="U19" s="53">
        <v>133.26</v>
      </c>
      <c r="V19" s="53">
        <v>174.12</v>
      </c>
      <c r="W19" s="53">
        <v>214.98000000000002</v>
      </c>
      <c r="X19" s="53">
        <v>255.84000000000003</v>
      </c>
      <c r="Y19" s="53">
        <v>296.7000000000001</v>
      </c>
      <c r="Z19" s="53">
        <v>347.96000000000009</v>
      </c>
      <c r="AA19" s="53">
        <v>399.22000000000008</v>
      </c>
      <c r="AB19" s="53">
        <v>450.48000000000008</v>
      </c>
      <c r="AC19" s="53">
        <v>501.74000000000007</v>
      </c>
      <c r="AD19" s="53">
        <v>553</v>
      </c>
    </row>
    <row r="20" spans="1:30" x14ac:dyDescent="0.35">
      <c r="A20" s="72" t="s">
        <v>30</v>
      </c>
      <c r="B20" s="180"/>
      <c r="C20" s="72" t="s">
        <v>32</v>
      </c>
      <c r="D20" s="53">
        <v>0</v>
      </c>
      <c r="E20" s="53">
        <v>0</v>
      </c>
      <c r="F20" s="53">
        <v>0</v>
      </c>
      <c r="G20" s="53">
        <v>0</v>
      </c>
      <c r="H20" s="53">
        <v>0</v>
      </c>
      <c r="I20" s="53">
        <v>0</v>
      </c>
      <c r="J20" s="53">
        <v>10</v>
      </c>
      <c r="K20" s="53">
        <v>8.8000000000000114</v>
      </c>
      <c r="L20" s="53">
        <v>7.1999999999999886</v>
      </c>
      <c r="M20" s="53">
        <v>5.5</v>
      </c>
      <c r="N20" s="53">
        <v>8.3000000000000114</v>
      </c>
      <c r="O20" s="53">
        <v>10.5</v>
      </c>
      <c r="P20" s="53">
        <v>12.233333333333348</v>
      </c>
      <c r="Q20" s="53">
        <v>14.200000000000017</v>
      </c>
      <c r="R20" s="53">
        <v>16.166666666666686</v>
      </c>
      <c r="S20" s="53">
        <v>18.133333333333354</v>
      </c>
      <c r="T20" s="53">
        <v>20.100000000000023</v>
      </c>
      <c r="U20" s="53">
        <v>22.940000000000008</v>
      </c>
      <c r="V20" s="53">
        <v>25.779999999999994</v>
      </c>
      <c r="W20" s="53">
        <v>28.61999999999998</v>
      </c>
      <c r="X20" s="53">
        <v>31.459999999999965</v>
      </c>
      <c r="Y20" s="53">
        <v>34.299999999999955</v>
      </c>
      <c r="Z20" s="53">
        <v>47.879999999999974</v>
      </c>
      <c r="AA20" s="53">
        <v>61.459999999999994</v>
      </c>
      <c r="AB20" s="53">
        <v>75.040000000000006</v>
      </c>
      <c r="AC20" s="53">
        <v>88.620000000000019</v>
      </c>
      <c r="AD20" s="53">
        <v>102.20000000000005</v>
      </c>
    </row>
    <row r="21" spans="1:30" x14ac:dyDescent="0.35">
      <c r="A21" s="72" t="s">
        <v>30</v>
      </c>
      <c r="B21" s="180"/>
      <c r="C21" s="72" t="s">
        <v>33</v>
      </c>
      <c r="D21" s="53">
        <v>0</v>
      </c>
      <c r="E21" s="53">
        <v>0</v>
      </c>
      <c r="F21" s="53">
        <v>0</v>
      </c>
      <c r="G21" s="53">
        <v>0</v>
      </c>
      <c r="H21" s="53">
        <v>0</v>
      </c>
      <c r="I21" s="53">
        <v>0</v>
      </c>
      <c r="J21" s="53">
        <v>0.15145853601155324</v>
      </c>
      <c r="K21" s="53">
        <v>9.3553980067000275E-2</v>
      </c>
      <c r="L21" s="53">
        <v>7.1298848244894353E-2</v>
      </c>
      <c r="M21" s="53">
        <v>6.1819810616960603E-2</v>
      </c>
      <c r="N21" s="53">
        <v>8.4487074509846119E-2</v>
      </c>
      <c r="O21" s="53">
        <v>0.13703391353426222</v>
      </c>
      <c r="P21" s="53">
        <v>0.36345057084668292</v>
      </c>
      <c r="Q21" s="53">
        <v>0.50293231901510138</v>
      </c>
      <c r="R21" s="53">
        <v>0.64241406718351979</v>
      </c>
      <c r="S21" s="53">
        <v>0.78189581535193819</v>
      </c>
      <c r="T21" s="53">
        <v>0.9213775635203566</v>
      </c>
      <c r="U21" s="53">
        <v>1.9585561913948815</v>
      </c>
      <c r="V21" s="53">
        <v>2.9957348192694067</v>
      </c>
      <c r="W21" s="53">
        <v>4.0329134471439314</v>
      </c>
      <c r="X21" s="53">
        <v>5.0700920750184562</v>
      </c>
      <c r="Y21" s="53">
        <v>6.1072707028929809</v>
      </c>
      <c r="Z21" s="53">
        <v>5.9305988159452712</v>
      </c>
      <c r="AA21" s="53">
        <v>5.7539269289975614</v>
      </c>
      <c r="AB21" s="53">
        <v>5.5772550420498517</v>
      </c>
      <c r="AC21" s="53">
        <v>5.4005831551021419</v>
      </c>
      <c r="AD21" s="53">
        <v>5.2239112681544304</v>
      </c>
    </row>
    <row r="22" spans="1:30" x14ac:dyDescent="0.35">
      <c r="A22" s="72" t="s">
        <v>30</v>
      </c>
      <c r="B22" s="180"/>
      <c r="C22" s="72" t="s">
        <v>34</v>
      </c>
      <c r="D22" s="53">
        <v>0</v>
      </c>
      <c r="E22" s="53">
        <v>0</v>
      </c>
      <c r="F22" s="53">
        <v>0</v>
      </c>
      <c r="G22" s="53">
        <v>0</v>
      </c>
      <c r="H22" s="53">
        <v>0</v>
      </c>
      <c r="I22" s="53">
        <v>0</v>
      </c>
      <c r="J22" s="53">
        <v>3.0291707202310645E-2</v>
      </c>
      <c r="K22" s="53">
        <v>2.3388495016750069E-2</v>
      </c>
      <c r="L22" s="53">
        <v>1.7824712061223588E-2</v>
      </c>
      <c r="M22" s="53">
        <v>1.5454952654240151E-2</v>
      </c>
      <c r="N22" s="53">
        <v>2.112176862746153E-2</v>
      </c>
      <c r="O22" s="53">
        <v>2.7406782706852446E-2</v>
      </c>
      <c r="P22" s="53">
        <v>4.5790390744491677E-2</v>
      </c>
      <c r="Q22" s="53">
        <v>5.8124701803006752E-2</v>
      </c>
      <c r="R22" s="53">
        <v>7.0459012861521828E-2</v>
      </c>
      <c r="S22" s="53">
        <v>8.2793323920036896E-2</v>
      </c>
      <c r="T22" s="53">
        <v>9.5127634978551964E-2</v>
      </c>
      <c r="U22" s="53">
        <v>0.13661362706584096</v>
      </c>
      <c r="V22" s="53">
        <v>0.17809961915312994</v>
      </c>
      <c r="W22" s="53">
        <v>0.21958561124041892</v>
      </c>
      <c r="X22" s="53">
        <v>0.2610716033277079</v>
      </c>
      <c r="Y22" s="53">
        <v>0.30255759541499694</v>
      </c>
      <c r="Z22" s="53">
        <v>0.34652430169508619</v>
      </c>
      <c r="AA22" s="53">
        <v>0.39049100797517544</v>
      </c>
      <c r="AB22" s="53">
        <v>0.43445771425526469</v>
      </c>
      <c r="AC22" s="53">
        <v>0.47842442053535394</v>
      </c>
      <c r="AD22" s="53">
        <v>0.52239112681544309</v>
      </c>
    </row>
    <row r="23" spans="1:30" x14ac:dyDescent="0.35">
      <c r="A23" s="72" t="s">
        <v>30</v>
      </c>
      <c r="B23" s="180"/>
      <c r="C23" s="72" t="s">
        <v>35</v>
      </c>
      <c r="D23" s="53">
        <v>0</v>
      </c>
      <c r="E23" s="53">
        <v>0</v>
      </c>
      <c r="F23" s="53">
        <v>0</v>
      </c>
      <c r="G23" s="53">
        <v>0</v>
      </c>
      <c r="H23" s="53">
        <v>0</v>
      </c>
      <c r="I23" s="53">
        <v>0</v>
      </c>
      <c r="J23" s="53">
        <v>5</v>
      </c>
      <c r="K23" s="53">
        <v>4</v>
      </c>
      <c r="L23" s="53">
        <v>4</v>
      </c>
      <c r="M23" s="53">
        <v>4</v>
      </c>
      <c r="N23" s="53">
        <v>4</v>
      </c>
      <c r="O23" s="53">
        <v>5</v>
      </c>
      <c r="P23" s="53">
        <v>6</v>
      </c>
      <c r="Q23" s="53">
        <v>7</v>
      </c>
      <c r="R23" s="53">
        <v>8</v>
      </c>
      <c r="S23" s="53">
        <v>9</v>
      </c>
      <c r="T23" s="53">
        <v>10</v>
      </c>
      <c r="U23" s="53">
        <v>12.8</v>
      </c>
      <c r="V23" s="53">
        <v>15.600000000000001</v>
      </c>
      <c r="W23" s="53">
        <v>18.400000000000002</v>
      </c>
      <c r="X23" s="53">
        <v>21.200000000000003</v>
      </c>
      <c r="Y23" s="53">
        <v>24</v>
      </c>
      <c r="Z23" s="53">
        <v>21.2</v>
      </c>
      <c r="AA23" s="53">
        <v>18.399999999999999</v>
      </c>
      <c r="AB23" s="53">
        <v>15.599999999999998</v>
      </c>
      <c r="AC23" s="53">
        <v>12.799999999999997</v>
      </c>
      <c r="AD23" s="53">
        <v>10</v>
      </c>
    </row>
    <row r="24" spans="1:30" x14ac:dyDescent="0.35">
      <c r="A24" s="72" t="s">
        <v>30</v>
      </c>
      <c r="B24" s="180"/>
      <c r="C24" s="72" t="s">
        <v>108</v>
      </c>
      <c r="D24" s="53">
        <v>2180.0835094911145</v>
      </c>
      <c r="E24" s="53">
        <v>2898.8486978724959</v>
      </c>
      <c r="F24" s="53">
        <v>3617.6138862538755</v>
      </c>
      <c r="G24" s="53">
        <v>4336.3790746352552</v>
      </c>
      <c r="H24" s="53">
        <v>5055.1442630166348</v>
      </c>
      <c r="I24" s="53">
        <v>5773.9094513980144</v>
      </c>
      <c r="J24" s="53">
        <v>6492.6746397793941</v>
      </c>
      <c r="K24" s="53">
        <v>6092.5266824434721</v>
      </c>
      <c r="L24" s="53">
        <v>5692.3787251075501</v>
      </c>
      <c r="M24" s="53">
        <v>5292.230767771629</v>
      </c>
      <c r="N24" s="53">
        <v>5708</v>
      </c>
      <c r="O24" s="53">
        <v>5964.2406488301704</v>
      </c>
      <c r="P24" s="53">
        <v>6199.1640251337249</v>
      </c>
      <c r="Q24" s="53">
        <v>6534.0874014372748</v>
      </c>
      <c r="R24" s="53">
        <v>6869.0107777408248</v>
      </c>
      <c r="S24" s="53">
        <v>7203.9341540443738</v>
      </c>
      <c r="T24" s="53">
        <v>7538.8575303479229</v>
      </c>
      <c r="U24" s="53">
        <v>7873.7809066514719</v>
      </c>
      <c r="V24" s="53">
        <v>8208.704282955021</v>
      </c>
      <c r="W24" s="53">
        <v>8543.6276592585709</v>
      </c>
      <c r="X24" s="53">
        <v>8878.5510355621209</v>
      </c>
      <c r="Y24" s="53">
        <v>9213.4744118656708</v>
      </c>
      <c r="Z24" s="53">
        <v>9548.3977881692208</v>
      </c>
      <c r="AA24" s="53">
        <v>9883.3211644727708</v>
      </c>
      <c r="AB24" s="53">
        <v>10218.244540776321</v>
      </c>
      <c r="AC24" s="53">
        <v>10553.167917079871</v>
      </c>
      <c r="AD24" s="53">
        <v>10888.091293383415</v>
      </c>
    </row>
    <row r="25" spans="1:30" x14ac:dyDescent="0.35">
      <c r="A25" s="72" t="s">
        <v>30</v>
      </c>
      <c r="B25" s="180"/>
      <c r="C25" s="72" t="s">
        <v>109</v>
      </c>
      <c r="D25" s="53">
        <v>139482.7176383771</v>
      </c>
      <c r="E25" s="53">
        <v>141661.14336779693</v>
      </c>
      <c r="F25" s="53">
        <v>142695.40706538153</v>
      </c>
      <c r="G25" s="53">
        <v>143758.27872195328</v>
      </c>
      <c r="H25" s="53">
        <v>144876.02138182765</v>
      </c>
      <c r="I25" s="53">
        <v>146157.59541338737</v>
      </c>
      <c r="J25" s="53">
        <v>147438.85678965753</v>
      </c>
      <c r="K25" s="53">
        <v>146594.21852513967</v>
      </c>
      <c r="L25" s="53">
        <v>145749.58026062197</v>
      </c>
      <c r="M25" s="53">
        <v>144904.78566845937</v>
      </c>
      <c r="N25" s="53">
        <v>146257.95776130899</v>
      </c>
      <c r="O25" s="53">
        <v>147648.49216125079</v>
      </c>
      <c r="P25" s="53">
        <v>149079.35909353488</v>
      </c>
      <c r="Q25" s="53">
        <v>150483.80665385842</v>
      </c>
      <c r="R25" s="53">
        <v>151918.73810490582</v>
      </c>
      <c r="S25" s="53">
        <v>153379.61994497949</v>
      </c>
      <c r="T25" s="53">
        <v>154874.58121160616</v>
      </c>
      <c r="U25" s="53">
        <v>156234.00641024526</v>
      </c>
      <c r="V25" s="53">
        <v>157599.52838702893</v>
      </c>
      <c r="W25" s="53">
        <v>158964.58138087852</v>
      </c>
      <c r="X25" s="53">
        <v>160338.38872283365</v>
      </c>
      <c r="Y25" s="53">
        <v>161484.73934169515</v>
      </c>
      <c r="Z25" s="53">
        <v>162604.04527801697</v>
      </c>
      <c r="AA25" s="53">
        <v>163685.98890724668</v>
      </c>
      <c r="AB25" s="53">
        <v>164738.23028397604</v>
      </c>
      <c r="AC25" s="53">
        <v>165489.22828929589</v>
      </c>
      <c r="AD25" s="53">
        <v>166160.34286815481</v>
      </c>
    </row>
    <row r="26" spans="1:30" s="66" customFormat="1" x14ac:dyDescent="0.35">
      <c r="A26" s="72" t="s">
        <v>30</v>
      </c>
      <c r="B26" s="180"/>
      <c r="C26" s="72" t="s">
        <v>110</v>
      </c>
      <c r="D26" s="53">
        <v>18207.45837078293</v>
      </c>
      <c r="E26" s="53">
        <v>20177.950616985388</v>
      </c>
      <c r="F26" s="53">
        <v>21154.993711216051</v>
      </c>
      <c r="G26" s="53">
        <v>22187.832631266032</v>
      </c>
      <c r="H26" s="53">
        <v>23306.005690388429</v>
      </c>
      <c r="I26" s="53">
        <v>24628.612492788106</v>
      </c>
      <c r="J26" s="53">
        <v>25977.650956417809</v>
      </c>
      <c r="K26" s="53">
        <v>25085.810063954392</v>
      </c>
      <c r="L26" s="53">
        <v>24204.489861008627</v>
      </c>
      <c r="M26" s="53">
        <v>23335.340161032243</v>
      </c>
      <c r="N26" s="53">
        <v>24733.510551361524</v>
      </c>
      <c r="O26" s="53">
        <v>26201.796710866343</v>
      </c>
      <c r="P26" s="53">
        <v>27781.687820529092</v>
      </c>
      <c r="Q26" s="53">
        <v>29389.982983287126</v>
      </c>
      <c r="R26" s="53">
        <v>31072.602032142451</v>
      </c>
      <c r="S26" s="53">
        <v>32829.550188464484</v>
      </c>
      <c r="T26" s="53">
        <v>34677.1444215218</v>
      </c>
      <c r="U26" s="53">
        <v>36397.490104234537</v>
      </c>
      <c r="V26" s="53">
        <v>38187.067989154704</v>
      </c>
      <c r="W26" s="53">
        <v>40009.794489004787</v>
      </c>
      <c r="X26" s="53">
        <v>41888.712992425964</v>
      </c>
      <c r="Y26" s="53">
        <v>43498.524296101954</v>
      </c>
      <c r="Z26" s="53">
        <v>45101.384128740588</v>
      </c>
      <c r="AA26" s="53">
        <v>46679.963061406648</v>
      </c>
      <c r="AB26" s="53">
        <v>48252.211810520981</v>
      </c>
      <c r="AC26" s="53">
        <v>49385.597839918199</v>
      </c>
      <c r="AD26" s="53">
        <v>50403.891745360757</v>
      </c>
    </row>
    <row r="27" spans="1:30" x14ac:dyDescent="0.35">
      <c r="A27" s="72" t="s">
        <v>39</v>
      </c>
      <c r="B27" s="180"/>
      <c r="C27" s="72" t="s">
        <v>31</v>
      </c>
      <c r="D27" s="53">
        <v>0</v>
      </c>
      <c r="E27" s="53">
        <v>0</v>
      </c>
      <c r="F27" s="53">
        <v>0</v>
      </c>
      <c r="G27" s="53">
        <v>0</v>
      </c>
      <c r="H27" s="53">
        <v>0</v>
      </c>
      <c r="I27" s="53">
        <v>0</v>
      </c>
      <c r="J27" s="53">
        <v>0</v>
      </c>
      <c r="K27" s="53">
        <v>0</v>
      </c>
      <c r="L27" s="53">
        <v>0</v>
      </c>
      <c r="M27" s="53">
        <v>0</v>
      </c>
      <c r="N27" s="53">
        <v>0</v>
      </c>
      <c r="O27" s="53">
        <v>0</v>
      </c>
      <c r="P27" s="53">
        <v>0</v>
      </c>
      <c r="Q27" s="53">
        <v>0</v>
      </c>
      <c r="R27" s="53">
        <v>19.466666666666697</v>
      </c>
      <c r="S27" s="53">
        <v>38.933333333333394</v>
      </c>
      <c r="T27" s="53">
        <v>58.400000000000091</v>
      </c>
      <c r="U27" s="53">
        <v>101.24000000000009</v>
      </c>
      <c r="V27" s="53">
        <v>144.0800000000001</v>
      </c>
      <c r="W27" s="53">
        <v>186.9200000000001</v>
      </c>
      <c r="X27" s="53">
        <v>229.7600000000001</v>
      </c>
      <c r="Y27" s="53">
        <v>272.60000000000014</v>
      </c>
      <c r="Z27" s="53">
        <v>323.24000000000018</v>
      </c>
      <c r="AA27" s="53">
        <v>373.88000000000022</v>
      </c>
      <c r="AB27" s="53">
        <v>424.52000000000027</v>
      </c>
      <c r="AC27" s="53">
        <v>475.16000000000031</v>
      </c>
      <c r="AD27" s="53">
        <v>525.80000000000041</v>
      </c>
    </row>
    <row r="28" spans="1:30" x14ac:dyDescent="0.35">
      <c r="A28" s="72" t="s">
        <v>39</v>
      </c>
      <c r="B28" s="180"/>
      <c r="C28" s="72" t="s">
        <v>32</v>
      </c>
      <c r="D28" s="53">
        <v>0</v>
      </c>
      <c r="E28" s="53">
        <v>0</v>
      </c>
      <c r="F28" s="53">
        <v>0</v>
      </c>
      <c r="G28" s="53">
        <v>0</v>
      </c>
      <c r="H28" s="53">
        <v>0</v>
      </c>
      <c r="I28" s="53">
        <v>0</v>
      </c>
      <c r="J28" s="53">
        <v>0</v>
      </c>
      <c r="K28" s="53">
        <v>0</v>
      </c>
      <c r="L28" s="53">
        <v>0</v>
      </c>
      <c r="M28" s="53">
        <v>0</v>
      </c>
      <c r="N28" s="53">
        <v>0</v>
      </c>
      <c r="O28" s="53">
        <v>0</v>
      </c>
      <c r="P28" s="53">
        <v>0</v>
      </c>
      <c r="Q28" s="53">
        <v>0</v>
      </c>
      <c r="R28" s="53">
        <v>8.1333333333333631</v>
      </c>
      <c r="S28" s="53">
        <v>16.266666666666726</v>
      </c>
      <c r="T28" s="53">
        <v>24.400000000000091</v>
      </c>
      <c r="U28" s="53">
        <v>33.240000000000052</v>
      </c>
      <c r="V28" s="53">
        <v>42.080000000000013</v>
      </c>
      <c r="W28" s="53">
        <v>50.919999999999973</v>
      </c>
      <c r="X28" s="53">
        <v>59.759999999999934</v>
      </c>
      <c r="Y28" s="53">
        <v>68.599999999999909</v>
      </c>
      <c r="Z28" s="53">
        <v>91.719999999999942</v>
      </c>
      <c r="AA28" s="53">
        <v>114.83999999999997</v>
      </c>
      <c r="AB28" s="53">
        <v>137.96</v>
      </c>
      <c r="AC28" s="53">
        <v>161.08000000000004</v>
      </c>
      <c r="AD28" s="53">
        <v>184.20000000000005</v>
      </c>
    </row>
    <row r="29" spans="1:30" x14ac:dyDescent="0.35">
      <c r="A29" s="72" t="s">
        <v>39</v>
      </c>
      <c r="B29" s="180"/>
      <c r="C29" s="72" t="s">
        <v>33</v>
      </c>
      <c r="D29" s="53">
        <v>0</v>
      </c>
      <c r="E29" s="53">
        <v>0</v>
      </c>
      <c r="F29" s="53">
        <v>0</v>
      </c>
      <c r="G29" s="53">
        <v>0</v>
      </c>
      <c r="H29" s="53">
        <v>0</v>
      </c>
      <c r="I29" s="53">
        <v>0</v>
      </c>
      <c r="J29" s="53">
        <v>0</v>
      </c>
      <c r="K29" s="53">
        <v>0</v>
      </c>
      <c r="L29" s="53">
        <v>0</v>
      </c>
      <c r="M29" s="53">
        <v>0</v>
      </c>
      <c r="N29" s="53">
        <v>0</v>
      </c>
      <c r="O29" s="53">
        <v>0</v>
      </c>
      <c r="P29" s="53">
        <v>0</v>
      </c>
      <c r="Q29" s="53">
        <v>0</v>
      </c>
      <c r="R29" s="53">
        <v>7.736184051229085E-2</v>
      </c>
      <c r="S29" s="53">
        <v>0.1547236810245817</v>
      </c>
      <c r="T29" s="53">
        <v>0.23208552153687256</v>
      </c>
      <c r="U29" s="53">
        <v>0.56483416397321362</v>
      </c>
      <c r="V29" s="53">
        <v>0.89758280640955468</v>
      </c>
      <c r="W29" s="53">
        <v>1.2303314488458956</v>
      </c>
      <c r="X29" s="53">
        <v>1.5630800912822367</v>
      </c>
      <c r="Y29" s="53">
        <v>1.8958287337185777</v>
      </c>
      <c r="Z29" s="53">
        <v>12.871367646823343</v>
      </c>
      <c r="AA29" s="53">
        <v>23.846906559928108</v>
      </c>
      <c r="AB29" s="53">
        <v>34.822445473032872</v>
      </c>
      <c r="AC29" s="53">
        <v>45.797984386137635</v>
      </c>
      <c r="AD29" s="53">
        <v>56.773523299242406</v>
      </c>
    </row>
    <row r="30" spans="1:30" x14ac:dyDescent="0.35">
      <c r="A30" s="72" t="s">
        <v>39</v>
      </c>
      <c r="B30" s="180"/>
      <c r="C30" s="72" t="s">
        <v>34</v>
      </c>
      <c r="D30" s="53">
        <v>0</v>
      </c>
      <c r="E30" s="53">
        <v>0</v>
      </c>
      <c r="F30" s="53">
        <v>0</v>
      </c>
      <c r="G30" s="53">
        <v>0</v>
      </c>
      <c r="H30" s="53">
        <v>0</v>
      </c>
      <c r="I30" s="53">
        <v>0</v>
      </c>
      <c r="J30" s="53">
        <v>0</v>
      </c>
      <c r="K30" s="53">
        <v>0</v>
      </c>
      <c r="L30" s="53">
        <v>0</v>
      </c>
      <c r="M30" s="53">
        <v>0</v>
      </c>
      <c r="N30" s="53">
        <v>0</v>
      </c>
      <c r="O30" s="53">
        <v>0</v>
      </c>
      <c r="P30" s="53">
        <v>0</v>
      </c>
      <c r="Q30" s="53">
        <v>0</v>
      </c>
      <c r="R30" s="53">
        <v>1.9340460128072712E-2</v>
      </c>
      <c r="S30" s="53">
        <v>3.8680920256145425E-2</v>
      </c>
      <c r="T30" s="53">
        <v>5.8021380384218141E-2</v>
      </c>
      <c r="U30" s="53">
        <v>0.10058363955647673</v>
      </c>
      <c r="V30" s="53">
        <v>0.14314589872873532</v>
      </c>
      <c r="W30" s="53">
        <v>0.1857081579009939</v>
      </c>
      <c r="X30" s="53">
        <v>0.22827041707325249</v>
      </c>
      <c r="Y30" s="53">
        <v>0.27083267624551111</v>
      </c>
      <c r="Z30" s="53">
        <v>0.59515629632469158</v>
      </c>
      <c r="AA30" s="53">
        <v>0.91947991640387206</v>
      </c>
      <c r="AB30" s="53">
        <v>1.2438035364830524</v>
      </c>
      <c r="AC30" s="53">
        <v>1.568127156562233</v>
      </c>
      <c r="AD30" s="53">
        <v>1.8924507766414136</v>
      </c>
    </row>
    <row r="31" spans="1:30" x14ac:dyDescent="0.35">
      <c r="A31" s="72" t="s">
        <v>39</v>
      </c>
      <c r="B31" s="180"/>
      <c r="C31" s="72" t="s">
        <v>35</v>
      </c>
      <c r="D31" s="53">
        <v>0</v>
      </c>
      <c r="E31" s="53">
        <v>0</v>
      </c>
      <c r="F31" s="53">
        <v>0</v>
      </c>
      <c r="G31" s="53">
        <v>0</v>
      </c>
      <c r="H31" s="53">
        <v>0</v>
      </c>
      <c r="I31" s="53">
        <v>0</v>
      </c>
      <c r="J31" s="53">
        <v>0</v>
      </c>
      <c r="K31" s="53">
        <v>0</v>
      </c>
      <c r="L31" s="53">
        <v>0</v>
      </c>
      <c r="M31" s="53">
        <v>0</v>
      </c>
      <c r="N31" s="53">
        <v>0</v>
      </c>
      <c r="O31" s="53">
        <v>0</v>
      </c>
      <c r="P31" s="53">
        <v>0</v>
      </c>
      <c r="Q31" s="53">
        <v>0</v>
      </c>
      <c r="R31" s="53">
        <v>1.3333333333333333</v>
      </c>
      <c r="S31" s="53">
        <v>2.6666666666666665</v>
      </c>
      <c r="T31" s="53">
        <v>4</v>
      </c>
      <c r="U31" s="53">
        <v>4.5999999999999996</v>
      </c>
      <c r="V31" s="53">
        <v>5.1999999999999993</v>
      </c>
      <c r="W31" s="53">
        <v>5.7999999999999989</v>
      </c>
      <c r="X31" s="53">
        <v>6.3999999999999986</v>
      </c>
      <c r="Y31" s="53">
        <v>7</v>
      </c>
      <c r="Z31" s="53">
        <v>11.6</v>
      </c>
      <c r="AA31" s="53">
        <v>16.2</v>
      </c>
      <c r="AB31" s="53">
        <v>20.799999999999997</v>
      </c>
      <c r="AC31" s="53">
        <v>25.4</v>
      </c>
      <c r="AD31" s="53">
        <v>30</v>
      </c>
    </row>
    <row r="32" spans="1:30" x14ac:dyDescent="0.35">
      <c r="A32" s="72" t="s">
        <v>130</v>
      </c>
      <c r="B32" s="72" t="s">
        <v>111</v>
      </c>
      <c r="C32" s="72" t="s">
        <v>131</v>
      </c>
      <c r="D32" s="53">
        <v>0</v>
      </c>
      <c r="E32" s="53">
        <v>0</v>
      </c>
      <c r="F32" s="53">
        <v>0</v>
      </c>
      <c r="G32" s="53">
        <v>0</v>
      </c>
      <c r="H32" s="53">
        <v>0</v>
      </c>
      <c r="I32" s="53">
        <v>0</v>
      </c>
      <c r="J32" s="53">
        <v>0</v>
      </c>
      <c r="K32" s="53">
        <v>0</v>
      </c>
      <c r="L32" s="53">
        <v>0</v>
      </c>
      <c r="M32" s="53">
        <v>0</v>
      </c>
      <c r="N32" s="53">
        <v>0</v>
      </c>
      <c r="O32" s="53">
        <v>0</v>
      </c>
      <c r="P32" s="53">
        <v>0</v>
      </c>
      <c r="Q32" s="53">
        <v>0</v>
      </c>
      <c r="R32" s="53">
        <v>85729.767727058235</v>
      </c>
      <c r="S32" s="53">
        <v>291859.81250352302</v>
      </c>
      <c r="T32" s="53">
        <v>525790.74571394967</v>
      </c>
      <c r="U32" s="53">
        <v>891961.62469705567</v>
      </c>
      <c r="V32" s="53">
        <v>1277735.2686571439</v>
      </c>
      <c r="W32" s="53">
        <v>1685681.2468664099</v>
      </c>
      <c r="X32" s="53">
        <v>1831570.6132291078</v>
      </c>
      <c r="Y32" s="53">
        <v>2374514.3750737491</v>
      </c>
      <c r="Z32" s="53">
        <v>2863457.2676556883</v>
      </c>
      <c r="AA32" s="53">
        <v>3462670.4987725569</v>
      </c>
      <c r="AB32" s="53">
        <v>3789427.1581071294</v>
      </c>
      <c r="AC32" s="53">
        <v>4289968.8625109857</v>
      </c>
      <c r="AD32" s="53">
        <v>4338577.7326684529</v>
      </c>
    </row>
    <row r="33" spans="1:30" x14ac:dyDescent="0.35">
      <c r="A33" s="72" t="s">
        <v>130</v>
      </c>
      <c r="B33" s="72" t="s">
        <v>132</v>
      </c>
      <c r="C33" s="72" t="s">
        <v>131</v>
      </c>
      <c r="D33" s="53">
        <v>0</v>
      </c>
      <c r="E33" s="53">
        <v>0</v>
      </c>
      <c r="F33" s="53">
        <v>0</v>
      </c>
      <c r="G33" s="53">
        <v>0</v>
      </c>
      <c r="H33" s="53">
        <v>0</v>
      </c>
      <c r="I33" s="53">
        <v>0</v>
      </c>
      <c r="J33" s="53">
        <v>0</v>
      </c>
      <c r="K33" s="53">
        <v>0</v>
      </c>
      <c r="L33" s="53">
        <v>0</v>
      </c>
      <c r="M33" s="53">
        <v>0</v>
      </c>
      <c r="N33" s="53">
        <v>0</v>
      </c>
      <c r="O33" s="53">
        <v>0</v>
      </c>
      <c r="P33" s="53">
        <v>0</v>
      </c>
      <c r="Q33" s="53">
        <v>0</v>
      </c>
      <c r="R33" s="53">
        <v>483083.34859558503</v>
      </c>
      <c r="S33" s="53">
        <v>1644616.7916092586</v>
      </c>
      <c r="T33" s="53">
        <v>2760667.1543926485</v>
      </c>
      <c r="U33" s="53">
        <v>4734841.1840579715</v>
      </c>
      <c r="V33" s="53">
        <v>6814756.3944055922</v>
      </c>
      <c r="W33" s="53">
        <v>8849543.1407922078</v>
      </c>
      <c r="X33" s="53">
        <v>8658777.630492324</v>
      </c>
      <c r="Y33" s="53">
        <v>11404951.564845031</v>
      </c>
      <c r="Z33" s="53">
        <v>13894061.476844057</v>
      </c>
      <c r="AA33" s="53">
        <v>16886443.899239667</v>
      </c>
      <c r="AB33" s="53">
        <v>17666725.914677925</v>
      </c>
      <c r="AC33" s="53">
        <v>20073873.153378159</v>
      </c>
      <c r="AD33" s="53">
        <v>19076098.258369543</v>
      </c>
    </row>
    <row r="34" spans="1:30" x14ac:dyDescent="0.35">
      <c r="A34" s="72" t="s">
        <v>133</v>
      </c>
      <c r="B34" s="72" t="s">
        <v>111</v>
      </c>
      <c r="C34" s="72" t="s">
        <v>131</v>
      </c>
      <c r="D34" s="53">
        <v>0</v>
      </c>
      <c r="E34" s="53">
        <v>0</v>
      </c>
      <c r="F34" s="53">
        <v>0</v>
      </c>
      <c r="G34" s="53">
        <v>0</v>
      </c>
      <c r="H34" s="53">
        <v>0</v>
      </c>
      <c r="I34" s="53">
        <v>0</v>
      </c>
      <c r="J34" s="53">
        <v>7462.6780833675439</v>
      </c>
      <c r="K34" s="53">
        <v>5906.0497382569529</v>
      </c>
      <c r="L34" s="53">
        <v>4613.6135235084248</v>
      </c>
      <c r="M34" s="53">
        <v>4100.2490129446369</v>
      </c>
      <c r="N34" s="53">
        <v>5743.7654922999427</v>
      </c>
      <c r="O34" s="53">
        <v>10222.715590200485</v>
      </c>
      <c r="P34" s="53">
        <v>14701.665688101028</v>
      </c>
      <c r="Q34" s="53">
        <v>19180.61578600157</v>
      </c>
      <c r="R34" s="53">
        <v>23659.565883902113</v>
      </c>
      <c r="S34" s="53">
        <v>28138.515981802655</v>
      </c>
      <c r="T34" s="53">
        <v>32617.466079703197</v>
      </c>
      <c r="U34" s="53">
        <v>56047.531645850693</v>
      </c>
      <c r="V34" s="53">
        <v>79477.597211998189</v>
      </c>
      <c r="W34" s="53">
        <v>102907.66277814569</v>
      </c>
      <c r="X34" s="53">
        <v>126337.72834429319</v>
      </c>
      <c r="Y34" s="53">
        <v>149767.79391044067</v>
      </c>
      <c r="Z34" s="53">
        <v>190109.23826649529</v>
      </c>
      <c r="AA34" s="53">
        <v>230450.68262254988</v>
      </c>
      <c r="AB34" s="53">
        <v>270792.12697860447</v>
      </c>
      <c r="AC34" s="53">
        <v>311133.57133465906</v>
      </c>
      <c r="AD34" s="53">
        <v>351475.01569071371</v>
      </c>
    </row>
    <row r="35" spans="1:30" x14ac:dyDescent="0.35">
      <c r="A35" s="72" t="s">
        <v>133</v>
      </c>
      <c r="B35" s="72" t="s">
        <v>132</v>
      </c>
      <c r="C35" s="72" t="s">
        <v>131</v>
      </c>
      <c r="D35" s="53">
        <v>0</v>
      </c>
      <c r="E35" s="53">
        <v>0</v>
      </c>
      <c r="F35" s="53">
        <v>0</v>
      </c>
      <c r="G35" s="53">
        <v>0</v>
      </c>
      <c r="H35" s="53">
        <v>0</v>
      </c>
      <c r="I35" s="53">
        <v>0</v>
      </c>
      <c r="J35" s="53">
        <v>30966.276952905089</v>
      </c>
      <c r="K35" s="53">
        <v>33256.824257296568</v>
      </c>
      <c r="L35" s="53">
        <v>35547.371561688051</v>
      </c>
      <c r="M35" s="53">
        <v>37837.918866079533</v>
      </c>
      <c r="N35" s="53">
        <v>23833.673515076553</v>
      </c>
      <c r="O35" s="53">
        <v>42419.013474862499</v>
      </c>
      <c r="P35" s="53">
        <v>61004.353434648438</v>
      </c>
      <c r="Q35" s="53">
        <v>79589.693394434376</v>
      </c>
      <c r="R35" s="53">
        <v>98175.033354220315</v>
      </c>
      <c r="S35" s="53">
        <v>116760.37331400625</v>
      </c>
      <c r="T35" s="53">
        <v>135345.71327379221</v>
      </c>
      <c r="U35" s="53">
        <v>232568.43831175158</v>
      </c>
      <c r="V35" s="53">
        <v>329791.16334971093</v>
      </c>
      <c r="W35" s="53">
        <v>427013.88838767027</v>
      </c>
      <c r="X35" s="53">
        <v>524236.61342562962</v>
      </c>
      <c r="Y35" s="53">
        <v>621459.33846358897</v>
      </c>
      <c r="Z35" s="53">
        <v>788855.5901381732</v>
      </c>
      <c r="AA35" s="53">
        <v>956251.84181275731</v>
      </c>
      <c r="AB35" s="53">
        <v>1123648.0934873414</v>
      </c>
      <c r="AC35" s="53">
        <v>1291044.3451619255</v>
      </c>
      <c r="AD35" s="53">
        <v>1458440.5968365099</v>
      </c>
    </row>
    <row r="36" spans="1:30" ht="29" x14ac:dyDescent="0.35">
      <c r="A36" s="3" t="s">
        <v>134</v>
      </c>
      <c r="B36" s="3" t="s">
        <v>135</v>
      </c>
      <c r="C36" s="72" t="s">
        <v>131</v>
      </c>
      <c r="D36" s="53">
        <v>5590035.466517698</v>
      </c>
      <c r="E36" s="53">
        <v>6282480.6096916981</v>
      </c>
      <c r="F36" s="53">
        <v>6730600.6141059883</v>
      </c>
      <c r="G36" s="53">
        <v>7226584.1579711037</v>
      </c>
      <c r="H36" s="53">
        <v>7694667.984208649</v>
      </c>
      <c r="I36" s="53">
        <v>8351447.6567266816</v>
      </c>
      <c r="J36" s="53">
        <v>9003229.9816356506</v>
      </c>
      <c r="K36" s="53">
        <v>8936987.4782962799</v>
      </c>
      <c r="L36" s="53">
        <v>8835154.9114916362</v>
      </c>
      <c r="M36" s="53">
        <v>8718533.6489231624</v>
      </c>
      <c r="N36" s="53">
        <v>9475291.7970275618</v>
      </c>
      <c r="O36" s="53">
        <v>10279986.070977347</v>
      </c>
      <c r="P36" s="53">
        <v>11008354.546351103</v>
      </c>
      <c r="Q36" s="53">
        <v>11873656.119361222</v>
      </c>
      <c r="R36" s="53">
        <v>12823609.057580048</v>
      </c>
      <c r="S36" s="53">
        <v>13920427.552808095</v>
      </c>
      <c r="T36" s="53">
        <v>14970916.767442213</v>
      </c>
      <c r="U36" s="53">
        <v>15974526.10488824</v>
      </c>
      <c r="V36" s="53">
        <v>17110540.997441038</v>
      </c>
      <c r="W36" s="53">
        <v>18367408.434508331</v>
      </c>
      <c r="X36" s="53">
        <v>19668025.454638418</v>
      </c>
      <c r="Y36" s="53">
        <v>20858191.367593877</v>
      </c>
      <c r="Z36" s="53">
        <v>22155954.97216282</v>
      </c>
      <c r="AA36" s="53">
        <v>23377469.95514302</v>
      </c>
      <c r="AB36" s="53">
        <v>24675632.674608726</v>
      </c>
      <c r="AC36" s="53">
        <v>25884999.883769874</v>
      </c>
      <c r="AD36" s="53">
        <v>27123865.268866636</v>
      </c>
    </row>
    <row r="38" spans="1:30" x14ac:dyDescent="0.35">
      <c r="A38" s="72"/>
      <c r="B38" s="72"/>
      <c r="C38" s="72" t="s">
        <v>136</v>
      </c>
      <c r="D38" s="53">
        <v>40</v>
      </c>
      <c r="E38" s="53">
        <v>41</v>
      </c>
      <c r="F38" s="53">
        <v>42.024999999999999</v>
      </c>
      <c r="G38" s="53">
        <v>43.075624999999995</v>
      </c>
      <c r="H38" s="53">
        <v>44.152515624999992</v>
      </c>
      <c r="I38" s="53">
        <v>45.256328515624986</v>
      </c>
      <c r="J38" s="53">
        <v>46.387736728515605</v>
      </c>
      <c r="K38" s="53">
        <v>47.547430146728495</v>
      </c>
      <c r="L38" s="53">
        <v>48.736115900396705</v>
      </c>
      <c r="M38" s="53">
        <v>49.954518797906616</v>
      </c>
      <c r="N38" s="53">
        <v>51.203381767854275</v>
      </c>
      <c r="O38" s="53">
        <v>52.483466312050624</v>
      </c>
      <c r="P38" s="53">
        <v>53.795552969851883</v>
      </c>
      <c r="Q38" s="53">
        <v>55.140441794098173</v>
      </c>
      <c r="R38" s="53">
        <v>56.518952838950625</v>
      </c>
      <c r="S38" s="53">
        <v>57.931926659924386</v>
      </c>
      <c r="T38" s="53">
        <v>59.380224826422491</v>
      </c>
      <c r="U38" s="53">
        <v>60.864730447083048</v>
      </c>
      <c r="V38" s="53">
        <v>62.386348708260115</v>
      </c>
      <c r="W38" s="53">
        <v>63.946007425966613</v>
      </c>
      <c r="X38" s="53">
        <v>65.544657611615776</v>
      </c>
      <c r="Y38" s="53">
        <v>67.183274051906167</v>
      </c>
      <c r="Z38" s="53">
        <v>68.862855903203823</v>
      </c>
      <c r="AA38" s="53">
        <v>70.584427300783915</v>
      </c>
      <c r="AB38" s="53">
        <v>72.349037983303504</v>
      </c>
      <c r="AC38" s="53">
        <v>74.157763932886084</v>
      </c>
      <c r="AD38" s="53">
        <v>76.011708031208229</v>
      </c>
    </row>
    <row r="39" spans="1:30" x14ac:dyDescent="0.35">
      <c r="A39" s="72"/>
      <c r="B39" s="72"/>
      <c r="C39" s="72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</row>
    <row r="40" spans="1:30" ht="23.5" x14ac:dyDescent="0.55000000000000004">
      <c r="A40" s="72"/>
      <c r="B40" s="178" t="s">
        <v>137</v>
      </c>
      <c r="C40" s="178"/>
      <c r="D40" s="178"/>
      <c r="E40" s="178"/>
      <c r="F40" s="178"/>
      <c r="G40" s="178"/>
      <c r="H40" s="178"/>
      <c r="I40" s="178"/>
      <c r="J40" s="178"/>
      <c r="K40" s="178"/>
      <c r="L40" s="178"/>
      <c r="M40" s="178"/>
      <c r="N40" s="178"/>
      <c r="O40" s="178"/>
      <c r="P40" s="178"/>
      <c r="Q40" s="178"/>
      <c r="R40" s="178"/>
      <c r="S40" s="178"/>
      <c r="T40" s="178"/>
      <c r="U40" s="178"/>
      <c r="V40" s="178"/>
      <c r="W40" s="178"/>
      <c r="X40" s="178"/>
      <c r="Y40" s="178"/>
      <c r="Z40" s="178"/>
      <c r="AA40" s="178"/>
      <c r="AB40" s="178"/>
      <c r="AC40" s="178"/>
      <c r="AD40" s="178"/>
    </row>
    <row r="41" spans="1:30" ht="20" thickBot="1" x14ac:dyDescent="0.5">
      <c r="A41" s="113"/>
      <c r="B41" s="122" t="s">
        <v>138</v>
      </c>
      <c r="C41" s="113" t="s">
        <v>105</v>
      </c>
      <c r="D41" s="113">
        <v>2022</v>
      </c>
      <c r="E41" s="113">
        <v>2023</v>
      </c>
      <c r="F41" s="113">
        <v>2024</v>
      </c>
      <c r="G41" s="113">
        <v>2025</v>
      </c>
      <c r="H41" s="113">
        <v>2026</v>
      </c>
      <c r="I41" s="113">
        <v>2027</v>
      </c>
      <c r="J41" s="113">
        <v>2028</v>
      </c>
      <c r="K41" s="113">
        <v>2029</v>
      </c>
      <c r="L41" s="113">
        <v>2030</v>
      </c>
      <c r="M41" s="113">
        <v>2031</v>
      </c>
      <c r="N41" s="113">
        <v>2032</v>
      </c>
      <c r="O41" s="113">
        <v>2033</v>
      </c>
      <c r="P41" s="113">
        <v>2034</v>
      </c>
      <c r="Q41" s="113">
        <v>2035</v>
      </c>
      <c r="R41" s="113">
        <v>2036</v>
      </c>
      <c r="S41" s="113">
        <v>2037</v>
      </c>
      <c r="T41" s="113">
        <v>2038</v>
      </c>
      <c r="U41" s="113">
        <v>2039</v>
      </c>
      <c r="V41" s="113">
        <v>2040</v>
      </c>
      <c r="W41" s="113">
        <v>2041</v>
      </c>
      <c r="X41" s="113">
        <v>2042</v>
      </c>
      <c r="Y41" s="113">
        <v>2043</v>
      </c>
      <c r="Z41" s="113">
        <v>2044</v>
      </c>
      <c r="AA41" s="113">
        <v>2045</v>
      </c>
      <c r="AB41" s="113">
        <v>2046</v>
      </c>
      <c r="AC41" s="113">
        <v>2047</v>
      </c>
      <c r="AD41" s="113">
        <v>2048</v>
      </c>
    </row>
    <row r="42" spans="1:30" ht="15" thickTop="1" x14ac:dyDescent="0.35">
      <c r="A42" s="72"/>
      <c r="B42" s="10">
        <f>NPV('Cost Assumptions'!$B$3,'Mira Loma'!D42:'Mira Loma'!AD42)</f>
        <v>15238.598146976648</v>
      </c>
      <c r="C42" s="72" t="s">
        <v>107</v>
      </c>
      <c r="D42" s="53">
        <f t="shared" ref="D42:AD42" si="0">D2-D18</f>
        <v>1213.699999999837</v>
      </c>
      <c r="E42" s="53">
        <f t="shared" si="0"/>
        <v>1235.2480769229078</v>
      </c>
      <c r="F42" s="53">
        <f t="shared" si="0"/>
        <v>1256.7961538459786</v>
      </c>
      <c r="G42" s="53">
        <f t="shared" si="0"/>
        <v>1278.3442307690493</v>
      </c>
      <c r="H42" s="53">
        <f t="shared" si="0"/>
        <v>1299.8923076921201</v>
      </c>
      <c r="I42" s="53">
        <f t="shared" si="0"/>
        <v>1321.4403846151909</v>
      </c>
      <c r="J42" s="53">
        <f t="shared" si="0"/>
        <v>1481.8278846151879</v>
      </c>
      <c r="K42" s="53">
        <f t="shared" si="0"/>
        <v>1455.5846153845414</v>
      </c>
      <c r="L42" s="53">
        <f t="shared" si="0"/>
        <v>1964.1538461539458</v>
      </c>
      <c r="M42" s="53">
        <f t="shared" si="0"/>
        <v>2469.1480769231202</v>
      </c>
      <c r="N42" s="53">
        <f t="shared" si="0"/>
        <v>2413.6923076921812</v>
      </c>
      <c r="O42" s="53">
        <f t="shared" si="0"/>
        <v>2361.0631009613862</v>
      </c>
      <c r="P42" s="53">
        <f t="shared" si="0"/>
        <v>2308.4338942305912</v>
      </c>
      <c r="Q42" s="53">
        <f t="shared" si="0"/>
        <v>2255.8046874997963</v>
      </c>
      <c r="R42" s="53">
        <f t="shared" si="0"/>
        <v>2203.1754807690013</v>
      </c>
      <c r="S42" s="53">
        <f t="shared" si="0"/>
        <v>2150.5462740382063</v>
      </c>
      <c r="T42" s="53">
        <f t="shared" si="0"/>
        <v>2097.9170673074113</v>
      </c>
      <c r="U42" s="53">
        <f t="shared" si="0"/>
        <v>2045.2878605766164</v>
      </c>
      <c r="V42" s="53">
        <f t="shared" si="0"/>
        <v>1992.6586538458214</v>
      </c>
      <c r="W42" s="53">
        <f t="shared" si="0"/>
        <v>1940.0294471150264</v>
      </c>
      <c r="X42" s="53">
        <f t="shared" si="0"/>
        <v>1887.4002403842314</v>
      </c>
      <c r="Y42" s="53">
        <f t="shared" si="0"/>
        <v>1834.7710336534365</v>
      </c>
      <c r="Z42" s="53">
        <f t="shared" si="0"/>
        <v>1782.1418269226415</v>
      </c>
      <c r="AA42" s="53">
        <f t="shared" si="0"/>
        <v>1729.5126201918465</v>
      </c>
      <c r="AB42" s="53">
        <f t="shared" si="0"/>
        <v>1676.8834134610515</v>
      </c>
      <c r="AC42" s="53">
        <f t="shared" si="0"/>
        <v>1624.2542067302566</v>
      </c>
      <c r="AD42" s="53">
        <f t="shared" si="0"/>
        <v>1571.6249999994398</v>
      </c>
    </row>
    <row r="43" spans="1:30" x14ac:dyDescent="0.35">
      <c r="A43" s="72"/>
      <c r="B43" s="10">
        <f>NPV('Cost Assumptions'!$B$3,'Mira Loma'!D43:'Mira Loma'!AD43)</f>
        <v>771017.48992003605</v>
      </c>
      <c r="C43" s="72" t="s">
        <v>139</v>
      </c>
      <c r="D43" s="53">
        <f>D42*D38</f>
        <v>48547.999999993481</v>
      </c>
      <c r="E43" s="53">
        <f>E42*E38</f>
        <v>50645.171153839219</v>
      </c>
      <c r="F43" s="53">
        <f>F42*F38</f>
        <v>52816.858365377244</v>
      </c>
      <c r="G43" s="53">
        <f>G42*G38</f>
        <v>55065.476705521025</v>
      </c>
      <c r="H43" s="53">
        <f t="shared" ref="H43:AD43" si="1">H42*H38</f>
        <v>57393.515426193633</v>
      </c>
      <c r="I43" s="53">
        <f t="shared" si="1"/>
        <v>59803.540159958909</v>
      </c>
      <c r="J43" s="53">
        <f t="shared" si="1"/>
        <v>68738.641788502544</v>
      </c>
      <c r="K43" s="53">
        <f t="shared" si="1"/>
        <v>69209.307822649149</v>
      </c>
      <c r="L43" s="53">
        <f t="shared" si="1"/>
        <v>95725.229492368657</v>
      </c>
      <c r="M43" s="53">
        <f t="shared" si="1"/>
        <v>123345.10402347098</v>
      </c>
      <c r="N43" s="53">
        <f t="shared" si="1"/>
        <v>123589.20870089594</v>
      </c>
      <c r="O43" s="53">
        <f t="shared" si="1"/>
        <v>123916.77571993269</v>
      </c>
      <c r="P43" s="53">
        <f t="shared" si="1"/>
        <v>124183.47783448323</v>
      </c>
      <c r="Q43" s="53">
        <f t="shared" si="1"/>
        <v>124386.06706993634</v>
      </c>
      <c r="R43" s="53">
        <f t="shared" si="1"/>
        <v>124521.17109351556</v>
      </c>
      <c r="S43" s="53">
        <f t="shared" si="1"/>
        <v>124585.28902635502</v>
      </c>
      <c r="T43" s="53">
        <f t="shared" si="1"/>
        <v>124574.78712390301</v>
      </c>
      <c r="U43" s="53">
        <f t="shared" si="1"/>
        <v>124485.89432068693</v>
      </c>
      <c r="V43" s="53">
        <f t="shared" si="1"/>
        <v>124314.6976353576</v>
      </c>
      <c r="W43" s="53">
        <f t="shared" si="1"/>
        <v>124057.13743181138</v>
      </c>
      <c r="X43" s="53">
        <f t="shared" si="1"/>
        <v>123709.00253206576</v>
      </c>
      <c r="Y43" s="53">
        <f t="shared" si="1"/>
        <v>123265.92517643797</v>
      </c>
      <c r="Z43" s="53">
        <f t="shared" si="1"/>
        <v>122723.37582644627</v>
      </c>
      <c r="AA43" s="53">
        <f t="shared" si="1"/>
        <v>122076.65780571969</v>
      </c>
      <c r="AB43" s="53">
        <f t="shared" si="1"/>
        <v>121320.90177406525</v>
      </c>
      <c r="AC43" s="53">
        <f t="shared" si="1"/>
        <v>120451.06002969951</v>
      </c>
      <c r="AD43" s="53">
        <f t="shared" si="1"/>
        <v>119461.90063450504</v>
      </c>
    </row>
    <row r="44" spans="1:30" x14ac:dyDescent="0.35">
      <c r="A44" s="72" t="s">
        <v>30</v>
      </c>
      <c r="B44" s="10">
        <f>NPV('Cost Assumptions'!$B$3,'Mira Loma'!D44:'Mira Loma'!AD44)</f>
        <v>503.7157499578409</v>
      </c>
      <c r="C44" s="72" t="s">
        <v>31</v>
      </c>
      <c r="D44" s="53">
        <v>10</v>
      </c>
      <c r="E44" s="53">
        <v>20.5</v>
      </c>
      <c r="F44" s="53">
        <v>29.879999999999995</v>
      </c>
      <c r="G44" s="53">
        <v>39.259999999999991</v>
      </c>
      <c r="H44" s="53">
        <v>48.639999999999986</v>
      </c>
      <c r="I44" s="53">
        <v>58.019999999999982</v>
      </c>
      <c r="J44" s="53">
        <v>37.999999999999972</v>
      </c>
      <c r="K44" s="53">
        <v>30.424999999999955</v>
      </c>
      <c r="L44" s="53">
        <v>24.849999999999994</v>
      </c>
      <c r="M44" s="53">
        <v>18.774999999999977</v>
      </c>
      <c r="N44" s="53">
        <v>33.199999999999989</v>
      </c>
      <c r="O44" s="53">
        <v>42.583333333333336</v>
      </c>
      <c r="P44" s="53">
        <v>51.966666666666683</v>
      </c>
      <c r="Q44" s="53">
        <v>61.35000000000003</v>
      </c>
      <c r="R44" s="53">
        <v>70.733333333333377</v>
      </c>
      <c r="S44" s="53">
        <v>80.116666666666731</v>
      </c>
      <c r="T44" s="53">
        <v>89.500000000000057</v>
      </c>
      <c r="U44" s="53">
        <v>110.97000000000003</v>
      </c>
      <c r="V44" s="53">
        <v>132.44</v>
      </c>
      <c r="W44" s="53">
        <v>153.90999999999997</v>
      </c>
      <c r="X44" s="53">
        <v>175.37999999999994</v>
      </c>
      <c r="Y44" s="53">
        <v>157</v>
      </c>
      <c r="Z44" s="53">
        <v>176.04000000000002</v>
      </c>
      <c r="AA44" s="53">
        <v>195.07999999999998</v>
      </c>
      <c r="AB44" s="53">
        <v>214.11999999999995</v>
      </c>
      <c r="AC44" s="53">
        <v>233.15999999999991</v>
      </c>
      <c r="AD44" s="53">
        <v>252.20000000000005</v>
      </c>
    </row>
    <row r="45" spans="1:30" x14ac:dyDescent="0.35">
      <c r="A45" s="72" t="s">
        <v>30</v>
      </c>
      <c r="B45" s="10">
        <f>NPV('Cost Assumptions'!$B$3,'Mira Loma'!D45:'Mira Loma'!AD45)</f>
        <v>24.570264019044693</v>
      </c>
      <c r="C45" s="72" t="s">
        <v>32</v>
      </c>
      <c r="D45" s="53">
        <v>2</v>
      </c>
      <c r="E45" s="53">
        <v>3</v>
      </c>
      <c r="F45" s="53">
        <v>4.6799999999999953</v>
      </c>
      <c r="G45" s="53">
        <v>6.3599999999999905</v>
      </c>
      <c r="H45" s="53">
        <v>8.0399999999999867</v>
      </c>
      <c r="I45" s="53">
        <v>9.7199999999999829</v>
      </c>
      <c r="J45" s="53">
        <v>1.3999999999999773</v>
      </c>
      <c r="K45" s="53">
        <v>0.62499999999998579</v>
      </c>
      <c r="L45" s="53">
        <v>-0.55000000000001137</v>
      </c>
      <c r="M45" s="53">
        <v>-1.9249999999999972</v>
      </c>
      <c r="N45" s="53">
        <v>1.3000000000000114</v>
      </c>
      <c r="O45" s="53">
        <v>1.0666666666666718</v>
      </c>
      <c r="P45" s="53">
        <v>0.83333333333333215</v>
      </c>
      <c r="Q45" s="53">
        <v>0.59999999999999254</v>
      </c>
      <c r="R45" s="53">
        <v>0.36666666666665293</v>
      </c>
      <c r="S45" s="53">
        <v>0.1333333333333151</v>
      </c>
      <c r="T45" s="53">
        <v>-0.10000000000002274</v>
      </c>
      <c r="U45" s="53">
        <v>0.19999999999998508</v>
      </c>
      <c r="V45" s="53">
        <v>0.49999999999999289</v>
      </c>
      <c r="W45" s="53">
        <v>0.80000000000000071</v>
      </c>
      <c r="X45" s="53">
        <v>1.1000000000000085</v>
      </c>
      <c r="Y45" s="53">
        <v>1.4000000000000128</v>
      </c>
      <c r="Z45" s="53">
        <v>0.94000000000000838</v>
      </c>
      <c r="AA45" s="53">
        <v>0.48000000000000398</v>
      </c>
      <c r="AB45" s="53">
        <v>1.9999999999996021E-2</v>
      </c>
      <c r="AC45" s="53">
        <v>-0.44000000000001194</v>
      </c>
      <c r="AD45" s="53">
        <v>-0.90000000000001279</v>
      </c>
    </row>
    <row r="46" spans="1:30" x14ac:dyDescent="0.35">
      <c r="A46" s="72" t="s">
        <v>30</v>
      </c>
      <c r="B46" s="10">
        <f>NPV('Cost Assumptions'!$B$3,'Mira Loma'!D46:'Mira Loma'!AD46)</f>
        <v>64.237463314365542</v>
      </c>
      <c r="C46" s="72" t="s">
        <v>33</v>
      </c>
      <c r="D46" s="53">
        <v>8.4812112193331513E-2</v>
      </c>
      <c r="E46" s="53">
        <v>0.24283371212350299</v>
      </c>
      <c r="F46" s="53">
        <v>0.34046276046663143</v>
      </c>
      <c r="G46" s="53">
        <v>0.43809180880975984</v>
      </c>
      <c r="H46" s="53">
        <v>0.53572085715288831</v>
      </c>
      <c r="I46" s="53">
        <v>0.63334990549601677</v>
      </c>
      <c r="J46" s="53">
        <v>0.57952041782759189</v>
      </c>
      <c r="K46" s="53">
        <v>0.48293263433613032</v>
      </c>
      <c r="L46" s="53">
        <v>0.41160532106039122</v>
      </c>
      <c r="M46" s="53">
        <v>0.38062127682421482</v>
      </c>
      <c r="N46" s="53">
        <v>0.48232004376229937</v>
      </c>
      <c r="O46" s="53">
        <v>0.74583466531667342</v>
      </c>
      <c r="P46" s="53">
        <v>1.0093492868710476</v>
      </c>
      <c r="Q46" s="53">
        <v>1.2728639084254216</v>
      </c>
      <c r="R46" s="53">
        <v>1.5363785299797956</v>
      </c>
      <c r="S46" s="53">
        <v>1.7998931515341694</v>
      </c>
      <c r="T46" s="53">
        <v>2.0634077730885436</v>
      </c>
      <c r="U46" s="53">
        <v>19.111969717020084</v>
      </c>
      <c r="V46" s="53">
        <v>36.160531660951619</v>
      </c>
      <c r="W46" s="53">
        <v>53.209093604883158</v>
      </c>
      <c r="X46" s="53">
        <v>70.257655548814697</v>
      </c>
      <c r="Y46" s="53">
        <v>87.306217492746242</v>
      </c>
      <c r="Z46" s="53">
        <v>73.194606565957571</v>
      </c>
      <c r="AA46" s="53">
        <v>59.0829956391689</v>
      </c>
      <c r="AB46" s="53">
        <v>44.971384712380235</v>
      </c>
      <c r="AC46" s="53">
        <v>30.859773785591571</v>
      </c>
      <c r="AD46" s="53">
        <v>16.748162858802903</v>
      </c>
    </row>
    <row r="47" spans="1:30" x14ac:dyDescent="0.35">
      <c r="A47" s="72" t="s">
        <v>30</v>
      </c>
      <c r="B47" s="10">
        <f>NPV('Cost Assumptions'!$B$3,'Mira Loma'!D47:'Mira Loma'!AD47)</f>
        <v>0.95697950166798973</v>
      </c>
      <c r="C47" s="72" t="s">
        <v>34</v>
      </c>
      <c r="D47" s="53">
        <v>6.0580080138093939E-3</v>
      </c>
      <c r="E47" s="53">
        <v>1.7771756236396739E-2</v>
      </c>
      <c r="F47" s="53">
        <v>2.504677784712513E-2</v>
      </c>
      <c r="G47" s="53">
        <v>3.2321799457853517E-2</v>
      </c>
      <c r="H47" s="53">
        <v>3.9596821068581908E-2</v>
      </c>
      <c r="I47" s="53">
        <v>4.6871842679310299E-2</v>
      </c>
      <c r="J47" s="53">
        <v>2.3855157087728045E-2</v>
      </c>
      <c r="K47" s="53">
        <v>1.7717830790514734E-2</v>
      </c>
      <c r="L47" s="53">
        <v>1.3285058089202068E-2</v>
      </c>
      <c r="M47" s="53">
        <v>8.3786340908021395E-3</v>
      </c>
      <c r="N47" s="53">
        <v>2.1090856196819639E-2</v>
      </c>
      <c r="O47" s="53">
        <v>2.6310334952618843E-2</v>
      </c>
      <c r="P47" s="53">
        <v>3.152981370841805E-2</v>
      </c>
      <c r="Q47" s="53">
        <v>3.6749292464217258E-2</v>
      </c>
      <c r="R47" s="53">
        <v>4.1968771220016465E-2</v>
      </c>
      <c r="S47" s="53">
        <v>4.718824997581568E-2</v>
      </c>
      <c r="T47" s="53">
        <v>5.240772873161488E-2</v>
      </c>
      <c r="U47" s="53">
        <v>0.26389724776193463</v>
      </c>
      <c r="V47" s="53">
        <v>0.47538676679225439</v>
      </c>
      <c r="W47" s="53">
        <v>0.6868762858225741</v>
      </c>
      <c r="X47" s="53">
        <v>0.89836580485289397</v>
      </c>
      <c r="Y47" s="53">
        <v>1.1098553238832136</v>
      </c>
      <c r="Z47" s="53">
        <v>0.91754058491163204</v>
      </c>
      <c r="AA47" s="53">
        <v>0.72522584594005057</v>
      </c>
      <c r="AB47" s="53">
        <v>0.53291110696846911</v>
      </c>
      <c r="AC47" s="53">
        <v>0.34059636799688764</v>
      </c>
      <c r="AD47" s="53">
        <v>0.14828162902530584</v>
      </c>
    </row>
    <row r="48" spans="1:30" x14ac:dyDescent="0.35">
      <c r="A48" s="72" t="s">
        <v>30</v>
      </c>
      <c r="B48" s="10">
        <f>NPV('Cost Assumptions'!$B$3,'Mira Loma'!D48:'Mira Loma'!AD48)</f>
        <v>268.0060393064245</v>
      </c>
      <c r="C48" s="72" t="s">
        <v>35</v>
      </c>
      <c r="D48" s="53">
        <v>14</v>
      </c>
      <c r="E48" s="53">
        <v>21</v>
      </c>
      <c r="F48" s="53">
        <v>23.2</v>
      </c>
      <c r="G48" s="53">
        <v>25.4</v>
      </c>
      <c r="H48" s="53">
        <v>27.599999999999998</v>
      </c>
      <c r="I48" s="53">
        <v>29.799999999999997</v>
      </c>
      <c r="J48" s="53">
        <v>27</v>
      </c>
      <c r="K48" s="53">
        <v>25.25</v>
      </c>
      <c r="L48" s="53">
        <v>24.5</v>
      </c>
      <c r="M48" s="53">
        <v>24.75</v>
      </c>
      <c r="N48" s="53">
        <v>25</v>
      </c>
      <c r="O48" s="53">
        <v>27.666666666666664</v>
      </c>
      <c r="P48" s="53">
        <v>30.333333333333329</v>
      </c>
      <c r="Q48" s="53">
        <v>32.999999999999993</v>
      </c>
      <c r="R48" s="53">
        <v>35.666666666666657</v>
      </c>
      <c r="S48" s="53">
        <v>38.333333333333321</v>
      </c>
      <c r="T48" s="53">
        <v>41</v>
      </c>
      <c r="U48" s="53">
        <v>43.8</v>
      </c>
      <c r="V48" s="53">
        <v>46.6</v>
      </c>
      <c r="W48" s="53">
        <v>49.399999999999991</v>
      </c>
      <c r="X48" s="53">
        <v>52.199999999999989</v>
      </c>
      <c r="Y48" s="53">
        <v>55</v>
      </c>
      <c r="Z48" s="53">
        <v>56</v>
      </c>
      <c r="AA48" s="53">
        <v>57</v>
      </c>
      <c r="AB48" s="53">
        <v>58</v>
      </c>
      <c r="AC48" s="53">
        <v>59</v>
      </c>
      <c r="AD48" s="53">
        <v>60</v>
      </c>
    </row>
    <row r="49" spans="1:30" ht="13.9" customHeight="1" x14ac:dyDescent="0.35">
      <c r="A49" s="72" t="s">
        <v>30</v>
      </c>
      <c r="B49" s="10">
        <f>NPV('Cost Assumptions'!$B$3,'Mira Loma'!D49:'Mira Loma'!AD49)</f>
        <v>83412.308994391497</v>
      </c>
      <c r="C49" s="70" t="s">
        <v>140</v>
      </c>
      <c r="D49" s="53">
        <f>D13-D24</f>
        <v>3265.7421655023345</v>
      </c>
      <c r="E49" s="53">
        <f t="shared" ref="E49:AD49" si="2">E13-E24</f>
        <v>4342.4448571988651</v>
      </c>
      <c r="F49" s="53">
        <f t="shared" si="2"/>
        <v>5419.1475488953965</v>
      </c>
      <c r="G49" s="53">
        <f t="shared" si="2"/>
        <v>6495.850240591928</v>
      </c>
      <c r="H49" s="53">
        <f t="shared" si="2"/>
        <v>7572.5529322884595</v>
      </c>
      <c r="I49" s="53">
        <f t="shared" si="2"/>
        <v>8649.255623984991</v>
      </c>
      <c r="J49" s="53">
        <f t="shared" si="2"/>
        <v>9725.9583156815224</v>
      </c>
      <c r="K49" s="53">
        <f t="shared" si="2"/>
        <v>9527.6169796581416</v>
      </c>
      <c r="L49" s="53">
        <f t="shared" si="2"/>
        <v>9329.275643634759</v>
      </c>
      <c r="M49" s="53">
        <f t="shared" si="2"/>
        <v>8233.2003675724209</v>
      </c>
      <c r="N49" s="53">
        <f t="shared" si="2"/>
        <v>8715.1650753830054</v>
      </c>
      <c r="O49" s="53">
        <f t="shared" si="2"/>
        <v>10948.992306630727</v>
      </c>
      <c r="P49" s="53">
        <f t="shared" si="2"/>
        <v>11632.205218113837</v>
      </c>
      <c r="Q49" s="53">
        <f t="shared" si="2"/>
        <v>12215.41812959695</v>
      </c>
      <c r="R49" s="53">
        <f t="shared" si="2"/>
        <v>12798.631041080063</v>
      </c>
      <c r="S49" s="53">
        <f t="shared" si="2"/>
        <v>13381.843952563177</v>
      </c>
      <c r="T49" s="53">
        <f t="shared" si="2"/>
        <v>13965.056864046292</v>
      </c>
      <c r="U49" s="53">
        <f t="shared" si="2"/>
        <v>14548.269775529407</v>
      </c>
      <c r="V49" s="53">
        <f t="shared" si="2"/>
        <v>15131.48268701252</v>
      </c>
      <c r="W49" s="53">
        <f t="shared" si="2"/>
        <v>15714.695598495633</v>
      </c>
      <c r="X49" s="53">
        <f t="shared" si="2"/>
        <v>16297.908509978746</v>
      </c>
      <c r="Y49" s="53">
        <f t="shared" si="2"/>
        <v>16881.121421461859</v>
      </c>
      <c r="Z49" s="53">
        <f t="shared" si="2"/>
        <v>17464.334332944971</v>
      </c>
      <c r="AA49" s="53">
        <f t="shared" si="2"/>
        <v>18047.547244428086</v>
      </c>
      <c r="AB49" s="53">
        <f t="shared" si="2"/>
        <v>18630.760155911201</v>
      </c>
      <c r="AC49" s="53">
        <f t="shared" si="2"/>
        <v>19213.973067394312</v>
      </c>
      <c r="AD49" s="53">
        <f t="shared" si="2"/>
        <v>19797.185978877427</v>
      </c>
    </row>
    <row r="50" spans="1:30" x14ac:dyDescent="0.35">
      <c r="A50" s="72" t="s">
        <v>30</v>
      </c>
      <c r="B50" s="10">
        <f>NPV('Cost Assumptions'!$B$3,'Mira Loma'!D50:'Mira Loma'!AD50)</f>
        <v>499595.17897993606</v>
      </c>
      <c r="C50" s="70" t="s">
        <v>141</v>
      </c>
      <c r="D50" s="53">
        <f>D14-D25</f>
        <v>53381.948565564468</v>
      </c>
      <c r="E50" s="53">
        <f t="shared" ref="E50:AD50" si="3">E14-E25</f>
        <v>53578.098597226664</v>
      </c>
      <c r="F50" s="53">
        <f t="shared" si="3"/>
        <v>53671.358376651682</v>
      </c>
      <c r="G50" s="53">
        <f t="shared" si="3"/>
        <v>53767.096838726808</v>
      </c>
      <c r="H50" s="53">
        <f t="shared" si="3"/>
        <v>53867.902496474911</v>
      </c>
      <c r="I50" s="53">
        <f t="shared" si="3"/>
        <v>53983.342998637876</v>
      </c>
      <c r="J50" s="53">
        <f t="shared" si="3"/>
        <v>54098.853472072078</v>
      </c>
      <c r="K50" s="53">
        <f t="shared" si="3"/>
        <v>54022.676411643042</v>
      </c>
      <c r="L50" s="53">
        <f t="shared" si="3"/>
        <v>53946.569027170452</v>
      </c>
      <c r="M50" s="53">
        <f t="shared" si="3"/>
        <v>53870.447556563857</v>
      </c>
      <c r="N50" s="53">
        <f t="shared" si="3"/>
        <v>53992.377136425435</v>
      </c>
      <c r="O50" s="53">
        <f t="shared" si="3"/>
        <v>54117.673302422714</v>
      </c>
      <c r="P50" s="53">
        <f t="shared" si="3"/>
        <v>54246.603691109805</v>
      </c>
      <c r="Q50" s="53">
        <f t="shared" si="3"/>
        <v>54373.153523073706</v>
      </c>
      <c r="R50" s="53">
        <f t="shared" si="3"/>
        <v>54502.450151256722</v>
      </c>
      <c r="S50" s="53">
        <f t="shared" si="3"/>
        <v>54634.085077759868</v>
      </c>
      <c r="T50" s="53">
        <f t="shared" si="3"/>
        <v>54768.790781574586</v>
      </c>
      <c r="U50" s="53">
        <f t="shared" si="3"/>
        <v>54891.283806814638</v>
      </c>
      <c r="V50" s="53">
        <f t="shared" si="3"/>
        <v>55014.326191299071</v>
      </c>
      <c r="W50" s="53">
        <f t="shared" si="3"/>
        <v>55137.326317379397</v>
      </c>
      <c r="X50" s="53">
        <f t="shared" si="3"/>
        <v>55261.115266989567</v>
      </c>
      <c r="Y50" s="53">
        <f t="shared" si="3"/>
        <v>55364.408890964842</v>
      </c>
      <c r="Z50" s="53">
        <f t="shared" si="3"/>
        <v>55465.265613678726</v>
      </c>
      <c r="AA50" s="53">
        <f t="shared" si="3"/>
        <v>55562.755750257085</v>
      </c>
      <c r="AB50" s="53">
        <f t="shared" si="3"/>
        <v>55657.569521288708</v>
      </c>
      <c r="AC50" s="53">
        <f t="shared" si="3"/>
        <v>55725.239311221754</v>
      </c>
      <c r="AD50" s="53">
        <f t="shared" si="3"/>
        <v>55785.711086446507</v>
      </c>
    </row>
    <row r="51" spans="1:30" s="66" customFormat="1" x14ac:dyDescent="0.35">
      <c r="A51" s="72" t="s">
        <v>30</v>
      </c>
      <c r="B51" s="10">
        <f>NPV('Cost Assumptions'!$B$3,'Mira Loma'!D51:'Mira Loma'!AD51)</f>
        <v>451168.6674474118</v>
      </c>
      <c r="C51" s="70" t="s">
        <v>142</v>
      </c>
      <c r="D51" s="53">
        <f>D15-D26</f>
        <v>39606.70542502257</v>
      </c>
      <c r="E51" s="53">
        <f t="shared" ref="E51:AD51" si="4">E15-E26</f>
        <v>42013.796277037967</v>
      </c>
      <c r="F51" s="53">
        <f t="shared" si="4"/>
        <v>43206.111528351816</v>
      </c>
      <c r="G51" s="53">
        <f t="shared" si="4"/>
        <v>44440.668369839448</v>
      </c>
      <c r="H51" s="53">
        <f t="shared" si="4"/>
        <v>45762.221031145935</v>
      </c>
      <c r="I51" s="53">
        <f t="shared" si="4"/>
        <v>47290.348523853449</v>
      </c>
      <c r="J51" s="53">
        <f t="shared" si="4"/>
        <v>48843.028248838484</v>
      </c>
      <c r="K51" s="53">
        <f t="shared" si="4"/>
        <v>47813.472189499058</v>
      </c>
      <c r="L51" s="53">
        <f t="shared" si="4"/>
        <v>46801.862733368238</v>
      </c>
      <c r="M51" s="53">
        <f t="shared" si="4"/>
        <v>45796.275980344071</v>
      </c>
      <c r="N51" s="53">
        <f t="shared" si="4"/>
        <v>47410.254412630282</v>
      </c>
      <c r="O51" s="53">
        <f t="shared" si="4"/>
        <v>49100.129185365789</v>
      </c>
      <c r="P51" s="53">
        <f t="shared" si="4"/>
        <v>50847.939698127615</v>
      </c>
      <c r="Q51" s="53">
        <f t="shared" si="4"/>
        <v>52561.074590785945</v>
      </c>
      <c r="R51" s="53">
        <f t="shared" si="4"/>
        <v>54310.822606127338</v>
      </c>
      <c r="S51" s="53">
        <f t="shared" si="4"/>
        <v>56116.420931129651</v>
      </c>
      <c r="T51" s="53">
        <f t="shared" si="4"/>
        <v>57999.751499429585</v>
      </c>
      <c r="U51" s="53">
        <f t="shared" si="4"/>
        <v>59748.239804196615</v>
      </c>
      <c r="V51" s="53">
        <f t="shared" si="4"/>
        <v>61513.790173187095</v>
      </c>
      <c r="W51" s="53">
        <f t="shared" si="4"/>
        <v>63330.415289924094</v>
      </c>
      <c r="X51" s="53">
        <f t="shared" si="4"/>
        <v>65176.805188297891</v>
      </c>
      <c r="Y51" s="53">
        <f t="shared" si="4"/>
        <v>66739.119627343331</v>
      </c>
      <c r="Z51" s="53">
        <f t="shared" si="4"/>
        <v>68254.286917698279</v>
      </c>
      <c r="AA51" s="53">
        <f t="shared" si="4"/>
        <v>69714.835350945854</v>
      </c>
      <c r="AB51" s="53">
        <f t="shared" si="4"/>
        <v>71141.734170752607</v>
      </c>
      <c r="AC51" s="53">
        <f t="shared" si="4"/>
        <v>72167.197208417027</v>
      </c>
      <c r="AD51" s="53">
        <f t="shared" si="4"/>
        <v>73097.475326279891</v>
      </c>
    </row>
    <row r="52" spans="1:30" x14ac:dyDescent="0.35">
      <c r="A52" s="72" t="s">
        <v>39</v>
      </c>
      <c r="B52" s="10">
        <f>NPV('Cost Assumptions'!$B$3,'Mira Loma'!D52:'Mira Loma'!AD52)</f>
        <v>3157.2180237848547</v>
      </c>
      <c r="C52" s="72" t="s">
        <v>31</v>
      </c>
      <c r="D52" s="53">
        <v>22.2</v>
      </c>
      <c r="E52" s="53">
        <v>65.8</v>
      </c>
      <c r="F52" s="53">
        <v>102.72</v>
      </c>
      <c r="G52" s="53">
        <v>139.63999999999999</v>
      </c>
      <c r="H52" s="53">
        <v>176.56</v>
      </c>
      <c r="I52" s="53">
        <v>213.48000000000002</v>
      </c>
      <c r="J52" s="53">
        <v>221</v>
      </c>
      <c r="K52" s="53">
        <v>189.42500000000013</v>
      </c>
      <c r="L52" s="53">
        <v>157.64999999999989</v>
      </c>
      <c r="M52" s="53">
        <v>128.47500000000002</v>
      </c>
      <c r="N52" s="53">
        <v>182.10000000000011</v>
      </c>
      <c r="O52" s="53">
        <v>259.68333333333345</v>
      </c>
      <c r="P52" s="53">
        <v>337.26666666666677</v>
      </c>
      <c r="Q52" s="53">
        <v>414.85000000000014</v>
      </c>
      <c r="R52" s="53">
        <v>492.43333333333345</v>
      </c>
      <c r="S52" s="53">
        <v>570.01666666666677</v>
      </c>
      <c r="T52" s="53">
        <v>647.6</v>
      </c>
      <c r="U52" s="53">
        <v>797.61999999999989</v>
      </c>
      <c r="V52" s="53">
        <v>947.63999999999976</v>
      </c>
      <c r="W52" s="53">
        <v>1097.6599999999996</v>
      </c>
      <c r="X52" s="53">
        <v>1247.6799999999994</v>
      </c>
      <c r="Y52" s="53">
        <v>1397.6999999999994</v>
      </c>
      <c r="Z52" s="53">
        <v>1539.4399999999994</v>
      </c>
      <c r="AA52" s="53">
        <v>1681.1799999999996</v>
      </c>
      <c r="AB52" s="53">
        <v>1822.9199999999996</v>
      </c>
      <c r="AC52" s="53">
        <v>1964.6599999999996</v>
      </c>
      <c r="AD52" s="53">
        <v>2106.3999999999996</v>
      </c>
    </row>
    <row r="53" spans="1:30" x14ac:dyDescent="0.35">
      <c r="A53" s="72" t="s">
        <v>39</v>
      </c>
      <c r="B53" s="10">
        <f>NPV('Cost Assumptions'!$B$3,'Mira Loma'!D53:'Mira Loma'!AD53)</f>
        <v>493.89069312550362</v>
      </c>
      <c r="C53" s="72" t="s">
        <v>32</v>
      </c>
      <c r="D53" s="53">
        <v>13</v>
      </c>
      <c r="E53" s="53">
        <v>27</v>
      </c>
      <c r="F53" s="53">
        <v>34.519999999999982</v>
      </c>
      <c r="G53" s="53">
        <v>42.039999999999964</v>
      </c>
      <c r="H53" s="53">
        <v>49.559999999999945</v>
      </c>
      <c r="I53" s="53">
        <v>57.079999999999927</v>
      </c>
      <c r="J53" s="53">
        <v>64.599999999999909</v>
      </c>
      <c r="K53" s="53">
        <v>59.799999999999955</v>
      </c>
      <c r="L53" s="53">
        <v>52.799999999999955</v>
      </c>
      <c r="M53" s="53">
        <v>46</v>
      </c>
      <c r="N53" s="53">
        <v>57.400000000000091</v>
      </c>
      <c r="O53" s="53">
        <v>67.333333333333414</v>
      </c>
      <c r="P53" s="53">
        <v>77.266666666666737</v>
      </c>
      <c r="Q53" s="53">
        <v>87.20000000000006</v>
      </c>
      <c r="R53" s="53">
        <v>89.000000000000014</v>
      </c>
      <c r="S53" s="53">
        <v>90.799999999999983</v>
      </c>
      <c r="T53" s="53">
        <v>92.599999999999909</v>
      </c>
      <c r="U53" s="53">
        <v>93.359999999999943</v>
      </c>
      <c r="V53" s="53">
        <v>94.119999999999976</v>
      </c>
      <c r="W53" s="53">
        <v>94.88000000000001</v>
      </c>
      <c r="X53" s="53">
        <v>95.640000000000043</v>
      </c>
      <c r="Y53" s="53">
        <v>96.400000000000091</v>
      </c>
      <c r="Z53" s="53">
        <v>80.120000000000061</v>
      </c>
      <c r="AA53" s="53">
        <v>63.840000000000032</v>
      </c>
      <c r="AB53" s="53">
        <v>47.56</v>
      </c>
      <c r="AC53" s="53">
        <v>31.279999999999973</v>
      </c>
      <c r="AD53" s="53">
        <v>15</v>
      </c>
    </row>
    <row r="54" spans="1:30" x14ac:dyDescent="0.35">
      <c r="A54" s="72" t="s">
        <v>39</v>
      </c>
      <c r="B54" s="10">
        <f>NPV('Cost Assumptions'!$B$3,'Mira Loma'!D54:'Mira Loma'!AD54)</f>
        <v>37.870600906383466</v>
      </c>
      <c r="C54" s="72" t="s">
        <v>33</v>
      </c>
      <c r="D54" s="53">
        <v>4.7253529883901121E-2</v>
      </c>
      <c r="E54" s="53">
        <v>0.28011551949195379</v>
      </c>
      <c r="F54" s="53">
        <v>0.59718244793816533</v>
      </c>
      <c r="G54" s="53">
        <v>0.91424937638437687</v>
      </c>
      <c r="H54" s="53">
        <v>1.2313163048305884</v>
      </c>
      <c r="I54" s="53">
        <v>1.5483832332767999</v>
      </c>
      <c r="J54" s="53">
        <v>1.8654501617230115</v>
      </c>
      <c r="K54" s="53">
        <v>1.6136441894137561</v>
      </c>
      <c r="L54" s="53">
        <v>1.1660127779459895</v>
      </c>
      <c r="M54" s="53">
        <v>0.80458713045561225</v>
      </c>
      <c r="N54" s="53">
        <v>0.56680711827214547</v>
      </c>
      <c r="O54" s="53">
        <v>3.0445179689462347</v>
      </c>
      <c r="P54" s="53">
        <v>4.5886299372095039</v>
      </c>
      <c r="Q54" s="53">
        <v>6.1327419054727734</v>
      </c>
      <c r="R54" s="53">
        <v>7.5994920332237523</v>
      </c>
      <c r="S54" s="53">
        <v>9.0662421609747312</v>
      </c>
      <c r="T54" s="53">
        <v>10.53299228872571</v>
      </c>
      <c r="U54" s="53">
        <v>10.721135213284713</v>
      </c>
      <c r="V54" s="53">
        <v>10.909278137843716</v>
      </c>
      <c r="W54" s="53">
        <v>11.097421062402718</v>
      </c>
      <c r="X54" s="53">
        <v>11.285563986961721</v>
      </c>
      <c r="Y54" s="53">
        <v>11.473706911520726</v>
      </c>
      <c r="Z54" s="53">
        <v>18.153516984253713</v>
      </c>
      <c r="AA54" s="53">
        <v>24.833327056986704</v>
      </c>
      <c r="AB54" s="53">
        <v>31.513137129719695</v>
      </c>
      <c r="AC54" s="53">
        <v>38.192947202452679</v>
      </c>
      <c r="AD54" s="53">
        <v>44.87275727518567</v>
      </c>
    </row>
    <row r="55" spans="1:30" x14ac:dyDescent="0.35">
      <c r="A55" s="72" t="s">
        <v>39</v>
      </c>
      <c r="B55" s="10">
        <f>NPV('Cost Assumptions'!$B$3,'Mira Loma'!D55:'Mira Loma'!AD55)</f>
        <v>2.1995851575739627</v>
      </c>
      <c r="C55" s="72" t="s">
        <v>34</v>
      </c>
      <c r="D55" s="53">
        <v>2.3626764941950561E-2</v>
      </c>
      <c r="E55" s="53">
        <v>7.0028879872988448E-2</v>
      </c>
      <c r="F55" s="53">
        <v>0.10932167994761965</v>
      </c>
      <c r="G55" s="53">
        <v>0.14861448002225086</v>
      </c>
      <c r="H55" s="53">
        <v>0.18790728009688207</v>
      </c>
      <c r="I55" s="53">
        <v>0.22720008017151327</v>
      </c>
      <c r="J55" s="53">
        <v>0.26649288024614448</v>
      </c>
      <c r="K55" s="53">
        <v>0.23052059848767945</v>
      </c>
      <c r="L55" s="53">
        <v>0.19433546299099821</v>
      </c>
      <c r="M55" s="53">
        <v>0.16091742609112245</v>
      </c>
      <c r="N55" s="53">
        <v>4.2212624824281168E-2</v>
      </c>
      <c r="O55" s="53">
        <v>0.30677545020347896</v>
      </c>
      <c r="P55" s="53">
        <v>0.39920718602367722</v>
      </c>
      <c r="Q55" s="53">
        <v>0.49163892184387548</v>
      </c>
      <c r="R55" s="53">
        <v>0.56473019753600107</v>
      </c>
      <c r="S55" s="53">
        <v>0.63782147322812655</v>
      </c>
      <c r="T55" s="53">
        <v>0.71091274892025202</v>
      </c>
      <c r="U55" s="53">
        <v>0.5921991927585486</v>
      </c>
      <c r="V55" s="53">
        <v>0.47348563659684528</v>
      </c>
      <c r="W55" s="53">
        <v>0.35477208043514186</v>
      </c>
      <c r="X55" s="53">
        <v>0.23605852427343851</v>
      </c>
      <c r="Y55" s="53">
        <v>0.117344968111735</v>
      </c>
      <c r="Z55" s="53">
        <v>0.26482517361747326</v>
      </c>
      <c r="AA55" s="53">
        <v>0.41230537912321163</v>
      </c>
      <c r="AB55" s="53">
        <v>0.55978558462895012</v>
      </c>
      <c r="AC55" s="53">
        <v>0.70726579013468838</v>
      </c>
      <c r="AD55" s="53">
        <v>0.85474599564042641</v>
      </c>
    </row>
    <row r="56" spans="1:30" x14ac:dyDescent="0.35">
      <c r="A56" s="72" t="s">
        <v>39</v>
      </c>
      <c r="B56" s="10">
        <f>NPV('Cost Assumptions'!$B$3,'Mira Loma'!D56:'Mira Loma'!AD56)</f>
        <v>74.726559069274231</v>
      </c>
      <c r="C56" s="72" t="s">
        <v>35</v>
      </c>
      <c r="D56" s="53">
        <v>2</v>
      </c>
      <c r="E56" s="53">
        <v>4</v>
      </c>
      <c r="F56" s="53">
        <v>4.5999999999999996</v>
      </c>
      <c r="G56" s="53">
        <v>5.1999999999999993</v>
      </c>
      <c r="H56" s="53">
        <v>5.7999999999999989</v>
      </c>
      <c r="I56" s="53">
        <v>6.3999999999999986</v>
      </c>
      <c r="J56" s="53">
        <v>7</v>
      </c>
      <c r="K56" s="53">
        <v>7</v>
      </c>
      <c r="L56" s="53">
        <v>6</v>
      </c>
      <c r="M56" s="53">
        <v>5</v>
      </c>
      <c r="N56" s="53">
        <v>7</v>
      </c>
      <c r="O56" s="53">
        <v>8.1666666666666661</v>
      </c>
      <c r="P56" s="53">
        <v>9.3333333333333321</v>
      </c>
      <c r="Q56" s="53">
        <v>10.499999999999998</v>
      </c>
      <c r="R56" s="53">
        <v>10.33333333333333</v>
      </c>
      <c r="S56" s="53">
        <v>10.166666666666664</v>
      </c>
      <c r="T56" s="53">
        <v>10</v>
      </c>
      <c r="U56" s="53">
        <v>12.4</v>
      </c>
      <c r="V56" s="53">
        <v>14.8</v>
      </c>
      <c r="W56" s="53">
        <v>17.200000000000003</v>
      </c>
      <c r="X56" s="53">
        <v>19.600000000000001</v>
      </c>
      <c r="Y56" s="53">
        <v>22</v>
      </c>
      <c r="Z56" s="53">
        <v>24</v>
      </c>
      <c r="AA56" s="53">
        <v>28</v>
      </c>
      <c r="AB56" s="53">
        <v>32</v>
      </c>
      <c r="AC56" s="53">
        <v>34</v>
      </c>
      <c r="AD56" s="53">
        <v>39</v>
      </c>
    </row>
    <row r="58" spans="1:30" ht="15" thickBot="1" x14ac:dyDescent="0.4">
      <c r="A58" s="177" t="s">
        <v>143</v>
      </c>
      <c r="B58" s="177"/>
      <c r="C58" s="177"/>
      <c r="D58" s="177"/>
      <c r="E58" s="177"/>
      <c r="F58" s="177"/>
      <c r="G58" s="177"/>
      <c r="H58" s="177"/>
      <c r="I58" s="177"/>
      <c r="J58" s="177"/>
      <c r="K58" s="177"/>
      <c r="L58" s="177"/>
      <c r="M58" s="177"/>
      <c r="N58" s="177"/>
      <c r="O58" s="177"/>
      <c r="P58" s="177"/>
      <c r="Q58" s="177"/>
      <c r="R58" s="177"/>
      <c r="S58" s="177"/>
      <c r="T58" s="177"/>
      <c r="U58" s="177"/>
      <c r="V58" s="177"/>
      <c r="W58" s="177"/>
      <c r="X58" s="177"/>
      <c r="Y58" s="177"/>
      <c r="Z58" s="177"/>
      <c r="AA58" s="177"/>
      <c r="AB58" s="177"/>
      <c r="AC58" s="177"/>
      <c r="AD58" s="177"/>
    </row>
    <row r="59" spans="1:30" ht="15.5" thickTop="1" thickBot="1" x14ac:dyDescent="0.4">
      <c r="A59" s="177"/>
      <c r="B59" s="177"/>
      <c r="C59" s="177"/>
      <c r="D59" s="177"/>
      <c r="E59" s="177"/>
      <c r="F59" s="177"/>
      <c r="G59" s="177"/>
      <c r="H59" s="177"/>
      <c r="I59" s="177"/>
      <c r="J59" s="177"/>
      <c r="K59" s="177"/>
      <c r="L59" s="177"/>
      <c r="M59" s="177"/>
      <c r="N59" s="177"/>
      <c r="O59" s="177"/>
      <c r="P59" s="177"/>
      <c r="Q59" s="177"/>
      <c r="R59" s="177"/>
      <c r="S59" s="177"/>
      <c r="T59" s="177"/>
      <c r="U59" s="177"/>
      <c r="V59" s="177"/>
      <c r="W59" s="177"/>
      <c r="X59" s="177"/>
      <c r="Y59" s="177"/>
      <c r="Z59" s="177"/>
      <c r="AA59" s="177"/>
      <c r="AB59" s="177"/>
      <c r="AC59" s="177"/>
      <c r="AD59" s="177"/>
    </row>
    <row r="60" spans="1:30" ht="15" thickTop="1" x14ac:dyDescent="0.35">
      <c r="A60" s="72" t="s">
        <v>111</v>
      </c>
      <c r="B60" s="72" t="s">
        <v>112</v>
      </c>
      <c r="C60" s="72" t="s">
        <v>116</v>
      </c>
      <c r="D60" s="4">
        <f>'Baseline System Analysis'!D17</f>
        <v>4.4933261328125003</v>
      </c>
      <c r="E60" s="4">
        <f>'Baseline System Analysis'!E17</f>
        <v>4.6056592861328127</v>
      </c>
      <c r="F60" s="4">
        <f>'Baseline System Analysis'!F17</f>
        <v>4.720800768286133</v>
      </c>
      <c r="G60" s="4">
        <f>'Baseline System Analysis'!G17</f>
        <v>4.8388207874932858</v>
      </c>
      <c r="H60" s="4">
        <f>'Baseline System Analysis'!H17</f>
        <v>4.9597913071806179</v>
      </c>
      <c r="I60" s="4">
        <f>'Baseline System Analysis'!I17</f>
        <v>5.0837860898601326</v>
      </c>
      <c r="J60" s="4">
        <f>'Baseline System Analysis'!J17</f>
        <v>5.2108807421066352</v>
      </c>
      <c r="K60" s="4">
        <f>'Baseline System Analysis'!K17</f>
        <v>5.341152760659301</v>
      </c>
      <c r="L60" s="4">
        <f>'Baseline System Analysis'!L17</f>
        <v>5.4746815796757833</v>
      </c>
      <c r="M60" s="4">
        <f>'Baseline System Analysis'!M17</f>
        <v>5.6115486191676771</v>
      </c>
      <c r="N60" s="4">
        <f>'Baseline System Analysis'!N17</f>
        <v>5.7518373346468685</v>
      </c>
      <c r="O60" s="4">
        <f>'Baseline System Analysis'!O17</f>
        <v>5.8956332680130394</v>
      </c>
      <c r="P60" s="4">
        <f>'Baseline System Analysis'!P17</f>
        <v>6.0430240997133646</v>
      </c>
      <c r="Q60" s="4">
        <f>'Baseline System Analysis'!Q17</f>
        <v>6.1940997022061985</v>
      </c>
      <c r="R60" s="4">
        <f>'Baseline System Analysis'!R17</f>
        <v>6.3489521947613525</v>
      </c>
      <c r="S60" s="4">
        <f>'Baseline System Analysis'!S17</f>
        <v>6.5076759996303855</v>
      </c>
      <c r="T60" s="4">
        <f>'Baseline System Analysis'!T17</f>
        <v>6.6703678996211444</v>
      </c>
      <c r="U60" s="4">
        <f>'Baseline System Analysis'!U17</f>
        <v>6.8371270971116722</v>
      </c>
      <c r="V60" s="4">
        <f>'Baseline System Analysis'!V17</f>
        <v>7.0080552745394638</v>
      </c>
      <c r="W60" s="4">
        <f>'Baseline System Analysis'!W17</f>
        <v>7.1832566564029499</v>
      </c>
      <c r="X60" s="4">
        <f>'Baseline System Analysis'!X17</f>
        <v>7.3628380728130232</v>
      </c>
      <c r="Y60" s="4">
        <f>'Baseline System Analysis'!Y17</f>
        <v>7.5469090246333481</v>
      </c>
      <c r="Z60" s="4">
        <f>'Baseline System Analysis'!Z17</f>
        <v>7.7355817502491808</v>
      </c>
      <c r="AA60" s="4">
        <f>'Baseline System Analysis'!AA17</f>
        <v>7.92897129400541</v>
      </c>
      <c r="AB60" s="4">
        <f>'Baseline System Analysis'!AB17</f>
        <v>8.127195576355545</v>
      </c>
      <c r="AC60" s="4">
        <f>'Baseline System Analysis'!AC17</f>
        <v>8.3303754657644333</v>
      </c>
      <c r="AD60" s="4">
        <f>'Baseline System Analysis'!AD17</f>
        <v>8.5386348524085438</v>
      </c>
    </row>
    <row r="61" spans="1:30" x14ac:dyDescent="0.35">
      <c r="A61" s="72" t="s">
        <v>111</v>
      </c>
      <c r="B61" s="72" t="s">
        <v>113</v>
      </c>
      <c r="C61" s="72" t="s">
        <v>116</v>
      </c>
      <c r="D61" s="4">
        <f>'Baseline System Analysis'!D18</f>
        <v>3.7920011132812497</v>
      </c>
      <c r="E61" s="4">
        <f>'Baseline System Analysis'!E18</f>
        <v>3.8868011411132808</v>
      </c>
      <c r="F61" s="4">
        <f>'Baseline System Analysis'!F18</f>
        <v>3.9839711696411126</v>
      </c>
      <c r="G61" s="4">
        <f>'Baseline System Analysis'!G18</f>
        <v>4.0835704488821403</v>
      </c>
      <c r="H61" s="4">
        <f>'Baseline System Analysis'!H18</f>
        <v>4.1856597101041935</v>
      </c>
      <c r="I61" s="4">
        <f>'Baseline System Analysis'!I18</f>
        <v>4.2903012028567975</v>
      </c>
      <c r="J61" s="4">
        <f>'Baseline System Analysis'!J18</f>
        <v>4.3975587329282169</v>
      </c>
      <c r="K61" s="4">
        <f>'Baseline System Analysis'!K18</f>
        <v>4.5074977012514221</v>
      </c>
      <c r="L61" s="4">
        <f>'Baseline System Analysis'!L18</f>
        <v>4.6201851437827068</v>
      </c>
      <c r="M61" s="4">
        <f>'Baseline System Analysis'!M18</f>
        <v>4.735689772377274</v>
      </c>
      <c r="N61" s="4">
        <f>'Baseline System Analysis'!N18</f>
        <v>4.8540820166867054</v>
      </c>
      <c r="O61" s="4">
        <f>'Baseline System Analysis'!O18</f>
        <v>4.9754340671038726</v>
      </c>
      <c r="P61" s="4">
        <f>'Baseline System Analysis'!P18</f>
        <v>5.0998199187814688</v>
      </c>
      <c r="Q61" s="4">
        <f>'Baseline System Analysis'!Q18</f>
        <v>5.2273154167510052</v>
      </c>
      <c r="R61" s="4">
        <f>'Baseline System Analysis'!R18</f>
        <v>5.3579983021697801</v>
      </c>
      <c r="S61" s="4">
        <f>'Baseline System Analysis'!S18</f>
        <v>5.4919482597240243</v>
      </c>
      <c r="T61" s="4">
        <f>'Baseline System Analysis'!T18</f>
        <v>5.6292469662171243</v>
      </c>
      <c r="U61" s="4">
        <f>'Baseline System Analysis'!U18</f>
        <v>5.7699781403725519</v>
      </c>
      <c r="V61" s="4">
        <f>'Baseline System Analysis'!V18</f>
        <v>5.9142275938818649</v>
      </c>
      <c r="W61" s="4">
        <f>'Baseline System Analysis'!W18</f>
        <v>6.0620832837289109</v>
      </c>
      <c r="X61" s="4">
        <f>'Baseline System Analysis'!X18</f>
        <v>6.2136353658221335</v>
      </c>
      <c r="Y61" s="4">
        <f>'Baseline System Analysis'!Y18</f>
        <v>6.3689762499676865</v>
      </c>
      <c r="Z61" s="4">
        <f>'Baseline System Analysis'!Z18</f>
        <v>6.5282006562168782</v>
      </c>
      <c r="AA61" s="4">
        <f>'Baseline System Analysis'!AA18</f>
        <v>6.6914056726222997</v>
      </c>
      <c r="AB61" s="4">
        <f>'Baseline System Analysis'!AB18</f>
        <v>6.8586908144378569</v>
      </c>
      <c r="AC61" s="4">
        <f>'Baseline System Analysis'!AC18</f>
        <v>7.0301580847988028</v>
      </c>
      <c r="AD61" s="4">
        <f>'Baseline System Analysis'!AD18</f>
        <v>7.2059120369187726</v>
      </c>
    </row>
    <row r="62" spans="1:30" x14ac:dyDescent="0.35">
      <c r="A62" s="72" t="s">
        <v>114</v>
      </c>
      <c r="B62" s="72" t="s">
        <v>112</v>
      </c>
      <c r="C62" s="72" t="s">
        <v>116</v>
      </c>
      <c r="D62" s="4">
        <f>'Baseline System Analysis'!D19</f>
        <v>166.59767191406246</v>
      </c>
      <c r="E62" s="4">
        <f>'Baseline System Analysis'!E19</f>
        <v>170.76261371191401</v>
      </c>
      <c r="F62" s="4">
        <f>'Baseline System Analysis'!F19</f>
        <v>175.03167905471184</v>
      </c>
      <c r="G62" s="4">
        <f>'Baseline System Analysis'!G19</f>
        <v>179.40747103107964</v>
      </c>
      <c r="H62" s="4">
        <f>'Baseline System Analysis'!H19</f>
        <v>183.89265780685662</v>
      </c>
      <c r="I62" s="4">
        <f>'Baseline System Analysis'!I19</f>
        <v>188.48997425202802</v>
      </c>
      <c r="J62" s="4">
        <f>'Baseline System Analysis'!J19</f>
        <v>193.20222360832869</v>
      </c>
      <c r="K62" s="4">
        <f>'Baseline System Analysis'!K19</f>
        <v>198.03227919853688</v>
      </c>
      <c r="L62" s="4">
        <f>'Baseline System Analysis'!L19</f>
        <v>202.98308617850029</v>
      </c>
      <c r="M62" s="4">
        <f>'Baseline System Analysis'!M19</f>
        <v>208.05766333296279</v>
      </c>
      <c r="N62" s="4">
        <f>'Baseline System Analysis'!N19</f>
        <v>213.25910491628684</v>
      </c>
      <c r="O62" s="4">
        <f>'Baseline System Analysis'!O19</f>
        <v>218.590582539194</v>
      </c>
      <c r="P62" s="4">
        <f>'Baseline System Analysis'!P19</f>
        <v>224.05534710267384</v>
      </c>
      <c r="Q62" s="4">
        <f>'Baseline System Analysis'!Q19</f>
        <v>229.65673078024065</v>
      </c>
      <c r="R62" s="4">
        <f>'Baseline System Analysis'!R19</f>
        <v>235.39814904974665</v>
      </c>
      <c r="S62" s="4">
        <f>'Baseline System Analysis'!S19</f>
        <v>241.2831027759903</v>
      </c>
      <c r="T62" s="4">
        <f>'Baseline System Analysis'!T19</f>
        <v>247.31518034539005</v>
      </c>
      <c r="U62" s="4">
        <f>'Baseline System Analysis'!U19</f>
        <v>253.49805985402477</v>
      </c>
      <c r="V62" s="4">
        <f>'Baseline System Analysis'!V19</f>
        <v>259.83551135037538</v>
      </c>
      <c r="W62" s="4">
        <f>'Baseline System Analysis'!W19</f>
        <v>266.33139913413476</v>
      </c>
      <c r="X62" s="4">
        <f>'Baseline System Analysis'!X19</f>
        <v>272.98968411248808</v>
      </c>
      <c r="Y62" s="4">
        <f>'Baseline System Analysis'!Y19</f>
        <v>279.81442621530027</v>
      </c>
      <c r="Z62" s="4">
        <f>'Baseline System Analysis'!Z19</f>
        <v>286.80978687068273</v>
      </c>
      <c r="AA62" s="4">
        <f>'Baseline System Analysis'!AA19</f>
        <v>293.98003154244975</v>
      </c>
      <c r="AB62" s="4">
        <f>'Baseline System Analysis'!AB19</f>
        <v>301.32953233101097</v>
      </c>
      <c r="AC62" s="4">
        <f>'Baseline System Analysis'!AC19</f>
        <v>308.86277063928623</v>
      </c>
      <c r="AD62" s="4">
        <f>'Baseline System Analysis'!AD19</f>
        <v>316.58433990526834</v>
      </c>
    </row>
    <row r="63" spans="1:30" x14ac:dyDescent="0.35">
      <c r="A63" s="72" t="s">
        <v>114</v>
      </c>
      <c r="B63" s="72" t="s">
        <v>113</v>
      </c>
      <c r="C63" s="72" t="s">
        <v>116</v>
      </c>
      <c r="D63" s="4">
        <f>'Baseline System Analysis'!D20</f>
        <v>153.83719106445315</v>
      </c>
      <c r="E63" s="4">
        <f>'Baseline System Analysis'!E20</f>
        <v>157.68312084106446</v>
      </c>
      <c r="F63" s="4">
        <f>'Baseline System Analysis'!F20</f>
        <v>161.62519886209105</v>
      </c>
      <c r="G63" s="4">
        <f>'Baseline System Analysis'!G20</f>
        <v>165.6658288336433</v>
      </c>
      <c r="H63" s="4">
        <f>'Baseline System Analysis'!H20</f>
        <v>169.80747455448437</v>
      </c>
      <c r="I63" s="4">
        <f>'Baseline System Analysis'!I20</f>
        <v>174.05266141834647</v>
      </c>
      <c r="J63" s="4">
        <f>'Baseline System Analysis'!J20</f>
        <v>178.40397795380511</v>
      </c>
      <c r="K63" s="4">
        <f>'Baseline System Analysis'!K20</f>
        <v>182.86407740265022</v>
      </c>
      <c r="L63" s="4">
        <f>'Baseline System Analysis'!L20</f>
        <v>187.43567933771646</v>
      </c>
      <c r="M63" s="4">
        <f>'Baseline System Analysis'!M20</f>
        <v>192.12157132115937</v>
      </c>
      <c r="N63" s="4">
        <f>'Baseline System Analysis'!N20</f>
        <v>196.92461060418833</v>
      </c>
      <c r="O63" s="4">
        <f>'Baseline System Analysis'!O20</f>
        <v>201.84772586929301</v>
      </c>
      <c r="P63" s="4">
        <f>'Baseline System Analysis'!P20</f>
        <v>206.89391901602534</v>
      </c>
      <c r="Q63" s="4">
        <f>'Baseline System Analysis'!Q20</f>
        <v>212.06626699142595</v>
      </c>
      <c r="R63" s="4">
        <f>'Baseline System Analysis'!R20</f>
        <v>217.36792366621157</v>
      </c>
      <c r="S63" s="4">
        <f>'Baseline System Analysis'!S20</f>
        <v>222.80212175786684</v>
      </c>
      <c r="T63" s="4">
        <f>'Baseline System Analysis'!T20</f>
        <v>228.37217480181349</v>
      </c>
      <c r="U63" s="4">
        <f>'Baseline System Analysis'!U20</f>
        <v>234.0814791718588</v>
      </c>
      <c r="V63" s="4">
        <f>'Baseline System Analysis'!V20</f>
        <v>239.93351615115526</v>
      </c>
      <c r="W63" s="4">
        <f>'Baseline System Analysis'!W20</f>
        <v>245.93185405493412</v>
      </c>
      <c r="X63" s="4">
        <f>'Baseline System Analysis'!X20</f>
        <v>252.08015040630744</v>
      </c>
      <c r="Y63" s="4">
        <f>'Baseline System Analysis'!Y20</f>
        <v>258.38215416646511</v>
      </c>
      <c r="Z63" s="4">
        <f>'Baseline System Analysis'!Z20</f>
        <v>264.8417080206267</v>
      </c>
      <c r="AA63" s="4">
        <f>'Baseline System Analysis'!AA20</f>
        <v>271.46275072114236</v>
      </c>
      <c r="AB63" s="4">
        <f>'Baseline System Analysis'!AB20</f>
        <v>278.24931948917089</v>
      </c>
      <c r="AC63" s="4">
        <f>'Baseline System Analysis'!AC20</f>
        <v>285.20555247640016</v>
      </c>
      <c r="AD63" s="4">
        <f>'Baseline System Analysis'!AD20</f>
        <v>292.33569128831016</v>
      </c>
    </row>
    <row r="64" spans="1:30" x14ac:dyDescent="0.35">
      <c r="A64" s="72"/>
      <c r="B64" s="72"/>
      <c r="C64" s="72"/>
      <c r="D64" s="72"/>
      <c r="E64" s="72"/>
      <c r="F64" s="72"/>
      <c r="G64" s="72"/>
      <c r="H64" s="72"/>
      <c r="I64" s="72"/>
      <c r="J64" s="72"/>
      <c r="K64" s="72"/>
      <c r="L64" s="72"/>
      <c r="M64" s="72"/>
      <c r="N64" s="72"/>
      <c r="O64" s="72"/>
      <c r="P64" s="72"/>
      <c r="Q64" s="72"/>
      <c r="R64" s="72"/>
      <c r="S64" s="72"/>
      <c r="T64" s="72"/>
      <c r="U64" s="72"/>
      <c r="V64" s="72"/>
      <c r="W64" s="72"/>
      <c r="X64" s="72"/>
      <c r="Y64" s="72"/>
      <c r="Z64" s="72"/>
      <c r="AA64" s="72"/>
      <c r="AB64" s="72"/>
      <c r="AC64" s="72"/>
      <c r="AD64" s="72"/>
    </row>
    <row r="65" spans="1:30" x14ac:dyDescent="0.35">
      <c r="A65" s="72" t="s">
        <v>117</v>
      </c>
      <c r="B65" s="72" t="s">
        <v>31</v>
      </c>
      <c r="C65" s="18">
        <f>NPV('Cost Assumptions'!$B$3,D65:AD65)</f>
        <v>115708.53844240215</v>
      </c>
      <c r="D65" s="4">
        <f>'Baseline System Analysis'!D24-D34</f>
        <v>1354.9655166582397</v>
      </c>
      <c r="E65" s="4">
        <f>'Baseline System Analysis'!E24-E34</f>
        <v>3468.8297365152371</v>
      </c>
      <c r="F65" s="4">
        <f>'Baseline System Analysis'!F24-F34</f>
        <v>5582.6939563722344</v>
      </c>
      <c r="G65" s="4">
        <f>'Baseline System Analysis'!G24-G34</f>
        <v>7696.5581762292313</v>
      </c>
      <c r="H65" s="4">
        <f>'Baseline System Analysis'!H24-H34</f>
        <v>9810.4223960862291</v>
      </c>
      <c r="I65" s="4">
        <f>'Baseline System Analysis'!I24-I34</f>
        <v>11924.286615943227</v>
      </c>
      <c r="J65" s="4">
        <f>'Baseline System Analysis'!J24-J34</f>
        <v>6575.4727524326809</v>
      </c>
      <c r="K65" s="4">
        <f>'Baseline System Analysis'!K24-K34</f>
        <v>6181.0954781128303</v>
      </c>
      <c r="L65" s="4">
        <f>'Baseline System Analysis'!L24-L34</f>
        <v>5847.974201969816</v>
      </c>
      <c r="M65" s="4">
        <f>'Baseline System Analysis'!M24-M34</f>
        <v>4510.2739142390865</v>
      </c>
      <c r="N65" s="4">
        <f>'Baseline System Analysis'!N24-N34</f>
        <v>6788.6874508083929</v>
      </c>
      <c r="O65" s="4">
        <f>'Baseline System Analysis'!O24-O34</f>
        <v>8996.0918841130697</v>
      </c>
      <c r="P65" s="4">
        <f>'Baseline System Analysis'!P24-P34</f>
        <v>11203.496317417746</v>
      </c>
      <c r="Q65" s="4">
        <f>'Baseline System Analysis'!Q24-Q34</f>
        <v>13410.900750722423</v>
      </c>
      <c r="R65" s="4">
        <f>'Baseline System Analysis'!R24-R34</f>
        <v>15618.3051840271</v>
      </c>
      <c r="S65" s="4">
        <f>'Baseline System Analysis'!S24-S34</f>
        <v>17825.709617331773</v>
      </c>
      <c r="T65" s="4">
        <f>'Baseline System Analysis'!T24-T34</f>
        <v>20033.114050636446</v>
      </c>
      <c r="U65" s="4">
        <f>'Baseline System Analysis'!U24-U34</f>
        <v>25249.851462654617</v>
      </c>
      <c r="V65" s="4">
        <f>'Baseline System Analysis'!V24-V34</f>
        <v>30466.588874672772</v>
      </c>
      <c r="W65" s="4">
        <f>'Baseline System Analysis'!W24-W34</f>
        <v>35683.326286690921</v>
      </c>
      <c r="X65" s="4">
        <f>'Baseline System Analysis'!X24-X34</f>
        <v>40900.063698709069</v>
      </c>
      <c r="Y65" s="4">
        <f>'Baseline System Analysis'!Y24-Y34</f>
        <v>46116.801110727247</v>
      </c>
      <c r="Z65" s="4">
        <f>'Baseline System Analysis'!Z24-Z34</f>
        <v>52046.834436993202</v>
      </c>
      <c r="AA65" s="4">
        <f>'Baseline System Analysis'!AA24-AA34</f>
        <v>57976.867763259157</v>
      </c>
      <c r="AB65" s="4">
        <f>'Baseline System Analysis'!AB24-AB34</f>
        <v>63906.901089525141</v>
      </c>
      <c r="AC65" s="4">
        <f>'Baseline System Analysis'!AC24-AC34</f>
        <v>69836.934415791126</v>
      </c>
      <c r="AD65" s="4">
        <f>'Baseline System Analysis'!AD24-AD34</f>
        <v>75766.967742057052</v>
      </c>
    </row>
    <row r="66" spans="1:30" x14ac:dyDescent="0.35">
      <c r="A66" s="72" t="s">
        <v>119</v>
      </c>
      <c r="B66" s="72" t="s">
        <v>31</v>
      </c>
      <c r="C66" s="18">
        <f>NPV('Cost Assumptions'!$B$3,D66:AD66)</f>
        <v>461063.98619716021</v>
      </c>
      <c r="D66" s="4">
        <f>'Baseline System Analysis'!D25-D35</f>
        <v>5622.4102100812415</v>
      </c>
      <c r="E66" s="4">
        <f>'Baseline System Analysis'!E25-E35</f>
        <v>14393.85983468976</v>
      </c>
      <c r="F66" s="4">
        <f>'Baseline System Analysis'!F25-F35</f>
        <v>23165.309459298278</v>
      </c>
      <c r="G66" s="4">
        <f>'Baseline System Analysis'!G25-G35</f>
        <v>31936.759083906796</v>
      </c>
      <c r="H66" s="4">
        <f>'Baseline System Analysis'!H25-H35</f>
        <v>40708.208708515318</v>
      </c>
      <c r="I66" s="4">
        <f>'Baseline System Analysis'!I25-I35</f>
        <v>49479.658333123836</v>
      </c>
      <c r="J66" s="4">
        <f>'Baseline System Analysis'!J25-J35</f>
        <v>27284.831004827258</v>
      </c>
      <c r="K66" s="4">
        <f>'Baseline System Analysis'!K25-K35</f>
        <v>16898.613530418908</v>
      </c>
      <c r="L66" s="4">
        <f>'Baseline System Analysis'!L25-L35</f>
        <v>7862.8384534391007</v>
      </c>
      <c r="M66" s="4">
        <f>'Baseline System Analysis'!M25-M35</f>
        <v>-2108.6759999326896</v>
      </c>
      <c r="N66" s="4">
        <f>'Baseline System Analysis'!N25-N35</f>
        <v>28169.562374259862</v>
      </c>
      <c r="O66" s="4">
        <f>'Baseline System Analysis'!O25-O35</f>
        <v>37329.155789005905</v>
      </c>
      <c r="P66" s="4">
        <f>'Baseline System Analysis'!P25-P35</f>
        <v>46488.749203751955</v>
      </c>
      <c r="Q66" s="4">
        <f>'Baseline System Analysis'!Q25-Q35</f>
        <v>55648.342618497991</v>
      </c>
      <c r="R66" s="4">
        <f>'Baseline System Analysis'!R25-R35</f>
        <v>64807.936033244026</v>
      </c>
      <c r="S66" s="4">
        <f>'Baseline System Analysis'!S25-S35</f>
        <v>73967.529447990062</v>
      </c>
      <c r="T66" s="4">
        <f>'Baseline System Analysis'!T25-T35</f>
        <v>83127.122862736112</v>
      </c>
      <c r="U66" s="4">
        <f>'Baseline System Analysis'!U25-U35</f>
        <v>104773.90082722786</v>
      </c>
      <c r="V66" s="4">
        <f>'Baseline System Analysis'!V25-V35</f>
        <v>126420.67879171961</v>
      </c>
      <c r="W66" s="4">
        <f>'Baseline System Analysis'!W25-W35</f>
        <v>148067.45675621135</v>
      </c>
      <c r="X66" s="4">
        <f>'Baseline System Analysis'!X25-X35</f>
        <v>169714.23472070316</v>
      </c>
      <c r="Y66" s="4">
        <f>'Baseline System Analysis'!Y25-Y35</f>
        <v>191361.01268519484</v>
      </c>
      <c r="Z66" s="4">
        <f>'Baseline System Analysis'!Z25-Z35</f>
        <v>215967.60193770134</v>
      </c>
      <c r="AA66" s="4">
        <f>'Baseline System Analysis'!AA25-AA35</f>
        <v>240574.19119020808</v>
      </c>
      <c r="AB66" s="4">
        <f>'Baseline System Analysis'!AB25-AB35</f>
        <v>265180.78044271469</v>
      </c>
      <c r="AC66" s="4">
        <f>'Baseline System Analysis'!AC25-AC35</f>
        <v>289787.36969522131</v>
      </c>
      <c r="AD66" s="4">
        <f>'Baseline System Analysis'!AD25-AD35</f>
        <v>314393.95894772769</v>
      </c>
    </row>
    <row r="67" spans="1:30" x14ac:dyDescent="0.35">
      <c r="A67" s="72" t="s">
        <v>24</v>
      </c>
      <c r="B67" s="72" t="s">
        <v>31</v>
      </c>
      <c r="C67" s="18">
        <f>NPV('Cost Assumptions'!$B$3,D67:AD67)</f>
        <v>576772.52463956224</v>
      </c>
      <c r="D67" s="4">
        <f>SUM(D65:D66)</f>
        <v>6977.3757267394813</v>
      </c>
      <c r="E67" s="4">
        <f t="shared" ref="E67:AD67" si="5">SUM(E65:E66)</f>
        <v>17862.689571204995</v>
      </c>
      <c r="F67" s="4">
        <f t="shared" si="5"/>
        <v>28748.003415670511</v>
      </c>
      <c r="G67" s="4">
        <f t="shared" si="5"/>
        <v>39633.317260136027</v>
      </c>
      <c r="H67" s="4">
        <f t="shared" si="5"/>
        <v>50518.631104601547</v>
      </c>
      <c r="I67" s="4">
        <f t="shared" si="5"/>
        <v>61403.944949067067</v>
      </c>
      <c r="J67" s="4">
        <f t="shared" si="5"/>
        <v>33860.303757259942</v>
      </c>
      <c r="K67" s="4">
        <f t="shared" si="5"/>
        <v>23079.70900853174</v>
      </c>
      <c r="L67" s="4">
        <f t="shared" si="5"/>
        <v>13710.812655408918</v>
      </c>
      <c r="M67" s="4">
        <f t="shared" si="5"/>
        <v>2401.5979143063969</v>
      </c>
      <c r="N67" s="4">
        <f t="shared" si="5"/>
        <v>34958.249825068255</v>
      </c>
      <c r="O67" s="4">
        <f t="shared" si="5"/>
        <v>46325.247673118974</v>
      </c>
      <c r="P67" s="4">
        <f t="shared" si="5"/>
        <v>57692.245521169702</v>
      </c>
      <c r="Q67" s="4">
        <f t="shared" si="5"/>
        <v>69059.243369220407</v>
      </c>
      <c r="R67" s="4">
        <f t="shared" si="5"/>
        <v>80426.241217271134</v>
      </c>
      <c r="S67" s="4">
        <f t="shared" si="5"/>
        <v>91793.239065321832</v>
      </c>
      <c r="T67" s="4">
        <f t="shared" si="5"/>
        <v>103160.23691337256</v>
      </c>
      <c r="U67" s="4">
        <f t="shared" si="5"/>
        <v>130023.75228988248</v>
      </c>
      <c r="V67" s="4">
        <f t="shared" si="5"/>
        <v>156887.26766639238</v>
      </c>
      <c r="W67" s="4">
        <f t="shared" si="5"/>
        <v>183750.78304290227</v>
      </c>
      <c r="X67" s="4">
        <f t="shared" si="5"/>
        <v>210614.29841941223</v>
      </c>
      <c r="Y67" s="4">
        <f t="shared" si="5"/>
        <v>237477.81379592209</v>
      </c>
      <c r="Z67" s="4">
        <f t="shared" si="5"/>
        <v>268014.43637469457</v>
      </c>
      <c r="AA67" s="4">
        <f t="shared" si="5"/>
        <v>298551.05895346723</v>
      </c>
      <c r="AB67" s="4">
        <f t="shared" si="5"/>
        <v>329087.68153223983</v>
      </c>
      <c r="AC67" s="4">
        <f t="shared" si="5"/>
        <v>359624.30411101243</v>
      </c>
      <c r="AD67" s="4">
        <f t="shared" si="5"/>
        <v>390160.92668978474</v>
      </c>
    </row>
    <row r="68" spans="1:30" x14ac:dyDescent="0.35">
      <c r="A68" s="72"/>
      <c r="B68" s="72"/>
      <c r="C68" s="72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</row>
    <row r="69" spans="1:30" x14ac:dyDescent="0.35">
      <c r="A69" s="72" t="s">
        <v>120</v>
      </c>
      <c r="B69" s="72" t="s">
        <v>31</v>
      </c>
      <c r="C69" s="18">
        <f>NPV('Cost Assumptions'!$B$3,D69:AD69)</f>
        <v>21263585.462331757</v>
      </c>
      <c r="D69" s="4">
        <f>'Baseline System Analysis'!D28-D32</f>
        <v>160311.2620318876</v>
      </c>
      <c r="E69" s="4">
        <f>'Baseline System Analysis'!E28-E32</f>
        <v>426681.41358302307</v>
      </c>
      <c r="F69" s="4">
        <f>'Baseline System Analysis'!F28-F32</f>
        <v>622797.58403751405</v>
      </c>
      <c r="G69" s="4">
        <f>'Baseline System Analysis'!G28-G32</f>
        <v>833710.68965832237</v>
      </c>
      <c r="H69" s="4">
        <f>'Baseline System Analysis'!H28-H32</f>
        <v>1064544.9637495263</v>
      </c>
      <c r="I69" s="4">
        <f>'Baseline System Analysis'!I28-I32</f>
        <v>1155248.1483230039</v>
      </c>
      <c r="J69" s="4">
        <f>'Baseline System Analysis'!J28-J32</f>
        <v>1567795.6535710837</v>
      </c>
      <c r="K69" s="4">
        <f>'Baseline System Analysis'!K28-K32</f>
        <v>1347745.4554885479</v>
      </c>
      <c r="L69" s="4">
        <f>'Baseline System Analysis'!L28-L32</f>
        <v>1143199.8672408643</v>
      </c>
      <c r="M69" s="4">
        <f>'Baseline System Analysis'!M28-M32</f>
        <v>1340230.0479167867</v>
      </c>
      <c r="N69" s="4">
        <f>'Baseline System Analysis'!N28-N32</f>
        <v>1211871.2277846751</v>
      </c>
      <c r="O69" s="4">
        <f>'Baseline System Analysis'!O28-O32</f>
        <v>1844840.0090543826</v>
      </c>
      <c r="P69" s="4">
        <f>'Baseline System Analysis'!P28-P32</f>
        <v>2356895.0256503327</v>
      </c>
      <c r="Q69" s="4">
        <f>'Baseline System Analysis'!Q28-Q32</f>
        <v>2752240.7792296447</v>
      </c>
      <c r="R69" s="4">
        <f>'Baseline System Analysis'!R28-R32</f>
        <v>3027229.6243104208</v>
      </c>
      <c r="S69" s="4">
        <f>'Baseline System Analysis'!S28-S32</f>
        <v>3574170.2355844118</v>
      </c>
      <c r="T69" s="4">
        <f>'Baseline System Analysis'!T28-T32</f>
        <v>4274252.63077005</v>
      </c>
      <c r="U69" s="4">
        <f>'Baseline System Analysis'!U28-U32</f>
        <v>4713394.8727853559</v>
      </c>
      <c r="V69" s="4">
        <f>'Baseline System Analysis'!V28-V32</f>
        <v>5596446.2180361524</v>
      </c>
      <c r="W69" s="4">
        <f>'Baseline System Analysis'!W28-W32</f>
        <v>6313895.4168120315</v>
      </c>
      <c r="X69" s="4">
        <f>'Baseline System Analysis'!X28-X32</f>
        <v>7922712.7708369503</v>
      </c>
      <c r="Y69" s="4">
        <f>'Baseline System Analysis'!Y28-Y32</f>
        <v>9161103.6017228775</v>
      </c>
      <c r="Z69" s="4">
        <f>'Baseline System Analysis'!Z28-Z32</f>
        <v>10555571.866404958</v>
      </c>
      <c r="AA69" s="4">
        <f>'Baseline System Analysis'!AA28-AA32</f>
        <v>12087570.999807335</v>
      </c>
      <c r="AB69" s="4">
        <f>'Baseline System Analysis'!AB28-AB32</f>
        <v>13962387.098789705</v>
      </c>
      <c r="AC69" s="4">
        <f>'Baseline System Analysis'!AC28-AC32</f>
        <v>15463123.290944938</v>
      </c>
      <c r="AD69" s="4">
        <f>'Baseline System Analysis'!AD28-AD32</f>
        <v>17334950.666844245</v>
      </c>
    </row>
    <row r="70" spans="1:30" x14ac:dyDescent="0.35">
      <c r="A70" s="72" t="s">
        <v>121</v>
      </c>
      <c r="B70" s="72" t="s">
        <v>31</v>
      </c>
      <c r="C70" s="18">
        <f>NPV('Cost Assumptions'!$B$3,D70:AD70)</f>
        <v>96708426.187720627</v>
      </c>
      <c r="D70" s="4">
        <f>'Baseline System Analysis'!D29-D33</f>
        <v>903346.68264248176</v>
      </c>
      <c r="E70" s="4">
        <f>'Baseline System Analysis'!E29-E33</f>
        <v>2253380.2014470203</v>
      </c>
      <c r="F70" s="4">
        <f>'Baseline System Analysis'!F29-F33</f>
        <v>3310518.2522157584</v>
      </c>
      <c r="G70" s="4">
        <f>'Baseline System Analysis'!G29-G33</f>
        <v>4447479.3478986584</v>
      </c>
      <c r="H70" s="4">
        <f>'Baseline System Analysis'!H29-H33</f>
        <v>5587189.795765399</v>
      </c>
      <c r="I70" s="4">
        <f>'Baseline System Analysis'!I29-I33</f>
        <v>5454549.1605001325</v>
      </c>
      <c r="J70" s="4">
        <f>'Baseline System Analysis'!J29-J33</f>
        <v>7543147.8061243081</v>
      </c>
      <c r="K70" s="4">
        <f>'Baseline System Analysis'!K29-K33</f>
        <v>6412592.364404032</v>
      </c>
      <c r="L70" s="4">
        <f>'Baseline System Analysis'!L29-L33</f>
        <v>5385232.8797742622</v>
      </c>
      <c r="M70" s="4">
        <f>'Baseline System Analysis'!M29-M33</f>
        <v>6340117.1212563487</v>
      </c>
      <c r="N70" s="4">
        <f>'Baseline System Analysis'!N29-N33</f>
        <v>6361112.9189538537</v>
      </c>
      <c r="O70" s="4">
        <f>'Baseline System Analysis'!O29-O33</f>
        <v>8895771.1264487375</v>
      </c>
      <c r="P70" s="4">
        <f>'Baseline System Analysis'!P29-P33</f>
        <v>11481103.835917845</v>
      </c>
      <c r="Q70" s="4">
        <f>'Baseline System Analysis'!Q29-Q33</f>
        <v>12843987.910857875</v>
      </c>
      <c r="R70" s="4">
        <f>'Baseline System Analysis'!R29-R33</f>
        <v>13215512.839680444</v>
      </c>
      <c r="S70" s="4">
        <f>'Baseline System Analysis'!S29-S33</f>
        <v>15554730.869265946</v>
      </c>
      <c r="T70" s="4">
        <f>'Baseline System Analysis'!T29-T33</f>
        <v>18612125.65572172</v>
      </c>
      <c r="U70" s="4">
        <f>'Baseline System Analysis'!U29-U33</f>
        <v>19522607.877254769</v>
      </c>
      <c r="V70" s="4">
        <f>'Baseline System Analysis'!V29-V33</f>
        <v>22888764.29533688</v>
      </c>
      <c r="W70" s="4">
        <f>'Baseline System Analysis'!W29-W33</f>
        <v>25924903.935343191</v>
      </c>
      <c r="X70" s="4">
        <f>'Baseline System Analysis'!X29-X33</f>
        <v>33614721.114829548</v>
      </c>
      <c r="Y70" s="4">
        <f>'Baseline System Analysis'!Y29-Y33</f>
        <v>39005463.923165694</v>
      </c>
      <c r="Z70" s="4">
        <f>'Baseline System Analysis'!Z29-Z33</f>
        <v>45199207.378287107</v>
      </c>
      <c r="AA70" s="4">
        <f>'Baseline System Analysis'!AA29-AA33</f>
        <v>52327042.259437419</v>
      </c>
      <c r="AB70" s="4">
        <f>'Baseline System Analysis'!AB29-AB33</f>
        <v>61886766.178401105</v>
      </c>
      <c r="AC70" s="4">
        <f>'Baseline System Analysis'!AC29-AC33</f>
        <v>69085046.909089923</v>
      </c>
      <c r="AD70" s="4">
        <f>'Baseline System Analysis'!AD29-AD33</f>
        <v>79288371.476567596</v>
      </c>
    </row>
    <row r="71" spans="1:30" x14ac:dyDescent="0.35">
      <c r="A71" s="72" t="s">
        <v>24</v>
      </c>
      <c r="B71" s="72" t="s">
        <v>31</v>
      </c>
      <c r="C71" s="18">
        <f>NPV('Cost Assumptions'!$B$3,D71:AD71)</f>
        <v>117972011.6500524</v>
      </c>
      <c r="D71" s="4">
        <f>SUM(D69:D70)</f>
        <v>1063657.9446743694</v>
      </c>
      <c r="E71" s="4">
        <f t="shared" ref="E71:AD71" si="6">SUM(E69:E70)</f>
        <v>2680061.6150300433</v>
      </c>
      <c r="F71" s="4">
        <f t="shared" si="6"/>
        <v>3933315.8362532724</v>
      </c>
      <c r="G71" s="4">
        <f t="shared" si="6"/>
        <v>5281190.0375569807</v>
      </c>
      <c r="H71" s="4">
        <f t="shared" si="6"/>
        <v>6651734.7595149251</v>
      </c>
      <c r="I71" s="4">
        <f t="shared" si="6"/>
        <v>6609797.3088231366</v>
      </c>
      <c r="J71" s="4">
        <f t="shared" si="6"/>
        <v>9110943.4596953914</v>
      </c>
      <c r="K71" s="4">
        <f t="shared" si="6"/>
        <v>7760337.8198925797</v>
      </c>
      <c r="L71" s="4">
        <f t="shared" si="6"/>
        <v>6528432.747015126</v>
      </c>
      <c r="M71" s="4">
        <f t="shared" si="6"/>
        <v>7680347.1691731354</v>
      </c>
      <c r="N71" s="4">
        <f t="shared" si="6"/>
        <v>7572984.1467385292</v>
      </c>
      <c r="O71" s="4">
        <f t="shared" si="6"/>
        <v>10740611.135503121</v>
      </c>
      <c r="P71" s="4">
        <f t="shared" si="6"/>
        <v>13837998.861568179</v>
      </c>
      <c r="Q71" s="4">
        <f t="shared" si="6"/>
        <v>15596228.69008752</v>
      </c>
      <c r="R71" s="4">
        <f t="shared" si="6"/>
        <v>16242742.463990865</v>
      </c>
      <c r="S71" s="4">
        <f t="shared" si="6"/>
        <v>19128901.104850359</v>
      </c>
      <c r="T71" s="4">
        <f t="shared" si="6"/>
        <v>22886378.28649177</v>
      </c>
      <c r="U71" s="4">
        <f t="shared" si="6"/>
        <v>24236002.750040125</v>
      </c>
      <c r="V71" s="4">
        <f t="shared" si="6"/>
        <v>28485210.513373032</v>
      </c>
      <c r="W71" s="4">
        <f t="shared" si="6"/>
        <v>32238799.352155223</v>
      </c>
      <c r="X71" s="4">
        <f t="shared" si="6"/>
        <v>41537433.885666497</v>
      </c>
      <c r="Y71" s="4">
        <f t="shared" si="6"/>
        <v>48166567.524888575</v>
      </c>
      <c r="Z71" s="4">
        <f t="shared" si="6"/>
        <v>55754779.244692065</v>
      </c>
      <c r="AA71" s="4">
        <f t="shared" si="6"/>
        <v>64414613.259244755</v>
      </c>
      <c r="AB71" s="4">
        <f t="shared" si="6"/>
        <v>75849153.277190804</v>
      </c>
      <c r="AC71" s="4">
        <f t="shared" si="6"/>
        <v>84548170.200034857</v>
      </c>
      <c r="AD71" s="4">
        <f t="shared" si="6"/>
        <v>96623322.143411845</v>
      </c>
    </row>
    <row r="72" spans="1:30" x14ac:dyDescent="0.35">
      <c r="A72" s="72"/>
      <c r="B72" s="72"/>
      <c r="C72" s="72"/>
      <c r="D72" s="72"/>
      <c r="E72" s="72"/>
      <c r="F72" s="72"/>
      <c r="G72" s="72"/>
      <c r="H72" s="72"/>
      <c r="I72" s="72"/>
      <c r="J72" s="72"/>
      <c r="K72" s="72"/>
      <c r="L72" s="72"/>
      <c r="M72" s="72"/>
      <c r="N72" s="72"/>
      <c r="O72" s="72"/>
      <c r="P72" s="72"/>
      <c r="Q72" s="72"/>
      <c r="R72" s="72"/>
      <c r="S72" s="72"/>
      <c r="T72" s="72"/>
      <c r="U72" s="72"/>
      <c r="V72" s="72"/>
      <c r="W72" s="72"/>
      <c r="X72" s="72"/>
      <c r="Y72" s="72"/>
      <c r="Z72" s="72"/>
      <c r="AA72" s="72"/>
      <c r="AB72" s="72"/>
      <c r="AC72" s="72"/>
      <c r="AD72" s="72"/>
    </row>
    <row r="73" spans="1:30" x14ac:dyDescent="0.35">
      <c r="A73" s="72" t="s">
        <v>117</v>
      </c>
      <c r="B73" s="72" t="s">
        <v>144</v>
      </c>
      <c r="C73" s="18">
        <f>NPV('Cost Assumptions'!$B$3,D73:AD73)</f>
        <v>447270038.48361361</v>
      </c>
      <c r="D73" s="53">
        <f>ABS((D49*D60*1000*'Cost Assumptions'!$B$6)/'Cost Assumptions'!$B$14)</f>
        <v>13206640.153751392</v>
      </c>
      <c r="E73" s="53">
        <f>ABS((E49*E60*1000*'Cost Assumptions'!$B$6)/'Cost Assumptions'!$B$14)</f>
        <v>17999839.332969867</v>
      </c>
      <c r="F73" s="53">
        <f>ABS((F49*F60*1000*'Cost Assumptions'!$B$6)/'Cost Assumptions'!$B$14)</f>
        <v>23024444.321053173</v>
      </c>
      <c r="G73" s="53">
        <f>ABS((G49*G60*1000*'Cost Assumptions'!$B$6)/'Cost Assumptions'!$B$14)</f>
        <v>28289029.658957537</v>
      </c>
      <c r="H73" s="53">
        <f>ABS((H49*H60*1000*'Cost Assumptions'!$B$6)/'Cost Assumptions'!$B$14)</f>
        <v>33802453.986056462</v>
      </c>
      <c r="I73" s="53">
        <f>ABS((I49*I60*1000*'Cost Assumptions'!$B$6)/'Cost Assumptions'!$B$14)</f>
        <v>39573868.885973476</v>
      </c>
      <c r="J73" s="53">
        <f>ABS((J49*J60*1000*'Cost Assumptions'!$B$6)/'Cost Assumptions'!$B$14)</f>
        <v>45612727.997145057</v>
      </c>
      <c r="K73" s="53">
        <f>ABS((K49*K60*1000*'Cost Assumptions'!$B$6)/'Cost Assumptions'!$B$14)</f>
        <v>45799611.960064963</v>
      </c>
      <c r="L73" s="53">
        <f>ABS((L49*L60*1000*'Cost Assumptions'!$B$6)/'Cost Assumptions'!$B$14)</f>
        <v>45967332.166132644</v>
      </c>
      <c r="M73" s="53">
        <f>ABS((M49*M60*1000*'Cost Assumptions'!$B$6)/'Cost Assumptions'!$B$14)</f>
        <v>41580903.738583647</v>
      </c>
      <c r="N73" s="53">
        <f>ABS((N49*N60*1000*'Cost Assumptions'!$B$6)/'Cost Assumptions'!$B$14)</f>
        <v>45115390.672378622</v>
      </c>
      <c r="O73" s="53">
        <f>ABS((O49*O60*1000*'Cost Assumptions'!$B$6)/'Cost Assumptions'!$B$14)</f>
        <v>58096118.964771852</v>
      </c>
      <c r="P73" s="53">
        <f>ABS((P49*P60*1000*'Cost Assumptions'!$B$6)/'Cost Assumptions'!$B$14)</f>
        <v>63264326.819286123</v>
      </c>
      <c r="Q73" s="53">
        <f>ABS((Q49*Q60*1000*'Cost Assumptions'!$B$6)/'Cost Assumptions'!$B$14)</f>
        <v>68097166.018974602</v>
      </c>
      <c r="R73" s="53">
        <f>ABS((R49*R60*1000*'Cost Assumptions'!$B$6)/'Cost Assumptions'!$B$14)</f>
        <v>73132106.97438544</v>
      </c>
      <c r="S73" s="53">
        <f>ABS((S49*S60*1000*'Cost Assumptions'!$B$6)/'Cost Assumptions'!$B$14)</f>
        <v>78376234.248804957</v>
      </c>
      <c r="T73" s="53">
        <f>ABS((T49*T60*1000*'Cost Assumptions'!$B$6)/'Cost Assumptions'!$B$14)</f>
        <v>83836860.320086494</v>
      </c>
      <c r="U73" s="53">
        <f>ABS((U49*U60*1000*'Cost Assumptions'!$B$6)/'Cost Assumptions'!$B$14)</f>
        <v>89521532.54852657</v>
      </c>
      <c r="V73" s="53">
        <f>ABS((V49*V60*1000*'Cost Assumptions'!$B$6)/'Cost Assumptions'!$B$14)</f>
        <v>95438040.350688607</v>
      </c>
      <c r="W73" s="53">
        <f>ABS((W49*W60*1000*'Cost Assumptions'!$B$6)/'Cost Assumptions'!$B$14)</f>
        <v>101594422.58511591</v>
      </c>
      <c r="X73" s="53">
        <f>ABS((X49*X60*1000*'Cost Assumptions'!$B$6)/'Cost Assumptions'!$B$14)</f>
        <v>107998975.15604539</v>
      </c>
      <c r="Y73" s="53">
        <f>ABS((Y49*Y60*1000*'Cost Assumptions'!$B$6)/'Cost Assumptions'!$B$14)</f>
        <v>114660258.84140566</v>
      </c>
      <c r="Z73" s="53">
        <f>ABS((Z49*Z60*1000*'Cost Assumptions'!$B$6)/'Cost Assumptions'!$B$14)</f>
        <v>121587107.3515614</v>
      </c>
      <c r="AA73" s="53">
        <f>ABS((AA49*AA60*1000*'Cost Assumptions'!$B$6)/'Cost Assumptions'!$B$14)</f>
        <v>128788635.62544905</v>
      </c>
      <c r="AB73" s="53">
        <f>ABS((AB49*AB60*1000*'Cost Assumptions'!$B$6)/'Cost Assumptions'!$B$14)</f>
        <v>136274248.37093639</v>
      </c>
      <c r="AC73" s="53">
        <f>ABS((AC49*AC60*1000*'Cost Assumptions'!$B$6)/'Cost Assumptions'!$B$14)</f>
        <v>144053648.85643217</v>
      </c>
      <c r="AD73" s="53">
        <f>ABS((AD49*AD60*1000*'Cost Assumptions'!$B$6)/'Cost Assumptions'!$B$14)</f>
        <v>152136847.96097091</v>
      </c>
    </row>
    <row r="74" spans="1:30" x14ac:dyDescent="0.35">
      <c r="A74" s="72" t="s">
        <v>119</v>
      </c>
      <c r="B74" s="72" t="s">
        <v>144</v>
      </c>
      <c r="C74" s="18">
        <f>NPV('Cost Assumptions'!$B$3,D74:AD74)</f>
        <v>1842588193.2896931</v>
      </c>
      <c r="D74" s="53">
        <f>ABS((D49*D62*1000*'Cost Assumptions'!$B$7)/'Cost Assumptions'!$B$14)</f>
        <v>54406504.184427761</v>
      </c>
      <c r="E74" s="53">
        <f>ABS((E49*E62*1000*'Cost Assumptions'!$B$7)/'Cost Assumptions'!$B$14)</f>
        <v>74152723.371513724</v>
      </c>
      <c r="F74" s="53">
        <f>ABS((F49*F62*1000*'Cost Assumptions'!$B$7)/'Cost Assumptions'!$B$14)</f>
        <v>94852249.452838719</v>
      </c>
      <c r="G74" s="53">
        <f>ABS((G49*G62*1000*'Cost Assumptions'!$B$7)/'Cost Assumptions'!$B$14)</f>
        <v>116540406.38612278</v>
      </c>
      <c r="H74" s="53">
        <f>ABS((H49*H62*1000*'Cost Assumptions'!$B$7)/'Cost Assumptions'!$B$14)</f>
        <v>139253688.51016301</v>
      </c>
      <c r="I74" s="53">
        <f>ABS((I49*I62*1000*'Cost Assumptions'!$B$7)/'Cost Assumptions'!$B$14)</f>
        <v>163029796.98641393</v>
      </c>
      <c r="J74" s="53">
        <f>ABS((J49*J62*1000*'Cost Assumptions'!$B$7)/'Cost Assumptions'!$B$14)</f>
        <v>187907677.33115849</v>
      </c>
      <c r="K74" s="53">
        <f>ABS((K49*K62*1000*'Cost Assumptions'!$B$7)/'Cost Assumptions'!$B$14)</f>
        <v>188677570.58123812</v>
      </c>
      <c r="L74" s="53">
        <f>ABS((L49*L62*1000*'Cost Assumptions'!$B$7)/'Cost Assumptions'!$B$14)</f>
        <v>189368516.19548973</v>
      </c>
      <c r="M74" s="53">
        <f>ABS((M49*M62*1000*'Cost Assumptions'!$B$7)/'Cost Assumptions'!$B$14)</f>
        <v>171298043.02292079</v>
      </c>
      <c r="N74" s="53">
        <f>ABS((N49*N62*1000*'Cost Assumptions'!$B$7)/'Cost Assumptions'!$B$14)</f>
        <v>185858830.3173863</v>
      </c>
      <c r="O74" s="53">
        <f>ABS((O49*O62*1000*'Cost Assumptions'!$B$7)/'Cost Assumptions'!$B$14)</f>
        <v>239334660.65235633</v>
      </c>
      <c r="P74" s="53">
        <f>ABS((P49*P62*1000*'Cost Assumptions'!$B$7)/'Cost Assumptions'!$B$14)</f>
        <v>260625777.77140287</v>
      </c>
      <c r="Q74" s="53">
        <f>ABS((Q49*Q62*1000*'Cost Assumptions'!$B$7)/'Cost Assumptions'!$B$14)</f>
        <v>280535299.27569169</v>
      </c>
      <c r="R74" s="53">
        <f>ABS((R49*R62*1000*'Cost Assumptions'!$B$7)/'Cost Assumptions'!$B$14)</f>
        <v>301277405.74408782</v>
      </c>
      <c r="S74" s="53">
        <f>ABS((S49*S62*1000*'Cost Assumptions'!$B$7)/'Cost Assumptions'!$B$14)</f>
        <v>322881282.97385645</v>
      </c>
      <c r="T74" s="53">
        <f>ABS((T49*T62*1000*'Cost Assumptions'!$B$7)/'Cost Assumptions'!$B$14)</f>
        <v>345377055.6865235</v>
      </c>
      <c r="U74" s="53">
        <f>ABS((U49*U62*1000*'Cost Assumptions'!$B$7)/'Cost Assumptions'!$B$14)</f>
        <v>368795816.23296523</v>
      </c>
      <c r="V74" s="53">
        <f>ABS((V49*V62*1000*'Cost Assumptions'!$B$7)/'Cost Assumptions'!$B$14)</f>
        <v>393169654.14692491</v>
      </c>
      <c r="W74" s="53">
        <f>ABS((W49*W62*1000*'Cost Assumptions'!$B$7)/'Cost Assumptions'!$B$14)</f>
        <v>418531686.571437</v>
      </c>
      <c r="X74" s="53">
        <f>ABS((X49*X62*1000*'Cost Assumptions'!$B$7)/'Cost Assumptions'!$B$14)</f>
        <v>444916089.58333284</v>
      </c>
      <c r="Y74" s="53">
        <f>ABS((Y49*Y62*1000*'Cost Assumptions'!$B$7)/'Cost Assumptions'!$B$14)</f>
        <v>472358130.44171625</v>
      </c>
      <c r="Z74" s="53">
        <f>ABS((Z49*Z62*1000*'Cost Assumptions'!$B$7)/'Cost Assumptions'!$B$14)</f>
        <v>500894200.78702933</v>
      </c>
      <c r="AA74" s="53">
        <f>ABS((AA49*AA62*1000*'Cost Assumptions'!$B$7)/'Cost Assumptions'!$B$14)</f>
        <v>530561850.81808192</v>
      </c>
      <c r="AB74" s="53">
        <f>ABS((AB49*AB62*1000*'Cost Assumptions'!$B$7)/'Cost Assumptions'!$B$14)</f>
        <v>561399824.47519541</v>
      </c>
      <c r="AC74" s="53">
        <f>ABS((AC49*AC62*1000*'Cost Assumptions'!$B$7)/'Cost Assumptions'!$B$14)</f>
        <v>593448095.65840316</v>
      </c>
      <c r="AD74" s="53">
        <f>ABS((AD49*AD62*1000*'Cost Assumptions'!$B$7)/'Cost Assumptions'!$B$14)</f>
        <v>626747905.51047421</v>
      </c>
    </row>
    <row r="75" spans="1:30" x14ac:dyDescent="0.35">
      <c r="A75" s="72" t="s">
        <v>24</v>
      </c>
      <c r="B75" s="72" t="s">
        <v>144</v>
      </c>
      <c r="C75" s="18">
        <f>NPV('Cost Assumptions'!$B$3,D75:AD75)</f>
        <v>2289858231.7733064</v>
      </c>
      <c r="D75" s="53">
        <f>SUM(D73:D74)</f>
        <v>67613144.338179156</v>
      </c>
      <c r="E75" s="53">
        <f t="shared" ref="E75:AD75" si="7">SUM(E73:E74)</f>
        <v>92152562.704483598</v>
      </c>
      <c r="F75" s="53">
        <f t="shared" si="7"/>
        <v>117876693.7738919</v>
      </c>
      <c r="G75" s="53">
        <f t="shared" si="7"/>
        <v>144829436.0450803</v>
      </c>
      <c r="H75" s="53">
        <f t="shared" si="7"/>
        <v>173056142.49621946</v>
      </c>
      <c r="I75" s="53">
        <f t="shared" si="7"/>
        <v>202603665.87238741</v>
      </c>
      <c r="J75" s="53">
        <f t="shared" si="7"/>
        <v>233520405.32830355</v>
      </c>
      <c r="K75" s="53">
        <f t="shared" si="7"/>
        <v>234477182.5413031</v>
      </c>
      <c r="L75" s="53">
        <f t="shared" si="7"/>
        <v>235335848.36162239</v>
      </c>
      <c r="M75" s="53">
        <f t="shared" si="7"/>
        <v>212878946.76150444</v>
      </c>
      <c r="N75" s="53">
        <f t="shared" si="7"/>
        <v>230974220.98976493</v>
      </c>
      <c r="O75" s="53">
        <f t="shared" si="7"/>
        <v>297430779.61712819</v>
      </c>
      <c r="P75" s="53">
        <f t="shared" si="7"/>
        <v>323890104.590689</v>
      </c>
      <c r="Q75" s="53">
        <f t="shared" si="7"/>
        <v>348632465.29466629</v>
      </c>
      <c r="R75" s="53">
        <f t="shared" si="7"/>
        <v>374409512.71847326</v>
      </c>
      <c r="S75" s="53">
        <f t="shared" si="7"/>
        <v>401257517.22266138</v>
      </c>
      <c r="T75" s="53">
        <f t="shared" si="7"/>
        <v>429213916.00660998</v>
      </c>
      <c r="U75" s="53">
        <f t="shared" si="7"/>
        <v>458317348.78149182</v>
      </c>
      <c r="V75" s="53">
        <f t="shared" si="7"/>
        <v>488607694.49761355</v>
      </c>
      <c r="W75" s="53">
        <f t="shared" si="7"/>
        <v>520126109.15655291</v>
      </c>
      <c r="X75" s="53">
        <f t="shared" si="7"/>
        <v>552915064.73937821</v>
      </c>
      <c r="Y75" s="53">
        <f t="shared" si="7"/>
        <v>587018389.28312194</v>
      </c>
      <c r="Z75" s="53">
        <f t="shared" si="7"/>
        <v>622481308.13859069</v>
      </c>
      <c r="AA75" s="53">
        <f t="shared" si="7"/>
        <v>659350486.44353092</v>
      </c>
      <c r="AB75" s="53">
        <f t="shared" si="7"/>
        <v>697674072.8461318</v>
      </c>
      <c r="AC75" s="53">
        <f t="shared" si="7"/>
        <v>737501744.51483536</v>
      </c>
      <c r="AD75" s="53">
        <f t="shared" si="7"/>
        <v>778884753.47144508</v>
      </c>
    </row>
    <row r="76" spans="1:30" x14ac:dyDescent="0.35">
      <c r="A76" s="72"/>
      <c r="B76" s="72"/>
      <c r="C76" s="18"/>
      <c r="D76" s="53"/>
      <c r="E76" s="53"/>
      <c r="F76" s="53"/>
      <c r="G76" s="53"/>
      <c r="H76" s="53"/>
      <c r="I76" s="53"/>
      <c r="J76" s="53"/>
      <c r="K76" s="53"/>
      <c r="L76" s="53"/>
      <c r="M76" s="53"/>
      <c r="N76" s="53"/>
      <c r="O76" s="53"/>
      <c r="P76" s="53"/>
      <c r="Q76" s="53"/>
      <c r="R76" s="53"/>
      <c r="S76" s="53"/>
      <c r="T76" s="53"/>
      <c r="U76" s="53"/>
      <c r="V76" s="53"/>
      <c r="W76" s="53"/>
      <c r="X76" s="53"/>
      <c r="Y76" s="53"/>
      <c r="Z76" s="53"/>
      <c r="AA76" s="53"/>
      <c r="AB76" s="53"/>
      <c r="AC76" s="53"/>
      <c r="AD76" s="53"/>
    </row>
    <row r="77" spans="1:30" x14ac:dyDescent="0.35">
      <c r="A77" s="72" t="s">
        <v>117</v>
      </c>
      <c r="B77" s="72" t="s">
        <v>152</v>
      </c>
      <c r="C77" s="18">
        <f>NPV('Cost Assumptions'!$B$3,D77:AD77)</f>
        <v>20993140.67042258</v>
      </c>
      <c r="D77" s="53">
        <f>ABS(D50)*D61*1000*'Cost Assumptions'!$B$6*'Cost Assumptions'!$B$13</f>
        <v>1821819.6755076859</v>
      </c>
      <c r="E77" s="53">
        <f>ABS(E50)*E61*1000*'Cost Assumptions'!$B$6*'Cost Assumptions'!$B$13</f>
        <v>1874226.7328974244</v>
      </c>
      <c r="F77" s="53">
        <f>ABS(F50)*F61*1000*'Cost Assumptions'!$B$6*'Cost Assumptions'!$B$13</f>
        <v>1924426.299672507</v>
      </c>
      <c r="G77" s="53">
        <f>ABS(G50)*G61*1000*'Cost Assumptions'!$B$6*'Cost Assumptions'!$B$13</f>
        <v>1976055.5499552824</v>
      </c>
      <c r="H77" s="53">
        <f>ABS(H50)*H61*1000*'Cost Assumptions'!$B$6*'Cost Assumptions'!$B$13</f>
        <v>2029254.3823258451</v>
      </c>
      <c r="I77" s="53">
        <f>ABS(I50)*I61*1000*'Cost Assumptions'!$B$6*'Cost Assumptions'!$B$13</f>
        <v>2084443.2126115847</v>
      </c>
      <c r="J77" s="53">
        <f>ABS(J50)*J61*1000*'Cost Assumptions'!$B$6*'Cost Assumptions'!$B$13</f>
        <v>2141125.9697476309</v>
      </c>
      <c r="K77" s="53">
        <f>ABS(K50)*K61*1000*'Cost Assumptions'!$B$6*'Cost Assumptions'!$B$13</f>
        <v>2191563.8076683739</v>
      </c>
      <c r="L77" s="53">
        <f>ABS(L50)*L61*1000*'Cost Assumptions'!$B$6*'Cost Assumptions'!$B$13</f>
        <v>2243188.2309964313</v>
      </c>
      <c r="M77" s="53">
        <f>ABS(M50)*M61*1000*'Cost Assumptions'!$B$6*'Cost Assumptions'!$B$13</f>
        <v>2296023.5477430518</v>
      </c>
      <c r="N77" s="53">
        <f>ABS(N50)*N61*1000*'Cost Assumptions'!$B$6*'Cost Assumptions'!$B$13</f>
        <v>2358750.8420648025</v>
      </c>
      <c r="O77" s="53">
        <f>ABS(O50)*O61*1000*'Cost Assumptions'!$B$6*'Cost Assumptions'!$B$13</f>
        <v>2423330.2384314453</v>
      </c>
      <c r="P77" s="53">
        <f>ABS(P50)*P61*1000*'Cost Assumptions'!$B$6*'Cost Assumptions'!$B$13</f>
        <v>2489831.1902714954</v>
      </c>
      <c r="Q77" s="53">
        <f>ABS(Q50)*Q61*1000*'Cost Assumptions'!$B$6*'Cost Assumptions'!$B$13</f>
        <v>2558030.6130167921</v>
      </c>
      <c r="R77" s="53">
        <f>ABS(R50)*R61*1000*'Cost Assumptions'!$B$6*'Cost Assumptions'!$B$13</f>
        <v>2628216.3183707395</v>
      </c>
      <c r="S77" s="53">
        <f>ABS(S50)*S61*1000*'Cost Assumptions'!$B$6*'Cost Assumptions'!$B$13</f>
        <v>2700428.1161797582</v>
      </c>
      <c r="T77" s="53">
        <f>ABS(T50)*T61*1000*'Cost Assumptions'!$B$6*'Cost Assumptions'!$B$13</f>
        <v>2774763.4441550323</v>
      </c>
      <c r="U77" s="53">
        <f>ABS(U50)*U61*1000*'Cost Assumptions'!$B$6*'Cost Assumptions'!$B$13</f>
        <v>2850493.5689607565</v>
      </c>
      <c r="V77" s="53">
        <f>ABS(V50)*V61*1000*'Cost Assumptions'!$B$6*'Cost Assumptions'!$B$13</f>
        <v>2928305.2141745896</v>
      </c>
      <c r="W77" s="53">
        <f>ABS(W50)*W61*1000*'Cost Assumptions'!$B$6*'Cost Assumptions'!$B$13</f>
        <v>3008223.5776028256</v>
      </c>
      <c r="X77" s="53">
        <f>ABS(X50)*X61*1000*'Cost Assumptions'!$B$6*'Cost Assumptions'!$B$13</f>
        <v>3090351.7815996581</v>
      </c>
      <c r="Y77" s="53">
        <f>ABS(Y50)*Y61*1000*'Cost Assumptions'!$B$6*'Cost Assumptions'!$B$13</f>
        <v>3173531.4478804949</v>
      </c>
      <c r="Z77" s="53">
        <f>ABS(Z50)*Z61*1000*'Cost Assumptions'!$B$6*'Cost Assumptions'!$B$13</f>
        <v>3258795.4503881484</v>
      </c>
      <c r="AA77" s="53">
        <f>ABS(AA50)*AA61*1000*'Cost Assumptions'!$B$6*'Cost Assumptions'!$B$13</f>
        <v>3346136.4511241782</v>
      </c>
      <c r="AB77" s="53">
        <f>ABS(AB50)*AB61*1000*'Cost Assumptions'!$B$6*'Cost Assumptions'!$B$13</f>
        <v>3435642.5474663936</v>
      </c>
      <c r="AC77" s="53">
        <f>ABS(AC50)*AC61*1000*'Cost Assumptions'!$B$6*'Cost Assumptions'!$B$13</f>
        <v>3525815.1750402036</v>
      </c>
      <c r="AD77" s="53">
        <f>ABS(AD50)*AD61*1000*'Cost Assumptions'!$B$6*'Cost Assumptions'!$B$13</f>
        <v>3617882.3430530815</v>
      </c>
    </row>
    <row r="78" spans="1:30" x14ac:dyDescent="0.35">
      <c r="A78" s="72" t="s">
        <v>119</v>
      </c>
      <c r="B78" s="72" t="s">
        <v>152</v>
      </c>
      <c r="C78" s="18">
        <f>NPV('Cost Assumptions'!$B$3,D78:AD78)</f>
        <v>94629771.572104633</v>
      </c>
      <c r="D78" s="53">
        <f>ABS(D50)*D63*1000*'Cost Assumptions'!$B$7*'Cost Assumptions'!$B$13</f>
        <v>8212129.0208735503</v>
      </c>
      <c r="E78" s="53">
        <f>ABS(E50)*E63*1000*'Cost Assumptions'!$B$7*'Cost Assumptions'!$B$13</f>
        <v>8448361.7955409568</v>
      </c>
      <c r="F78" s="53">
        <f>ABS(F50)*F63*1000*'Cost Assumptions'!$B$7*'Cost Assumptions'!$B$13</f>
        <v>8674643.9708248824</v>
      </c>
      <c r="G78" s="53">
        <f>ABS(G50)*G63*1000*'Cost Assumptions'!$B$7*'Cost Assumptions'!$B$13</f>
        <v>8907370.6617664378</v>
      </c>
      <c r="H78" s="53">
        <f>ABS(H50)*H63*1000*'Cost Assumptions'!$B$7*'Cost Assumptions'!$B$13</f>
        <v>9147172.4824736062</v>
      </c>
      <c r="I78" s="53">
        <f>ABS(I50)*I63*1000*'Cost Assumptions'!$B$7*'Cost Assumptions'!$B$13</f>
        <v>9395944.5211723819</v>
      </c>
      <c r="J78" s="53">
        <f>ABS(J50)*J63*1000*'Cost Assumptions'!$B$7*'Cost Assumptions'!$B$13</f>
        <v>9651450.662157679</v>
      </c>
      <c r="K78" s="53">
        <f>ABS(K50)*K63*1000*'Cost Assumptions'!$B$7*'Cost Assumptions'!$B$13</f>
        <v>9878806.8808370177</v>
      </c>
      <c r="L78" s="53">
        <f>ABS(L50)*L63*1000*'Cost Assumptions'!$B$7*'Cost Assumptions'!$B$13</f>
        <v>10111511.813546706</v>
      </c>
      <c r="M78" s="53">
        <f>ABS(M50)*M63*1000*'Cost Assumptions'!$B$7*'Cost Assumptions'!$B$13</f>
        <v>10349675.032341156</v>
      </c>
      <c r="N78" s="53">
        <f>ABS(N50)*N63*1000*'Cost Assumptions'!$B$7*'Cost Assumptions'!$B$13</f>
        <v>10632427.843185058</v>
      </c>
      <c r="O78" s="53">
        <f>ABS(O50)*O63*1000*'Cost Assumptions'!$B$7*'Cost Assumptions'!$B$13</f>
        <v>10923529.285431376</v>
      </c>
      <c r="P78" s="53">
        <f>ABS(P50)*P63*1000*'Cost Assumptions'!$B$7*'Cost Assumptions'!$B$13</f>
        <v>11223292.430962889</v>
      </c>
      <c r="Q78" s="53">
        <f>ABS(Q50)*Q63*1000*'Cost Assumptions'!$B$7*'Cost Assumptions'!$B$13</f>
        <v>11530711.692189939</v>
      </c>
      <c r="R78" s="53">
        <f>ABS(R50)*R63*1000*'Cost Assumptions'!$B$7*'Cost Assumptions'!$B$13</f>
        <v>11847084.42409987</v>
      </c>
      <c r="S78" s="53">
        <f>ABS(S50)*S63*1000*'Cost Assumptions'!$B$7*'Cost Assumptions'!$B$13</f>
        <v>12172590.075624706</v>
      </c>
      <c r="T78" s="53">
        <f>ABS(T50)*T63*1000*'Cost Assumptions'!$B$7*'Cost Assumptions'!$B$13</f>
        <v>12507667.8620537</v>
      </c>
      <c r="U78" s="53">
        <f>ABS(U50)*U63*1000*'Cost Assumptions'!$B$7*'Cost Assumptions'!$B$13</f>
        <v>12849032.907141469</v>
      </c>
      <c r="V78" s="53">
        <f>ABS(V50)*V63*1000*'Cost Assumptions'!$B$7*'Cost Assumptions'!$B$13</f>
        <v>13199780.721764978</v>
      </c>
      <c r="W78" s="53">
        <f>ABS(W50)*W63*1000*'Cost Assumptions'!$B$7*'Cost Assumptions'!$B$13</f>
        <v>13560024.888865026</v>
      </c>
      <c r="X78" s="53">
        <f>ABS(X50)*X63*1000*'Cost Assumptions'!$B$7*'Cost Assumptions'!$B$13</f>
        <v>13930230.24812302</v>
      </c>
      <c r="Y78" s="53">
        <f>ABS(Y50)*Y63*1000*'Cost Assumptions'!$B$7*'Cost Assumptions'!$B$13</f>
        <v>14305175.233400486</v>
      </c>
      <c r="Z78" s="53">
        <f>ABS(Z50)*Z63*1000*'Cost Assumptions'!$B$7*'Cost Assumptions'!$B$13</f>
        <v>14689515.680944402</v>
      </c>
      <c r="AA78" s="53">
        <f>ABS(AA50)*AA63*1000*'Cost Assumptions'!$B$7*'Cost Assumptions'!$B$13</f>
        <v>15083218.513611753</v>
      </c>
      <c r="AB78" s="53">
        <f>ABS(AB50)*AB63*1000*'Cost Assumptions'!$B$7*'Cost Assumptions'!$B$13</f>
        <v>15486680.843719797</v>
      </c>
      <c r="AC78" s="53">
        <f>ABS(AC50)*AC63*1000*'Cost Assumptions'!$B$7*'Cost Assumptions'!$B$13</f>
        <v>15893147.66463661</v>
      </c>
      <c r="AD78" s="53">
        <f>ABS(AD50)*AD63*1000*'Cost Assumptions'!$B$7*'Cost Assumptions'!$B$13</f>
        <v>16308154.414466284</v>
      </c>
    </row>
    <row r="79" spans="1:30" ht="29" x14ac:dyDescent="0.35">
      <c r="A79" s="3" t="s">
        <v>146</v>
      </c>
      <c r="B79" s="72" t="s">
        <v>152</v>
      </c>
      <c r="C79" s="18">
        <f>NPV('Cost Assumptions'!$B$3,D79:AD79)</f>
        <v>115622912.2425272</v>
      </c>
      <c r="D79" s="53">
        <f>SUM(D77:D78)</f>
        <v>10033948.696381235</v>
      </c>
      <c r="E79" s="53">
        <f t="shared" ref="E79:AD79" si="8">SUM(E77:E78)</f>
        <v>10322588.528438382</v>
      </c>
      <c r="F79" s="53">
        <f t="shared" si="8"/>
        <v>10599070.270497389</v>
      </c>
      <c r="G79" s="53">
        <f t="shared" si="8"/>
        <v>10883426.21172172</v>
      </c>
      <c r="H79" s="53">
        <f t="shared" si="8"/>
        <v>11176426.864799451</v>
      </c>
      <c r="I79" s="53">
        <f t="shared" si="8"/>
        <v>11480387.733783966</v>
      </c>
      <c r="J79" s="53">
        <f t="shared" si="8"/>
        <v>11792576.63190531</v>
      </c>
      <c r="K79" s="53">
        <f t="shared" si="8"/>
        <v>12070370.688505393</v>
      </c>
      <c r="L79" s="53">
        <f t="shared" si="8"/>
        <v>12354700.044543138</v>
      </c>
      <c r="M79" s="53">
        <f t="shared" si="8"/>
        <v>12645698.580084208</v>
      </c>
      <c r="N79" s="53">
        <f t="shared" si="8"/>
        <v>12991178.685249861</v>
      </c>
      <c r="O79" s="53">
        <f t="shared" si="8"/>
        <v>13346859.52386282</v>
      </c>
      <c r="P79" s="53">
        <f t="shared" si="8"/>
        <v>13713123.621234383</v>
      </c>
      <c r="Q79" s="53">
        <f t="shared" si="8"/>
        <v>14088742.305206731</v>
      </c>
      <c r="R79" s="53">
        <f t="shared" si="8"/>
        <v>14475300.742470609</v>
      </c>
      <c r="S79" s="53">
        <f t="shared" si="8"/>
        <v>14873018.191804465</v>
      </c>
      <c r="T79" s="53">
        <f t="shared" si="8"/>
        <v>15282431.306208732</v>
      </c>
      <c r="U79" s="53">
        <f t="shared" si="8"/>
        <v>15699526.476102225</v>
      </c>
      <c r="V79" s="53">
        <f t="shared" si="8"/>
        <v>16128085.935939567</v>
      </c>
      <c r="W79" s="53">
        <f t="shared" si="8"/>
        <v>16568248.466467852</v>
      </c>
      <c r="X79" s="53">
        <f t="shared" si="8"/>
        <v>17020582.029722679</v>
      </c>
      <c r="Y79" s="53">
        <f t="shared" si="8"/>
        <v>17478706.681280982</v>
      </c>
      <c r="Z79" s="53">
        <f t="shared" si="8"/>
        <v>17948311.13133255</v>
      </c>
      <c r="AA79" s="53">
        <f t="shared" si="8"/>
        <v>18429354.964735933</v>
      </c>
      <c r="AB79" s="53">
        <f t="shared" si="8"/>
        <v>18922323.391186193</v>
      </c>
      <c r="AC79" s="53">
        <f t="shared" si="8"/>
        <v>19418962.839676812</v>
      </c>
      <c r="AD79" s="53">
        <f t="shared" si="8"/>
        <v>19926036.757519364</v>
      </c>
    </row>
    <row r="80" spans="1:30" x14ac:dyDescent="0.35">
      <c r="A80" s="3"/>
      <c r="B80" s="72"/>
      <c r="C80" s="18"/>
      <c r="D80" s="53"/>
      <c r="E80" s="53"/>
      <c r="F80" s="53"/>
      <c r="G80" s="53"/>
      <c r="H80" s="53"/>
      <c r="I80" s="53"/>
      <c r="J80" s="53"/>
      <c r="K80" s="53"/>
      <c r="L80" s="53"/>
      <c r="M80" s="53"/>
      <c r="N80" s="53"/>
      <c r="O80" s="53"/>
      <c r="P80" s="53"/>
      <c r="Q80" s="53"/>
      <c r="R80" s="53"/>
      <c r="S80" s="53"/>
      <c r="T80" s="53"/>
      <c r="U80" s="53"/>
      <c r="V80" s="53"/>
      <c r="W80" s="53"/>
      <c r="X80" s="53"/>
      <c r="Y80" s="53"/>
      <c r="Z80" s="53"/>
      <c r="AA80" s="53"/>
      <c r="AB80" s="53"/>
      <c r="AC80" s="53"/>
      <c r="AD80" s="53"/>
    </row>
    <row r="81" spans="1:30" ht="29" x14ac:dyDescent="0.35">
      <c r="A81" s="3" t="s">
        <v>147</v>
      </c>
      <c r="B81" s="72" t="s">
        <v>148</v>
      </c>
      <c r="C81" s="18">
        <f>NPV('Cost Assumptions'!$B$3,D81:AD81)</f>
        <v>149022625.44354364</v>
      </c>
      <c r="D81" s="53">
        <f>('Baseline System Analysis'!D42-D36)</f>
        <v>10482482.559676643</v>
      </c>
      <c r="E81" s="53">
        <f>('Baseline System Analysis'!E42-E36)</f>
        <v>11411304.027069721</v>
      </c>
      <c r="F81" s="53">
        <f>('Baseline System Analysis'!F42-F36)</f>
        <v>12010929.385904703</v>
      </c>
      <c r="G81" s="53">
        <f>('Baseline System Analysis'!G42-G36)</f>
        <v>12686212.858693197</v>
      </c>
      <c r="H81" s="53">
        <f>('Baseline System Analysis'!H42-H36)</f>
        <v>13366594.603263134</v>
      </c>
      <c r="I81" s="53">
        <f>('Baseline System Analysis'!I42-I36)</f>
        <v>14080244.466457114</v>
      </c>
      <c r="J81" s="53">
        <f>('Baseline System Analysis'!J42-J36)</f>
        <v>14863848.884161765</v>
      </c>
      <c r="K81" s="53">
        <f>('Baseline System Analysis'!K42-K36)</f>
        <v>14963452.166032262</v>
      </c>
      <c r="L81" s="53">
        <f>('Baseline System Analysis'!L42-L36)</f>
        <v>15038732.673099298</v>
      </c>
      <c r="M81" s="53">
        <f>('Baseline System Analysis'!M42-M36)</f>
        <v>15135119.047373887</v>
      </c>
      <c r="N81" s="53">
        <f>('Baseline System Analysis'!N42-N36)</f>
        <v>15992648.562050004</v>
      </c>
      <c r="O81" s="53">
        <f>('Baseline System Analysis'!O42-O36)</f>
        <v>16889642.705203809</v>
      </c>
      <c r="P81" s="53">
        <f>('Baseline System Analysis'!P42-P36)</f>
        <v>17982029.348811924</v>
      </c>
      <c r="Q81" s="53">
        <f>('Baseline System Analysis'!Q42-Q36)</f>
        <v>19051737.815789118</v>
      </c>
      <c r="R81" s="53">
        <f>('Baseline System Analysis'!R42-R36)</f>
        <v>20199673.470793493</v>
      </c>
      <c r="S81" s="53">
        <f>('Baseline System Analysis'!S42-S36)</f>
        <v>21070062.404659722</v>
      </c>
      <c r="T81" s="53">
        <f>('Baseline System Analysis'!T42-T36)</f>
        <v>22181396.02741991</v>
      </c>
      <c r="U81" s="53">
        <f>('Baseline System Analysis'!U42-U36)</f>
        <v>23445285.267946951</v>
      </c>
      <c r="V81" s="53">
        <f>('Baseline System Analysis'!V42-V36)</f>
        <v>24662936.553686954</v>
      </c>
      <c r="W81" s="53">
        <f>('Baseline System Analysis'!W42-W36)</f>
        <v>25936946.277222849</v>
      </c>
      <c r="X81" s="53">
        <f>('Baseline System Analysis'!X42-X36)</f>
        <v>27169100.017154459</v>
      </c>
      <c r="Y81" s="53">
        <f>('Baseline System Analysis'!Y42-Y36)</f>
        <v>28484451.971617371</v>
      </c>
      <c r="Z81" s="53">
        <f>('Baseline System Analysis'!Z42-Z36)</f>
        <v>29915117.285244167</v>
      </c>
      <c r="AA81" s="53">
        <f>('Baseline System Analysis'!AA42-AA36)</f>
        <v>31232592.347953282</v>
      </c>
      <c r="AB81" s="53">
        <f>('Baseline System Analysis'!AB42-AB36)</f>
        <v>32586229.649326641</v>
      </c>
      <c r="AC81" s="53">
        <f>('Baseline System Analysis'!AC42-AC36)</f>
        <v>33751171.131077752</v>
      </c>
      <c r="AD81" s="53">
        <f>('Baseline System Analysis'!AD42-AD36)</f>
        <v>34819286.064039938</v>
      </c>
    </row>
    <row r="82" spans="1:30" x14ac:dyDescent="0.35">
      <c r="A82" s="72"/>
      <c r="B82" s="72"/>
      <c r="C82" s="72"/>
      <c r="D82" s="72"/>
      <c r="E82" s="72"/>
      <c r="F82" s="72"/>
      <c r="G82" s="72"/>
      <c r="H82" s="72"/>
      <c r="I82" s="72"/>
      <c r="J82" s="72"/>
      <c r="K82" s="72"/>
      <c r="L82" s="72"/>
      <c r="M82" s="72"/>
      <c r="N82" s="72"/>
      <c r="O82" s="72"/>
      <c r="P82" s="72"/>
      <c r="Q82" s="72"/>
      <c r="R82" s="72"/>
      <c r="S82" s="72"/>
      <c r="T82" s="72"/>
      <c r="U82" s="72"/>
      <c r="V82" s="72"/>
      <c r="W82" s="72"/>
      <c r="X82" s="72"/>
      <c r="Y82" s="72"/>
      <c r="Z82" s="72"/>
      <c r="AA82" s="72"/>
      <c r="AB82" s="72"/>
      <c r="AC82" s="72"/>
      <c r="AD82" s="72"/>
    </row>
    <row r="83" spans="1:30" ht="20" thickBot="1" x14ac:dyDescent="0.5">
      <c r="A83" s="134" t="s">
        <v>61</v>
      </c>
      <c r="B83" s="182"/>
      <c r="C83" s="18">
        <f>NPV('Cost Assumptions'!$B$3,D83:AD83)/1000000</f>
        <v>2673.0525536340688</v>
      </c>
      <c r="D83" s="53">
        <f>SUM(D67,D71,D75,D79,D81)</f>
        <v>89200210.914638147</v>
      </c>
      <c r="E83" s="53">
        <f t="shared" ref="E83:AD83" si="9">SUM(E67,E71,E75,E79,E81)</f>
        <v>116584379.56459296</v>
      </c>
      <c r="F83" s="53">
        <f t="shared" si="9"/>
        <v>144448757.26996294</v>
      </c>
      <c r="G83" s="53">
        <f t="shared" si="9"/>
        <v>173719898.47031236</v>
      </c>
      <c r="H83" s="53">
        <f t="shared" si="9"/>
        <v>204301417.35490155</v>
      </c>
      <c r="I83" s="53">
        <f t="shared" si="9"/>
        <v>234835499.3264007</v>
      </c>
      <c r="J83" s="53">
        <f t="shared" si="9"/>
        <v>269321634.60782325</v>
      </c>
      <c r="K83" s="53">
        <f t="shared" si="9"/>
        <v>269294422.92474186</v>
      </c>
      <c r="L83" s="53">
        <f t="shared" si="9"/>
        <v>269271424.63893539</v>
      </c>
      <c r="M83" s="53">
        <f t="shared" si="9"/>
        <v>248342513.15604997</v>
      </c>
      <c r="N83" s="53">
        <f t="shared" si="9"/>
        <v>267565990.6336284</v>
      </c>
      <c r="O83" s="53">
        <f t="shared" si="9"/>
        <v>338454218.22937113</v>
      </c>
      <c r="P83" s="53">
        <f t="shared" si="9"/>
        <v>369480948.66782463</v>
      </c>
      <c r="Q83" s="53">
        <f t="shared" si="9"/>
        <v>397438233.34911883</v>
      </c>
      <c r="R83" s="53">
        <f t="shared" si="9"/>
        <v>425407655.63694549</v>
      </c>
      <c r="S83" s="53">
        <f t="shared" si="9"/>
        <v>456421292.16304129</v>
      </c>
      <c r="T83" s="53">
        <f t="shared" si="9"/>
        <v>489667281.86364377</v>
      </c>
      <c r="U83" s="53">
        <f t="shared" si="9"/>
        <v>521828187.02787101</v>
      </c>
      <c r="V83" s="53">
        <f t="shared" si="9"/>
        <v>558040814.76827943</v>
      </c>
      <c r="W83" s="53">
        <f t="shared" si="9"/>
        <v>595053854.03544176</v>
      </c>
      <c r="X83" s="53">
        <f t="shared" si="9"/>
        <v>638852794.97034121</v>
      </c>
      <c r="Y83" s="53">
        <f t="shared" si="9"/>
        <v>681385593.27470469</v>
      </c>
      <c r="Z83" s="53">
        <f t="shared" si="9"/>
        <v>726367530.23623419</v>
      </c>
      <c r="AA83" s="53">
        <f t="shared" si="9"/>
        <v>773725598.07441843</v>
      </c>
      <c r="AB83" s="53">
        <f t="shared" si="9"/>
        <v>825360866.84536779</v>
      </c>
      <c r="AC83" s="53">
        <f t="shared" si="9"/>
        <v>875579672.98973584</v>
      </c>
      <c r="AD83" s="53">
        <f t="shared" si="9"/>
        <v>930643559.36310601</v>
      </c>
    </row>
    <row r="84" spans="1:30" ht="20.5" thickTop="1" thickBot="1" x14ac:dyDescent="0.5">
      <c r="A84" s="134" t="s">
        <v>149</v>
      </c>
      <c r="B84" s="134"/>
      <c r="C84" s="18">
        <f>NPV('Cost Assumptions'!$B$3,D84:AD84)/1000000</f>
        <v>2673.8235711239895</v>
      </c>
      <c r="D84" s="53">
        <f>D83+D43</f>
        <v>89248758.914638147</v>
      </c>
      <c r="E84" s="53">
        <f t="shared" ref="E84:AD84" si="10">E83+E43</f>
        <v>116635024.7357468</v>
      </c>
      <c r="F84" s="53">
        <f t="shared" si="10"/>
        <v>144501574.12832832</v>
      </c>
      <c r="G84" s="53">
        <f t="shared" si="10"/>
        <v>173774963.94701788</v>
      </c>
      <c r="H84" s="53">
        <f t="shared" si="10"/>
        <v>204358810.87032774</v>
      </c>
      <c r="I84" s="53">
        <f t="shared" si="10"/>
        <v>234895302.86656067</v>
      </c>
      <c r="J84" s="53">
        <f t="shared" si="10"/>
        <v>269390373.24961174</v>
      </c>
      <c r="K84" s="53">
        <f t="shared" si="10"/>
        <v>269363632.23256451</v>
      </c>
      <c r="L84" s="53">
        <f t="shared" si="10"/>
        <v>269367149.86842775</v>
      </c>
      <c r="M84" s="53">
        <f t="shared" si="10"/>
        <v>248465858.26007342</v>
      </c>
      <c r="N84" s="53">
        <f t="shared" si="10"/>
        <v>267689579.84232929</v>
      </c>
      <c r="O84" s="53">
        <f t="shared" si="10"/>
        <v>338578135.00509107</v>
      </c>
      <c r="P84" s="53">
        <f t="shared" si="10"/>
        <v>369605132.14565909</v>
      </c>
      <c r="Q84" s="53">
        <f t="shared" si="10"/>
        <v>397562619.41618878</v>
      </c>
      <c r="R84" s="53">
        <f t="shared" si="10"/>
        <v>425532176.80803901</v>
      </c>
      <c r="S84" s="53">
        <f t="shared" si="10"/>
        <v>456545877.45206767</v>
      </c>
      <c r="T84" s="53">
        <f t="shared" si="10"/>
        <v>489791856.65076768</v>
      </c>
      <c r="U84" s="53">
        <f t="shared" si="10"/>
        <v>521952672.92219168</v>
      </c>
      <c r="V84" s="53">
        <f t="shared" si="10"/>
        <v>558165129.46591485</v>
      </c>
      <c r="W84" s="53">
        <f t="shared" si="10"/>
        <v>595177911.17287362</v>
      </c>
      <c r="X84" s="53">
        <f t="shared" si="10"/>
        <v>638976503.97287333</v>
      </c>
      <c r="Y84" s="53">
        <f t="shared" si="10"/>
        <v>681508859.19988108</v>
      </c>
      <c r="Z84" s="53">
        <f t="shared" si="10"/>
        <v>726490253.61206067</v>
      </c>
      <c r="AA84" s="53">
        <f t="shared" si="10"/>
        <v>773847674.73222411</v>
      </c>
      <c r="AB84" s="53">
        <f t="shared" si="10"/>
        <v>825482187.74714184</v>
      </c>
      <c r="AC84" s="53">
        <f t="shared" si="10"/>
        <v>875700124.04976559</v>
      </c>
      <c r="AD84" s="53">
        <f t="shared" si="10"/>
        <v>930763021.26374054</v>
      </c>
    </row>
    <row r="85" spans="1:30" ht="15" thickTop="1" x14ac:dyDescent="0.35">
      <c r="A85" s="72"/>
      <c r="B85" s="72"/>
      <c r="C85" s="72"/>
      <c r="D85" s="72"/>
      <c r="E85" s="72"/>
      <c r="F85" s="72"/>
      <c r="G85" s="72"/>
      <c r="H85" s="72"/>
      <c r="I85" s="72"/>
      <c r="J85" s="72"/>
      <c r="K85" s="72"/>
      <c r="L85" s="72"/>
      <c r="M85" s="72"/>
      <c r="N85" s="72"/>
      <c r="O85" s="72"/>
      <c r="P85" s="72"/>
      <c r="Q85" s="72"/>
      <c r="R85" s="72"/>
      <c r="S85" s="72"/>
      <c r="T85" s="72"/>
      <c r="U85" s="72"/>
      <c r="V85" s="72"/>
      <c r="W85" s="72"/>
      <c r="X85" s="72"/>
      <c r="Y85" s="72"/>
      <c r="Z85" s="72"/>
      <c r="AA85" s="72"/>
      <c r="AB85" s="72"/>
      <c r="AC85" s="72"/>
      <c r="AD85" s="72"/>
    </row>
    <row r="86" spans="1:30" ht="20" thickBot="1" x14ac:dyDescent="0.5">
      <c r="A86" s="134" t="s">
        <v>150</v>
      </c>
      <c r="B86" s="134"/>
      <c r="C86" s="18">
        <v>290</v>
      </c>
      <c r="D86" s="72"/>
      <c r="E86" s="72"/>
      <c r="F86" s="72"/>
      <c r="G86" s="72"/>
      <c r="H86" s="72"/>
      <c r="I86" s="72"/>
      <c r="J86" s="72"/>
      <c r="K86" s="72"/>
      <c r="L86" s="72"/>
      <c r="M86" s="72"/>
      <c r="N86" s="72"/>
      <c r="O86" s="72"/>
      <c r="P86" s="72"/>
      <c r="Q86" s="72"/>
      <c r="R86" s="72"/>
      <c r="S86" s="72"/>
      <c r="T86" s="72"/>
      <c r="U86" s="72"/>
      <c r="V86" s="72"/>
      <c r="W86" s="72"/>
      <c r="X86" s="72"/>
      <c r="Y86" s="72"/>
      <c r="Z86" s="72"/>
      <c r="AA86" s="72"/>
      <c r="AB86" s="72"/>
      <c r="AC86" s="72"/>
      <c r="AD86" s="72"/>
    </row>
    <row r="87" spans="1:30" ht="15" thickTop="1" x14ac:dyDescent="0.35">
      <c r="A87" s="72"/>
      <c r="B87" s="72"/>
      <c r="C87" s="72"/>
      <c r="D87" s="72"/>
      <c r="E87" s="72"/>
      <c r="F87" s="72"/>
      <c r="G87" s="72"/>
      <c r="H87" s="72"/>
      <c r="I87" s="72"/>
      <c r="J87" s="72"/>
      <c r="K87" s="72"/>
      <c r="L87" s="72"/>
      <c r="M87" s="72"/>
      <c r="N87" s="72"/>
      <c r="O87" s="72"/>
      <c r="P87" s="72"/>
      <c r="Q87" s="72"/>
      <c r="R87" s="72"/>
      <c r="S87" s="72"/>
      <c r="T87" s="72"/>
      <c r="U87" s="72"/>
      <c r="V87" s="72"/>
      <c r="W87" s="72"/>
      <c r="X87" s="72"/>
      <c r="Y87" s="72"/>
      <c r="Z87" s="72"/>
      <c r="AA87" s="72"/>
      <c r="AB87" s="72"/>
      <c r="AC87" s="72"/>
      <c r="AD87" s="72"/>
    </row>
    <row r="88" spans="1:30" ht="20" thickBot="1" x14ac:dyDescent="0.5">
      <c r="A88" s="134" t="s">
        <v>7</v>
      </c>
      <c r="B88" s="134"/>
      <c r="C88" s="46">
        <f>C83/C86</f>
        <v>9.2174225987381675</v>
      </c>
      <c r="D88" s="72"/>
      <c r="E88" s="72"/>
      <c r="F88" s="72"/>
      <c r="G88" s="72"/>
      <c r="H88" s="72"/>
      <c r="I88" s="72"/>
      <c r="J88" s="72"/>
      <c r="K88" s="72"/>
      <c r="L88" s="72"/>
      <c r="M88" s="72"/>
      <c r="N88" s="72"/>
      <c r="O88" s="72"/>
      <c r="P88" s="72"/>
      <c r="Q88" s="72"/>
      <c r="R88" s="72"/>
      <c r="S88" s="72"/>
      <c r="T88" s="72"/>
      <c r="U88" s="72"/>
      <c r="V88" s="72"/>
      <c r="W88" s="72"/>
      <c r="X88" s="72"/>
      <c r="Y88" s="72"/>
      <c r="Z88" s="72"/>
      <c r="AA88" s="72"/>
      <c r="AB88" s="72"/>
      <c r="AC88" s="72"/>
      <c r="AD88" s="72"/>
    </row>
    <row r="89" spans="1:30" ht="15" thickTop="1" x14ac:dyDescent="0.35">
      <c r="A89" s="72"/>
      <c r="B89" s="72"/>
      <c r="C89" s="72"/>
      <c r="D89" s="72"/>
      <c r="E89" s="72"/>
      <c r="F89" s="72"/>
      <c r="G89" s="72"/>
      <c r="H89" s="72"/>
      <c r="I89" s="72"/>
      <c r="J89" s="72"/>
      <c r="K89" s="72"/>
      <c r="L89" s="72"/>
      <c r="M89" s="72"/>
      <c r="N89" s="72"/>
      <c r="O89" s="72"/>
      <c r="P89" s="72"/>
      <c r="Q89" s="72"/>
      <c r="R89" s="72"/>
      <c r="S89" s="72"/>
      <c r="T89" s="72"/>
      <c r="U89" s="72"/>
      <c r="V89" s="72"/>
      <c r="W89" s="72"/>
      <c r="X89" s="72"/>
      <c r="Y89" s="72"/>
      <c r="Z89" s="72"/>
      <c r="AA89" s="72"/>
      <c r="AB89" s="72"/>
      <c r="AC89" s="72"/>
      <c r="AD89" s="72"/>
    </row>
  </sheetData>
  <mergeCells count="8">
    <mergeCell ref="A86:B86"/>
    <mergeCell ref="A88:B88"/>
    <mergeCell ref="A84:B84"/>
    <mergeCell ref="B2:B15"/>
    <mergeCell ref="B18:B31"/>
    <mergeCell ref="B40:AD40"/>
    <mergeCell ref="A58:AD59"/>
    <mergeCell ref="A83:B83"/>
  </mergeCells>
  <pageMargins left="0.7" right="0.7" top="0.75" bottom="0.75" header="0.3" footer="0.3"/>
  <pageSetup orientation="portrait" horizontalDpi="1200" verticalDpi="12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D89"/>
  <sheetViews>
    <sheetView zoomScale="78" zoomScaleNormal="78" workbookViewId="0"/>
  </sheetViews>
  <sheetFormatPr defaultRowHeight="14.5" x14ac:dyDescent="0.35"/>
  <cols>
    <col min="1" max="1" width="18.26953125" customWidth="1"/>
    <col min="2" max="2" width="29.26953125" customWidth="1"/>
    <col min="3" max="3" width="14.81640625" bestFit="1" customWidth="1"/>
    <col min="4" max="4" width="15.7265625" bestFit="1" customWidth="1"/>
    <col min="5" max="6" width="14.81640625" customWidth="1"/>
    <col min="7" max="7" width="18" customWidth="1"/>
    <col min="8" max="16" width="13.54296875" bestFit="1" customWidth="1"/>
    <col min="17" max="17" width="14.7265625" bestFit="1" customWidth="1"/>
    <col min="18" max="30" width="17.54296875" bestFit="1" customWidth="1"/>
  </cols>
  <sheetData>
    <row r="1" spans="1:30" ht="20" thickBot="1" x14ac:dyDescent="0.5">
      <c r="A1" s="113"/>
      <c r="B1" s="122"/>
      <c r="C1" s="113" t="s">
        <v>105</v>
      </c>
      <c r="D1" s="113">
        <v>2022</v>
      </c>
      <c r="E1" s="113">
        <v>2023</v>
      </c>
      <c r="F1" s="113">
        <v>2024</v>
      </c>
      <c r="G1" s="113">
        <v>2025</v>
      </c>
      <c r="H1" s="113">
        <v>2026</v>
      </c>
      <c r="I1" s="113">
        <v>2027</v>
      </c>
      <c r="J1" s="113">
        <v>2028</v>
      </c>
      <c r="K1" s="113">
        <v>2029</v>
      </c>
      <c r="L1" s="113">
        <v>2030</v>
      </c>
      <c r="M1" s="113">
        <v>2031</v>
      </c>
      <c r="N1" s="113">
        <v>2032</v>
      </c>
      <c r="O1" s="113">
        <v>2033</v>
      </c>
      <c r="P1" s="113">
        <v>2034</v>
      </c>
      <c r="Q1" s="113">
        <v>2035</v>
      </c>
      <c r="R1" s="113">
        <v>2036</v>
      </c>
      <c r="S1" s="113">
        <v>2037</v>
      </c>
      <c r="T1" s="113">
        <v>2038</v>
      </c>
      <c r="U1" s="113">
        <v>2039</v>
      </c>
      <c r="V1" s="113">
        <v>2040</v>
      </c>
      <c r="W1" s="113">
        <v>2041</v>
      </c>
      <c r="X1" s="113">
        <v>2042</v>
      </c>
      <c r="Y1" s="113">
        <v>2043</v>
      </c>
      <c r="Z1" s="113">
        <v>2044</v>
      </c>
      <c r="AA1" s="113">
        <v>2045</v>
      </c>
      <c r="AB1" s="113">
        <v>2046</v>
      </c>
      <c r="AC1" s="113">
        <v>2047</v>
      </c>
      <c r="AD1" s="113">
        <v>2048</v>
      </c>
    </row>
    <row r="2" spans="1:30" ht="15" thickTop="1" x14ac:dyDescent="0.35">
      <c r="A2" s="72"/>
      <c r="B2" s="179" t="s">
        <v>26</v>
      </c>
      <c r="C2" s="72" t="s">
        <v>107</v>
      </c>
      <c r="D2" s="53">
        <f>'Baseline System Analysis'!D2</f>
        <v>49666.999999999534</v>
      </c>
      <c r="E2" s="53">
        <f>'Baseline System Analysis'!E2</f>
        <v>50103.790384614935</v>
      </c>
      <c r="F2" s="53">
        <f>'Baseline System Analysis'!F2</f>
        <v>50540.580769230335</v>
      </c>
      <c r="G2" s="53">
        <f>'Baseline System Analysis'!G2</f>
        <v>50977.371153845736</v>
      </c>
      <c r="H2" s="53">
        <f>'Baseline System Analysis'!H2</f>
        <v>51414.161538461136</v>
      </c>
      <c r="I2" s="53">
        <f>'Baseline System Analysis'!I2</f>
        <v>51850.951923076536</v>
      </c>
      <c r="J2" s="53">
        <f>'Baseline System Analysis'!J2</f>
        <v>52287.742307691937</v>
      </c>
      <c r="K2" s="53">
        <f>'Baseline System Analysis'!K2</f>
        <v>51698.184615384183</v>
      </c>
      <c r="L2" s="53">
        <f>'Baseline System Analysis'!L2</f>
        <v>51988.353846153419</v>
      </c>
      <c r="M2" s="53">
        <f>'Baseline System Analysis'!M2</f>
        <v>52278.523076922655</v>
      </c>
      <c r="N2" s="53">
        <f>'Baseline System Analysis'!N2</f>
        <v>52568.69230769189</v>
      </c>
      <c r="O2" s="53">
        <f>'Baseline System Analysis'!O2</f>
        <v>52858.861538461126</v>
      </c>
      <c r="P2" s="53">
        <f>'Baseline System Analysis'!P2</f>
        <v>53149.030769230361</v>
      </c>
      <c r="Q2" s="53">
        <f>'Baseline System Analysis'!Q2</f>
        <v>53439.199999999597</v>
      </c>
      <c r="R2" s="53">
        <f>'Baseline System Analysis'!R2</f>
        <v>53729.369230768832</v>
      </c>
      <c r="S2" s="53">
        <f>'Baseline System Analysis'!S2</f>
        <v>54019.538461538068</v>
      </c>
      <c r="T2" s="53">
        <f>'Baseline System Analysis'!T2</f>
        <v>54309.707692307304</v>
      </c>
      <c r="U2" s="53">
        <f>'Baseline System Analysis'!U2</f>
        <v>54599.876923076539</v>
      </c>
      <c r="V2" s="53">
        <f>'Baseline System Analysis'!V2</f>
        <v>54890.046153845775</v>
      </c>
      <c r="W2" s="53">
        <f>'Baseline System Analysis'!W2</f>
        <v>55180.21538461501</v>
      </c>
      <c r="X2" s="53">
        <f>'Baseline System Analysis'!X2</f>
        <v>55470.384615384246</v>
      </c>
      <c r="Y2" s="53">
        <f>'Baseline System Analysis'!Y2</f>
        <v>55760.553846153482</v>
      </c>
      <c r="Z2" s="53">
        <f>'Baseline System Analysis'!Z2</f>
        <v>56050.723076922717</v>
      </c>
      <c r="AA2" s="53">
        <f>'Baseline System Analysis'!AA2</f>
        <v>56340.892307691953</v>
      </c>
      <c r="AB2" s="53">
        <f>'Baseline System Analysis'!AB2</f>
        <v>56631.061538461188</v>
      </c>
      <c r="AC2" s="53">
        <f>'Baseline System Analysis'!AC2</f>
        <v>56921.230769230424</v>
      </c>
      <c r="AD2" s="53">
        <f>'Baseline System Analysis'!AD2</f>
        <v>57211.399999999638</v>
      </c>
    </row>
    <row r="3" spans="1:30" x14ac:dyDescent="0.35">
      <c r="A3" s="72" t="s">
        <v>30</v>
      </c>
      <c r="B3" s="180"/>
      <c r="C3" s="72" t="s">
        <v>31</v>
      </c>
      <c r="D3" s="53">
        <f>'Baseline System Analysis'!D3</f>
        <v>10</v>
      </c>
      <c r="E3" s="53">
        <f>'Baseline System Analysis'!E3</f>
        <v>20.5</v>
      </c>
      <c r="F3" s="53">
        <f>'Baseline System Analysis'!F3</f>
        <v>29.879999999999995</v>
      </c>
      <c r="G3" s="53">
        <f>'Baseline System Analysis'!G3</f>
        <v>39.259999999999991</v>
      </c>
      <c r="H3" s="53">
        <f>'Baseline System Analysis'!H3</f>
        <v>48.639999999999986</v>
      </c>
      <c r="I3" s="53">
        <f>'Baseline System Analysis'!I3</f>
        <v>58.019999999999982</v>
      </c>
      <c r="J3" s="53">
        <f>'Baseline System Analysis'!J3</f>
        <v>67.399999999999977</v>
      </c>
      <c r="K3" s="53">
        <f>'Baseline System Analysis'!K3</f>
        <v>57.599999999999966</v>
      </c>
      <c r="L3" s="53">
        <f>'Baseline System Analysis'!L3</f>
        <v>49.800000000000011</v>
      </c>
      <c r="M3" s="53">
        <f>'Baseline System Analysis'!M3</f>
        <v>41.5</v>
      </c>
      <c r="N3" s="53">
        <f>'Baseline System Analysis'!N3</f>
        <v>53.700000000000017</v>
      </c>
      <c r="O3" s="53">
        <f>'Baseline System Analysis'!O3</f>
        <v>75.066666666666691</v>
      </c>
      <c r="P3" s="53">
        <f>'Baseline System Analysis'!P3</f>
        <v>96.433333333333366</v>
      </c>
      <c r="Q3" s="53">
        <f>'Baseline System Analysis'!Q3</f>
        <v>117.80000000000004</v>
      </c>
      <c r="R3" s="53">
        <f>'Baseline System Analysis'!R3</f>
        <v>139.16666666666671</v>
      </c>
      <c r="S3" s="53">
        <f>'Baseline System Analysis'!S3</f>
        <v>160.53333333333339</v>
      </c>
      <c r="T3" s="53">
        <f>'Baseline System Analysis'!T3</f>
        <v>181.90000000000003</v>
      </c>
      <c r="U3" s="53">
        <f>'Baseline System Analysis'!U3</f>
        <v>244.23000000000002</v>
      </c>
      <c r="V3" s="53">
        <f>'Baseline System Analysis'!V3</f>
        <v>306.56</v>
      </c>
      <c r="W3" s="53">
        <f>'Baseline System Analysis'!W3</f>
        <v>368.89</v>
      </c>
      <c r="X3" s="53">
        <f>'Baseline System Analysis'!X3</f>
        <v>431.21999999999997</v>
      </c>
      <c r="Y3" s="53">
        <f>'Baseline System Analysis'!Y3</f>
        <v>453.7000000000001</v>
      </c>
      <c r="Z3" s="53">
        <f>'Baseline System Analysis'!Z3</f>
        <v>524.00000000000011</v>
      </c>
      <c r="AA3" s="53">
        <f>'Baseline System Analysis'!AA3</f>
        <v>594.30000000000007</v>
      </c>
      <c r="AB3" s="53">
        <f>'Baseline System Analysis'!AB3</f>
        <v>664.6</v>
      </c>
      <c r="AC3" s="53">
        <f>'Baseline System Analysis'!AC3</f>
        <v>734.9</v>
      </c>
      <c r="AD3" s="53">
        <f>'Baseline System Analysis'!AD3</f>
        <v>805.2</v>
      </c>
    </row>
    <row r="4" spans="1:30" x14ac:dyDescent="0.35">
      <c r="A4" s="72" t="s">
        <v>30</v>
      </c>
      <c r="B4" s="180"/>
      <c r="C4" s="72" t="s">
        <v>32</v>
      </c>
      <c r="D4" s="53">
        <f>'Baseline System Analysis'!D4</f>
        <v>2</v>
      </c>
      <c r="E4" s="53">
        <f>'Baseline System Analysis'!E4</f>
        <v>3</v>
      </c>
      <c r="F4" s="53">
        <f>'Baseline System Analysis'!F4</f>
        <v>4.6799999999999953</v>
      </c>
      <c r="G4" s="53">
        <f>'Baseline System Analysis'!G4</f>
        <v>6.3599999999999905</v>
      </c>
      <c r="H4" s="53">
        <f>'Baseline System Analysis'!H4</f>
        <v>8.0399999999999867</v>
      </c>
      <c r="I4" s="53">
        <f>'Baseline System Analysis'!I4</f>
        <v>9.7199999999999829</v>
      </c>
      <c r="J4" s="53">
        <f>'Baseline System Analysis'!J4</f>
        <v>11.399999999999977</v>
      </c>
      <c r="K4" s="53">
        <f>'Baseline System Analysis'!K4</f>
        <v>10.199999999999989</v>
      </c>
      <c r="L4" s="53">
        <f>'Baseline System Analysis'!L4</f>
        <v>8.5999999999999943</v>
      </c>
      <c r="M4" s="53">
        <f>'Baseline System Analysis'!M4</f>
        <v>6.8000000000000114</v>
      </c>
      <c r="N4" s="53">
        <f>'Baseline System Analysis'!N4</f>
        <v>9.6000000000000227</v>
      </c>
      <c r="O4" s="53">
        <f>'Baseline System Analysis'!O4</f>
        <v>11.333333333333352</v>
      </c>
      <c r="P4" s="53">
        <f>'Baseline System Analysis'!P4</f>
        <v>13.066666666666681</v>
      </c>
      <c r="Q4" s="53">
        <f>'Baseline System Analysis'!Q4</f>
        <v>14.80000000000001</v>
      </c>
      <c r="R4" s="53">
        <f>'Baseline System Analysis'!R4</f>
        <v>16.533333333333339</v>
      </c>
      <c r="S4" s="53">
        <f>'Baseline System Analysis'!S4</f>
        <v>18.266666666666669</v>
      </c>
      <c r="T4" s="53">
        <f>'Baseline System Analysis'!T4</f>
        <v>20</v>
      </c>
      <c r="U4" s="53">
        <f>'Baseline System Analysis'!U4</f>
        <v>21.860000000000003</v>
      </c>
      <c r="V4" s="53">
        <f>'Baseline System Analysis'!V4</f>
        <v>23.720000000000006</v>
      </c>
      <c r="W4" s="53">
        <f>'Baseline System Analysis'!W4</f>
        <v>25.580000000000009</v>
      </c>
      <c r="X4" s="53">
        <f>'Baseline System Analysis'!X4</f>
        <v>27.440000000000012</v>
      </c>
      <c r="Y4" s="53">
        <f>'Baseline System Analysis'!Y4</f>
        <v>29.300000000000011</v>
      </c>
      <c r="Z4" s="53">
        <f>'Baseline System Analysis'!Z4</f>
        <v>30.480000000000008</v>
      </c>
      <c r="AA4" s="53">
        <f>'Baseline System Analysis'!AA4</f>
        <v>31.660000000000004</v>
      </c>
      <c r="AB4" s="53">
        <f>'Baseline System Analysis'!AB4</f>
        <v>32.839999999999996</v>
      </c>
      <c r="AC4" s="53">
        <f>'Baseline System Analysis'!AC4</f>
        <v>34.019999999999989</v>
      </c>
      <c r="AD4" s="53">
        <f>'Baseline System Analysis'!AD4</f>
        <v>35.199999999999989</v>
      </c>
    </row>
    <row r="5" spans="1:30" x14ac:dyDescent="0.35">
      <c r="A5" s="72" t="s">
        <v>30</v>
      </c>
      <c r="B5" s="180"/>
      <c r="C5" s="72" t="s">
        <v>33</v>
      </c>
      <c r="D5" s="53">
        <f>'Baseline System Analysis'!D5</f>
        <v>8.4812112193331513E-2</v>
      </c>
      <c r="E5" s="53">
        <f>'Baseline System Analysis'!E5</f>
        <v>0.24283371212350299</v>
      </c>
      <c r="F5" s="53">
        <f>'Baseline System Analysis'!F5</f>
        <v>0.34046276046663143</v>
      </c>
      <c r="G5" s="53">
        <f>'Baseline System Analysis'!G5</f>
        <v>0.43809180880975984</v>
      </c>
      <c r="H5" s="53">
        <f>'Baseline System Analysis'!H5</f>
        <v>0.53572085715288831</v>
      </c>
      <c r="I5" s="53">
        <f>'Baseline System Analysis'!I5</f>
        <v>0.63334990549601677</v>
      </c>
      <c r="J5" s="53">
        <f>'Baseline System Analysis'!J5</f>
        <v>0.73097895383914513</v>
      </c>
      <c r="K5" s="53">
        <f>'Baseline System Analysis'!K5</f>
        <v>0.61764830497225676</v>
      </c>
      <c r="L5" s="53">
        <f>'Baseline System Analysis'!L5</f>
        <v>0.52957812632109091</v>
      </c>
      <c r="M5" s="53">
        <f>'Baseline System Analysis'!M5</f>
        <v>0.48185121670948772</v>
      </c>
      <c r="N5" s="53">
        <f>'Baseline System Analysis'!N5</f>
        <v>0.56680711827214547</v>
      </c>
      <c r="O5" s="53">
        <f>'Baseline System Analysis'!O5</f>
        <v>0.96980348799493798</v>
      </c>
      <c r="P5" s="53">
        <f>'Baseline System Analysis'!P5</f>
        <v>1.3727998577177305</v>
      </c>
      <c r="Q5" s="53">
        <f>'Baseline System Analysis'!Q5</f>
        <v>1.775796227440523</v>
      </c>
      <c r="R5" s="53">
        <f>'Baseline System Analysis'!R5</f>
        <v>2.1787925971633153</v>
      </c>
      <c r="S5" s="53">
        <f>'Baseline System Analysis'!S5</f>
        <v>2.5817889668861076</v>
      </c>
      <c r="T5" s="53">
        <f>'Baseline System Analysis'!T5</f>
        <v>2.9847853366089003</v>
      </c>
      <c r="U5" s="53">
        <f>'Baseline System Analysis'!U5</f>
        <v>21.070525908414965</v>
      </c>
      <c r="V5" s="53">
        <f>'Baseline System Analysis'!V5</f>
        <v>39.156266480221028</v>
      </c>
      <c r="W5" s="53">
        <f>'Baseline System Analysis'!W5</f>
        <v>57.242007052027091</v>
      </c>
      <c r="X5" s="53">
        <f>'Baseline System Analysis'!X5</f>
        <v>75.327747623833147</v>
      </c>
      <c r="Y5" s="53">
        <f>'Baseline System Analysis'!Y5</f>
        <v>93.413488195639218</v>
      </c>
      <c r="Z5" s="53">
        <f>'Baseline System Analysis'!Z5</f>
        <v>81.062212021092932</v>
      </c>
      <c r="AA5" s="53">
        <f>'Baseline System Analysis'!AA5</f>
        <v>68.710935846546647</v>
      </c>
      <c r="AB5" s="53">
        <f>'Baseline System Analysis'!AB5</f>
        <v>56.359659672000362</v>
      </c>
      <c r="AC5" s="53">
        <f>'Baseline System Analysis'!AC5</f>
        <v>44.008383497454076</v>
      </c>
      <c r="AD5" s="53">
        <f>'Baseline System Analysis'!AD5</f>
        <v>31.657107322907791</v>
      </c>
    </row>
    <row r="6" spans="1:30" x14ac:dyDescent="0.35">
      <c r="A6" s="72" t="s">
        <v>30</v>
      </c>
      <c r="B6" s="180"/>
      <c r="C6" s="72" t="s">
        <v>34</v>
      </c>
      <c r="D6" s="53">
        <f>'Baseline System Analysis'!D6</f>
        <v>6.0580080138093939E-3</v>
      </c>
      <c r="E6" s="53">
        <f>'Baseline System Analysis'!E6</f>
        <v>1.7771756236396739E-2</v>
      </c>
      <c r="F6" s="53">
        <f>'Baseline System Analysis'!F6</f>
        <v>2.504677784712513E-2</v>
      </c>
      <c r="G6" s="53">
        <f>'Baseline System Analysis'!G6</f>
        <v>3.2321799457853517E-2</v>
      </c>
      <c r="H6" s="53">
        <f>'Baseline System Analysis'!H6</f>
        <v>3.9596821068581908E-2</v>
      </c>
      <c r="I6" s="53">
        <f>'Baseline System Analysis'!I6</f>
        <v>4.6871842679310299E-2</v>
      </c>
      <c r="J6" s="53">
        <f>'Baseline System Analysis'!J6</f>
        <v>5.414686429003869E-2</v>
      </c>
      <c r="K6" s="53">
        <f>'Baseline System Analysis'!K6</f>
        <v>4.57170533491131E-2</v>
      </c>
      <c r="L6" s="53">
        <f>'Baseline System Analysis'!L6</f>
        <v>3.8991796004088156E-2</v>
      </c>
      <c r="M6" s="53">
        <f>'Baseline System Analysis'!M6</f>
        <v>3.1792887361975948E-2</v>
      </c>
      <c r="N6" s="53">
        <f>'Baseline System Analysis'!N6</f>
        <v>4.2212624824281168E-2</v>
      </c>
      <c r="O6" s="53">
        <f>'Baseline System Analysis'!O6</f>
        <v>5.9766414638595444E-2</v>
      </c>
      <c r="P6" s="53">
        <f>'Baseline System Analysis'!P6</f>
        <v>7.7320204452909727E-2</v>
      </c>
      <c r="Q6" s="53">
        <f>'Baseline System Analysis'!Q6</f>
        <v>9.487399426722401E-2</v>
      </c>
      <c r="R6" s="53">
        <f>'Baseline System Analysis'!R6</f>
        <v>0.11242778408153829</v>
      </c>
      <c r="S6" s="53">
        <f>'Baseline System Analysis'!S6</f>
        <v>0.12998157389585258</v>
      </c>
      <c r="T6" s="53">
        <f>'Baseline System Analysis'!T6</f>
        <v>0.14753536371016684</v>
      </c>
      <c r="U6" s="53">
        <f>'Baseline System Analysis'!U6</f>
        <v>0.40051087482777559</v>
      </c>
      <c r="V6" s="53">
        <f>'Baseline System Analysis'!V6</f>
        <v>0.65348638594538433</v>
      </c>
      <c r="W6" s="53">
        <f>'Baseline System Analysis'!W6</f>
        <v>0.90646189706299307</v>
      </c>
      <c r="X6" s="53">
        <f>'Baseline System Analysis'!X6</f>
        <v>1.1594374081806018</v>
      </c>
      <c r="Y6" s="53">
        <f>'Baseline System Analysis'!Y6</f>
        <v>1.4124129192982104</v>
      </c>
      <c r="Z6" s="53">
        <f>'Baseline System Analysis'!Z6</f>
        <v>1.2710233198999881</v>
      </c>
      <c r="AA6" s="53">
        <f>'Baseline System Analysis'!AA6</f>
        <v>1.1296337205017657</v>
      </c>
      <c r="AB6" s="53">
        <f>'Baseline System Analysis'!AB6</f>
        <v>0.98824412110354332</v>
      </c>
      <c r="AC6" s="53">
        <f>'Baseline System Analysis'!AC6</f>
        <v>0.84685452170532094</v>
      </c>
      <c r="AD6" s="53">
        <f>'Baseline System Analysis'!AD6</f>
        <v>0.70546492230709823</v>
      </c>
    </row>
    <row r="7" spans="1:30" x14ac:dyDescent="0.35">
      <c r="A7" s="72" t="s">
        <v>30</v>
      </c>
      <c r="B7" s="180"/>
      <c r="C7" s="72" t="s">
        <v>35</v>
      </c>
      <c r="D7" s="53">
        <f>'Baseline System Analysis'!D7</f>
        <v>14</v>
      </c>
      <c r="E7" s="53">
        <f>'Baseline System Analysis'!E7</f>
        <v>21</v>
      </c>
      <c r="F7" s="53">
        <f>'Baseline System Analysis'!F7</f>
        <v>23.2</v>
      </c>
      <c r="G7" s="53">
        <f>'Baseline System Analysis'!G7</f>
        <v>25.4</v>
      </c>
      <c r="H7" s="53">
        <f>'Baseline System Analysis'!H7</f>
        <v>27.599999999999998</v>
      </c>
      <c r="I7" s="53">
        <f>'Baseline System Analysis'!I7</f>
        <v>29.799999999999997</v>
      </c>
      <c r="J7" s="53">
        <f>'Baseline System Analysis'!J7</f>
        <v>32</v>
      </c>
      <c r="K7" s="53">
        <f>'Baseline System Analysis'!K7</f>
        <v>30</v>
      </c>
      <c r="L7" s="53">
        <f>'Baseline System Analysis'!L7</f>
        <v>29</v>
      </c>
      <c r="M7" s="53">
        <f>'Baseline System Analysis'!M7</f>
        <v>29</v>
      </c>
      <c r="N7" s="53">
        <f>'Baseline System Analysis'!N7</f>
        <v>29</v>
      </c>
      <c r="O7" s="53">
        <f>'Baseline System Analysis'!O7</f>
        <v>32.666666666666664</v>
      </c>
      <c r="P7" s="53">
        <f>'Baseline System Analysis'!P7</f>
        <v>36.333333333333329</v>
      </c>
      <c r="Q7" s="53">
        <f>'Baseline System Analysis'!Q7</f>
        <v>39.999999999999993</v>
      </c>
      <c r="R7" s="53">
        <f>'Baseline System Analysis'!R7</f>
        <v>43.666666666666657</v>
      </c>
      <c r="S7" s="53">
        <f>'Baseline System Analysis'!S7</f>
        <v>47.333333333333321</v>
      </c>
      <c r="T7" s="53">
        <f>'Baseline System Analysis'!T7</f>
        <v>51</v>
      </c>
      <c r="U7" s="53">
        <f>'Baseline System Analysis'!U7</f>
        <v>56.6</v>
      </c>
      <c r="V7" s="53">
        <f>'Baseline System Analysis'!V7</f>
        <v>62.2</v>
      </c>
      <c r="W7" s="53">
        <f>'Baseline System Analysis'!W7</f>
        <v>67.8</v>
      </c>
      <c r="X7" s="53">
        <f>'Baseline System Analysis'!X7</f>
        <v>73.399999999999991</v>
      </c>
      <c r="Y7" s="53">
        <f>'Baseline System Analysis'!Y7</f>
        <v>79</v>
      </c>
      <c r="Z7" s="53">
        <f>'Baseline System Analysis'!Z7</f>
        <v>82</v>
      </c>
      <c r="AA7" s="53">
        <f>'Baseline System Analysis'!AA7</f>
        <v>85</v>
      </c>
      <c r="AB7" s="53">
        <f>'Baseline System Analysis'!AB7</f>
        <v>88</v>
      </c>
      <c r="AC7" s="53">
        <f>'Baseline System Analysis'!AC7</f>
        <v>91</v>
      </c>
      <c r="AD7" s="53">
        <f>'Baseline System Analysis'!AD7</f>
        <v>94</v>
      </c>
    </row>
    <row r="8" spans="1:30" x14ac:dyDescent="0.35">
      <c r="A8" s="72" t="s">
        <v>39</v>
      </c>
      <c r="B8" s="180"/>
      <c r="C8" s="72" t="s">
        <v>31</v>
      </c>
      <c r="D8" s="53">
        <f>'Baseline System Analysis'!D8</f>
        <v>22.2</v>
      </c>
      <c r="E8" s="53">
        <f>'Baseline System Analysis'!E8</f>
        <v>65.8</v>
      </c>
      <c r="F8" s="53">
        <f>'Baseline System Analysis'!F8</f>
        <v>102.72</v>
      </c>
      <c r="G8" s="53">
        <f>'Baseline System Analysis'!G8</f>
        <v>139.63999999999999</v>
      </c>
      <c r="H8" s="53">
        <f>'Baseline System Analysis'!H8</f>
        <v>176.56</v>
      </c>
      <c r="I8" s="53">
        <f>'Baseline System Analysis'!I8</f>
        <v>213.48000000000002</v>
      </c>
      <c r="J8" s="53">
        <f>'Baseline System Analysis'!J8</f>
        <v>250.4</v>
      </c>
      <c r="K8" s="53">
        <f>'Baseline System Analysis'!K8</f>
        <v>216.60000000000014</v>
      </c>
      <c r="L8" s="53">
        <f>'Baseline System Analysis'!L8</f>
        <v>182.59999999999991</v>
      </c>
      <c r="M8" s="53">
        <f>'Baseline System Analysis'!M8</f>
        <v>151.20000000000005</v>
      </c>
      <c r="N8" s="53">
        <f>'Baseline System Analysis'!N8</f>
        <v>202.60000000000014</v>
      </c>
      <c r="O8" s="53">
        <f>'Baseline System Analysis'!O8</f>
        <v>292.1666666666668</v>
      </c>
      <c r="P8" s="53">
        <f>'Baseline System Analysis'!P8</f>
        <v>381.73333333333346</v>
      </c>
      <c r="Q8" s="53">
        <f>'Baseline System Analysis'!Q8</f>
        <v>471.30000000000013</v>
      </c>
      <c r="R8" s="53">
        <f>'Baseline System Analysis'!R8</f>
        <v>560.86666666666679</v>
      </c>
      <c r="S8" s="53">
        <f>'Baseline System Analysis'!S8</f>
        <v>650.43333333333339</v>
      </c>
      <c r="T8" s="53">
        <f>'Baseline System Analysis'!T8</f>
        <v>740</v>
      </c>
      <c r="U8" s="53">
        <f>'Baseline System Analysis'!U8</f>
        <v>930.87999999999988</v>
      </c>
      <c r="V8" s="53">
        <f>'Baseline System Analysis'!V8</f>
        <v>1121.7599999999998</v>
      </c>
      <c r="W8" s="53">
        <f>'Baseline System Analysis'!W8</f>
        <v>1312.6399999999996</v>
      </c>
      <c r="X8" s="53">
        <f>'Baseline System Analysis'!X8</f>
        <v>1503.5199999999995</v>
      </c>
      <c r="Y8" s="53">
        <f>'Baseline System Analysis'!Y8</f>
        <v>1694.3999999999994</v>
      </c>
      <c r="Z8" s="53">
        <f>'Baseline System Analysis'!Z8</f>
        <v>1887.3999999999994</v>
      </c>
      <c r="AA8" s="53">
        <f>'Baseline System Analysis'!AA8</f>
        <v>2080.3999999999996</v>
      </c>
      <c r="AB8" s="53">
        <f>'Baseline System Analysis'!AB8</f>
        <v>2273.3999999999996</v>
      </c>
      <c r="AC8" s="53">
        <f>'Baseline System Analysis'!AC8</f>
        <v>2466.3999999999996</v>
      </c>
      <c r="AD8" s="53">
        <f>'Baseline System Analysis'!AD8</f>
        <v>2659.3999999999996</v>
      </c>
    </row>
    <row r="9" spans="1:30" x14ac:dyDescent="0.35">
      <c r="A9" s="72" t="s">
        <v>39</v>
      </c>
      <c r="B9" s="180"/>
      <c r="C9" s="72" t="s">
        <v>32</v>
      </c>
      <c r="D9" s="53">
        <f>'Baseline System Analysis'!D9</f>
        <v>13</v>
      </c>
      <c r="E9" s="53">
        <f>'Baseline System Analysis'!E9</f>
        <v>27</v>
      </c>
      <c r="F9" s="53">
        <f>'Baseline System Analysis'!F9</f>
        <v>34.519999999999982</v>
      </c>
      <c r="G9" s="53">
        <f>'Baseline System Analysis'!G9</f>
        <v>42.039999999999964</v>
      </c>
      <c r="H9" s="53">
        <f>'Baseline System Analysis'!H9</f>
        <v>49.559999999999945</v>
      </c>
      <c r="I9" s="53">
        <f>'Baseline System Analysis'!I9</f>
        <v>57.079999999999927</v>
      </c>
      <c r="J9" s="53">
        <f>'Baseline System Analysis'!J9</f>
        <v>64.599999999999909</v>
      </c>
      <c r="K9" s="53">
        <f>'Baseline System Analysis'!K9</f>
        <v>59.799999999999955</v>
      </c>
      <c r="L9" s="53">
        <f>'Baseline System Analysis'!L9</f>
        <v>52.799999999999955</v>
      </c>
      <c r="M9" s="53">
        <f>'Baseline System Analysis'!M9</f>
        <v>46</v>
      </c>
      <c r="N9" s="53">
        <f>'Baseline System Analysis'!N9</f>
        <v>57.400000000000091</v>
      </c>
      <c r="O9" s="53">
        <f>'Baseline System Analysis'!O9</f>
        <v>67.333333333333414</v>
      </c>
      <c r="P9" s="53">
        <f>'Baseline System Analysis'!P9</f>
        <v>77.266666666666737</v>
      </c>
      <c r="Q9" s="53">
        <f>'Baseline System Analysis'!Q9</f>
        <v>87.20000000000006</v>
      </c>
      <c r="R9" s="53">
        <f>'Baseline System Analysis'!R9</f>
        <v>97.133333333333383</v>
      </c>
      <c r="S9" s="53">
        <f>'Baseline System Analysis'!S9</f>
        <v>107.06666666666671</v>
      </c>
      <c r="T9" s="53">
        <f>'Baseline System Analysis'!T9</f>
        <v>117</v>
      </c>
      <c r="U9" s="53">
        <f>'Baseline System Analysis'!U9</f>
        <v>126.6</v>
      </c>
      <c r="V9" s="53">
        <f>'Baseline System Analysis'!V9</f>
        <v>136.19999999999999</v>
      </c>
      <c r="W9" s="53">
        <f>'Baseline System Analysis'!W9</f>
        <v>145.79999999999998</v>
      </c>
      <c r="X9" s="53">
        <f>'Baseline System Analysis'!X9</f>
        <v>155.39999999999998</v>
      </c>
      <c r="Y9" s="53">
        <f>'Baseline System Analysis'!Y9</f>
        <v>165</v>
      </c>
      <c r="Z9" s="53">
        <f>'Baseline System Analysis'!Z9</f>
        <v>171.84</v>
      </c>
      <c r="AA9" s="53">
        <f>'Baseline System Analysis'!AA9</f>
        <v>178.68</v>
      </c>
      <c r="AB9" s="53">
        <f>'Baseline System Analysis'!AB9</f>
        <v>185.52</v>
      </c>
      <c r="AC9" s="53">
        <f>'Baseline System Analysis'!AC9</f>
        <v>192.36</v>
      </c>
      <c r="AD9" s="53">
        <f>'Baseline System Analysis'!AD9</f>
        <v>199.20000000000005</v>
      </c>
    </row>
    <row r="10" spans="1:30" x14ac:dyDescent="0.35">
      <c r="A10" s="72" t="s">
        <v>39</v>
      </c>
      <c r="B10" s="180"/>
      <c r="C10" s="72" t="s">
        <v>33</v>
      </c>
      <c r="D10" s="53">
        <f>'Baseline System Analysis'!D10</f>
        <v>4.7253529883901121E-2</v>
      </c>
      <c r="E10" s="53">
        <f>'Baseline System Analysis'!E10</f>
        <v>0.28011551949195379</v>
      </c>
      <c r="F10" s="53">
        <f>'Baseline System Analysis'!F10</f>
        <v>0.59718244793816533</v>
      </c>
      <c r="G10" s="53">
        <f>'Baseline System Analysis'!G10</f>
        <v>0.91424937638437687</v>
      </c>
      <c r="H10" s="53">
        <f>'Baseline System Analysis'!H10</f>
        <v>1.2313163048305884</v>
      </c>
      <c r="I10" s="53">
        <f>'Baseline System Analysis'!I10</f>
        <v>1.5483832332767999</v>
      </c>
      <c r="J10" s="53">
        <f>'Baseline System Analysis'!J10</f>
        <v>1.8654501617230115</v>
      </c>
      <c r="K10" s="53">
        <f>'Baseline System Analysis'!K10</f>
        <v>1.6136441894137561</v>
      </c>
      <c r="L10" s="53">
        <f>'Baseline System Analysis'!L10</f>
        <v>1.1660127779459895</v>
      </c>
      <c r="M10" s="53">
        <f>'Baseline System Analysis'!M10</f>
        <v>0.80458713045561225</v>
      </c>
      <c r="N10" s="53">
        <f>'Baseline System Analysis'!N10</f>
        <v>0.56680711827214547</v>
      </c>
      <c r="O10" s="53">
        <f>'Baseline System Analysis'!O10</f>
        <v>3.0445179689462347</v>
      </c>
      <c r="P10" s="53">
        <f>'Baseline System Analysis'!P10</f>
        <v>4.5886299372095039</v>
      </c>
      <c r="Q10" s="53">
        <f>'Baseline System Analysis'!Q10</f>
        <v>6.1327419054727734</v>
      </c>
      <c r="R10" s="53">
        <f>'Baseline System Analysis'!R10</f>
        <v>7.676853873736043</v>
      </c>
      <c r="S10" s="53">
        <f>'Baseline System Analysis'!S10</f>
        <v>9.2209658419993126</v>
      </c>
      <c r="T10" s="53">
        <f>'Baseline System Analysis'!T10</f>
        <v>10.765077810262582</v>
      </c>
      <c r="U10" s="53">
        <f>'Baseline System Analysis'!U10</f>
        <v>11.285969377257926</v>
      </c>
      <c r="V10" s="53">
        <f>'Baseline System Analysis'!V10</f>
        <v>11.80686094425327</v>
      </c>
      <c r="W10" s="53">
        <f>'Baseline System Analysis'!W10</f>
        <v>12.327752511248613</v>
      </c>
      <c r="X10" s="53">
        <f>'Baseline System Analysis'!X10</f>
        <v>12.848644078243957</v>
      </c>
      <c r="Y10" s="53">
        <f>'Baseline System Analysis'!Y10</f>
        <v>13.369535645239303</v>
      </c>
      <c r="Z10" s="53">
        <f>'Baseline System Analysis'!Z10</f>
        <v>31.024884631077057</v>
      </c>
      <c r="AA10" s="53">
        <f>'Baseline System Analysis'!AA10</f>
        <v>48.680233616914812</v>
      </c>
      <c r="AB10" s="53">
        <f>'Baseline System Analysis'!AB10</f>
        <v>66.335582602752567</v>
      </c>
      <c r="AC10" s="53">
        <f>'Baseline System Analysis'!AC10</f>
        <v>83.990931588590314</v>
      </c>
      <c r="AD10" s="53">
        <f>'Baseline System Analysis'!AD10</f>
        <v>101.64628057442808</v>
      </c>
    </row>
    <row r="11" spans="1:30" x14ac:dyDescent="0.35">
      <c r="A11" s="72" t="s">
        <v>39</v>
      </c>
      <c r="B11" s="180"/>
      <c r="C11" s="72" t="s">
        <v>34</v>
      </c>
      <c r="D11" s="53">
        <f>'Baseline System Analysis'!D11</f>
        <v>2.3626764941950561E-2</v>
      </c>
      <c r="E11" s="53">
        <f>'Baseline System Analysis'!E11</f>
        <v>7.0028879872988448E-2</v>
      </c>
      <c r="F11" s="53">
        <f>'Baseline System Analysis'!F11</f>
        <v>0.10932167994761965</v>
      </c>
      <c r="G11" s="53">
        <f>'Baseline System Analysis'!G11</f>
        <v>0.14861448002225086</v>
      </c>
      <c r="H11" s="53">
        <f>'Baseline System Analysis'!H11</f>
        <v>0.18790728009688207</v>
      </c>
      <c r="I11" s="53">
        <f>'Baseline System Analysis'!I11</f>
        <v>0.22720008017151327</v>
      </c>
      <c r="J11" s="53">
        <f>'Baseline System Analysis'!J11</f>
        <v>0.26649288024614448</v>
      </c>
      <c r="K11" s="53">
        <f>'Baseline System Analysis'!K11</f>
        <v>0.23052059848767945</v>
      </c>
      <c r="L11" s="53">
        <f>'Baseline System Analysis'!L11</f>
        <v>0.19433546299099821</v>
      </c>
      <c r="M11" s="53">
        <f>'Baseline System Analysis'!M11</f>
        <v>0.16091742609112245</v>
      </c>
      <c r="N11" s="53">
        <f>'Baseline System Analysis'!N11</f>
        <v>4.2212624824281168E-2</v>
      </c>
      <c r="O11" s="53">
        <f>'Baseline System Analysis'!O11</f>
        <v>0.30677545020347896</v>
      </c>
      <c r="P11" s="53">
        <f>'Baseline System Analysis'!P11</f>
        <v>0.39920718602367722</v>
      </c>
      <c r="Q11" s="53">
        <f>'Baseline System Analysis'!Q11</f>
        <v>0.49163892184387548</v>
      </c>
      <c r="R11" s="53">
        <f>'Baseline System Analysis'!R11</f>
        <v>0.58407065766407373</v>
      </c>
      <c r="S11" s="53">
        <f>'Baseline System Analysis'!S11</f>
        <v>0.67650239348427199</v>
      </c>
      <c r="T11" s="53">
        <f>'Baseline System Analysis'!T11</f>
        <v>0.76893412930447014</v>
      </c>
      <c r="U11" s="53">
        <f>'Baseline System Analysis'!U11</f>
        <v>0.69278283231502535</v>
      </c>
      <c r="V11" s="53">
        <f>'Baseline System Analysis'!V11</f>
        <v>0.61663153532558057</v>
      </c>
      <c r="W11" s="53">
        <f>'Baseline System Analysis'!W11</f>
        <v>0.54048023833613579</v>
      </c>
      <c r="X11" s="53">
        <f>'Baseline System Analysis'!X11</f>
        <v>0.464328941346691</v>
      </c>
      <c r="Y11" s="53">
        <f>'Baseline System Analysis'!Y11</f>
        <v>0.38817764435724611</v>
      </c>
      <c r="Z11" s="53">
        <f>'Baseline System Analysis'!Z11</f>
        <v>0.85998146994216484</v>
      </c>
      <c r="AA11" s="53">
        <f>'Baseline System Analysis'!AA11</f>
        <v>1.3317852955270837</v>
      </c>
      <c r="AB11" s="53">
        <f>'Baseline System Analysis'!AB11</f>
        <v>1.8035891211120025</v>
      </c>
      <c r="AC11" s="53">
        <f>'Baseline System Analysis'!AC11</f>
        <v>2.2753929466969214</v>
      </c>
      <c r="AD11" s="53">
        <f>'Baseline System Analysis'!AD11</f>
        <v>2.74719677228184</v>
      </c>
    </row>
    <row r="12" spans="1:30" x14ac:dyDescent="0.35">
      <c r="A12" s="72" t="s">
        <v>39</v>
      </c>
      <c r="B12" s="180"/>
      <c r="C12" s="72" t="s">
        <v>35</v>
      </c>
      <c r="D12" s="53">
        <f>'Baseline System Analysis'!D12</f>
        <v>2</v>
      </c>
      <c r="E12" s="53">
        <f>'Baseline System Analysis'!E12</f>
        <v>4</v>
      </c>
      <c r="F12" s="53">
        <f>'Baseline System Analysis'!F12</f>
        <v>4.5999999999999996</v>
      </c>
      <c r="G12" s="53">
        <f>'Baseline System Analysis'!G12</f>
        <v>5.1999999999999993</v>
      </c>
      <c r="H12" s="53">
        <f>'Baseline System Analysis'!H12</f>
        <v>5.7999999999999989</v>
      </c>
      <c r="I12" s="53">
        <f>'Baseline System Analysis'!I12</f>
        <v>6.3999999999999986</v>
      </c>
      <c r="J12" s="53">
        <f>'Baseline System Analysis'!J12</f>
        <v>7</v>
      </c>
      <c r="K12" s="53">
        <f>'Baseline System Analysis'!K12</f>
        <v>7</v>
      </c>
      <c r="L12" s="53">
        <f>'Baseline System Analysis'!L12</f>
        <v>6</v>
      </c>
      <c r="M12" s="53">
        <f>'Baseline System Analysis'!M12</f>
        <v>5</v>
      </c>
      <c r="N12" s="53">
        <f>'Baseline System Analysis'!N12</f>
        <v>7</v>
      </c>
      <c r="O12" s="53">
        <f>'Baseline System Analysis'!O12</f>
        <v>8.1666666666666661</v>
      </c>
      <c r="P12" s="53">
        <f>'Baseline System Analysis'!P12</f>
        <v>9.3333333333333321</v>
      </c>
      <c r="Q12" s="53">
        <f>'Baseline System Analysis'!Q12</f>
        <v>10.499999999999998</v>
      </c>
      <c r="R12" s="53">
        <f>'Baseline System Analysis'!R12</f>
        <v>11.666666666666664</v>
      </c>
      <c r="S12" s="53">
        <f>'Baseline System Analysis'!S12</f>
        <v>12.83333333333333</v>
      </c>
      <c r="T12" s="53">
        <f>'Baseline System Analysis'!T12</f>
        <v>14</v>
      </c>
      <c r="U12" s="53">
        <f>'Baseline System Analysis'!U12</f>
        <v>17</v>
      </c>
      <c r="V12" s="53">
        <f>'Baseline System Analysis'!V12</f>
        <v>20</v>
      </c>
      <c r="W12" s="53">
        <f>'Baseline System Analysis'!W12</f>
        <v>23</v>
      </c>
      <c r="X12" s="53">
        <f>'Baseline System Analysis'!X12</f>
        <v>26</v>
      </c>
      <c r="Y12" s="53">
        <f>'Baseline System Analysis'!Y12</f>
        <v>29</v>
      </c>
      <c r="Z12" s="53">
        <f>'Baseline System Analysis'!Z12</f>
        <v>30.6</v>
      </c>
      <c r="AA12" s="53">
        <f>'Baseline System Analysis'!AA12</f>
        <v>32.200000000000003</v>
      </c>
      <c r="AB12" s="53">
        <f>'Baseline System Analysis'!AB12</f>
        <v>33.800000000000004</v>
      </c>
      <c r="AC12" s="53">
        <f>'Baseline System Analysis'!AC12</f>
        <v>35.400000000000006</v>
      </c>
      <c r="AD12" s="53">
        <f>'Baseline System Analysis'!AD12</f>
        <v>37</v>
      </c>
    </row>
    <row r="13" spans="1:30" s="52" customFormat="1" x14ac:dyDescent="0.35">
      <c r="A13" s="72" t="s">
        <v>30</v>
      </c>
      <c r="B13" s="180"/>
      <c r="C13" s="72" t="s">
        <v>108</v>
      </c>
      <c r="D13" s="53">
        <f>'Baseline System Analysis'!D13</f>
        <v>5445.825674993449</v>
      </c>
      <c r="E13" s="53">
        <f>'Baseline System Analysis'!E13</f>
        <v>7241.293555071361</v>
      </c>
      <c r="F13" s="53">
        <f>'Baseline System Analysis'!F13</f>
        <v>9036.7614351492721</v>
      </c>
      <c r="G13" s="53">
        <f>'Baseline System Analysis'!G13</f>
        <v>10832.229315227183</v>
      </c>
      <c r="H13" s="53">
        <f>'Baseline System Analysis'!H13</f>
        <v>12627.697195305094</v>
      </c>
      <c r="I13" s="53">
        <f>'Baseline System Analysis'!I13</f>
        <v>14423.165075383005</v>
      </c>
      <c r="J13" s="53">
        <f>'Baseline System Analysis'!J13</f>
        <v>16218.632955460916</v>
      </c>
      <c r="K13" s="53">
        <f>'Baseline System Analysis'!K13</f>
        <v>15620.143662101613</v>
      </c>
      <c r="L13" s="53">
        <f>'Baseline System Analysis'!L13</f>
        <v>15021.654368742309</v>
      </c>
      <c r="M13" s="53">
        <f>'Baseline System Analysis'!M13</f>
        <v>13525.43113534405</v>
      </c>
      <c r="N13" s="53">
        <f>'Baseline System Analysis'!N13</f>
        <v>14423.165075383005</v>
      </c>
      <c r="O13" s="53">
        <f>'Baseline System Analysis'!O13</f>
        <v>16913.232955460899</v>
      </c>
      <c r="P13" s="53">
        <f>'Baseline System Analysis'!P13</f>
        <v>17831.369243247562</v>
      </c>
      <c r="Q13" s="53">
        <f>'Baseline System Analysis'!Q13</f>
        <v>18749.505531034225</v>
      </c>
      <c r="R13" s="53">
        <f>'Baseline System Analysis'!R13</f>
        <v>19667.641818820888</v>
      </c>
      <c r="S13" s="53">
        <f>'Baseline System Analysis'!S13</f>
        <v>20585.778106607551</v>
      </c>
      <c r="T13" s="53">
        <f>'Baseline System Analysis'!T13</f>
        <v>21503.914394394214</v>
      </c>
      <c r="U13" s="53">
        <f>'Baseline System Analysis'!U13</f>
        <v>22422.050682180878</v>
      </c>
      <c r="V13" s="53">
        <f>'Baseline System Analysis'!V13</f>
        <v>23340.186969967541</v>
      </c>
      <c r="W13" s="53">
        <f>'Baseline System Analysis'!W13</f>
        <v>24258.323257754204</v>
      </c>
      <c r="X13" s="53">
        <f>'Baseline System Analysis'!X13</f>
        <v>25176.459545540867</v>
      </c>
      <c r="Y13" s="53">
        <f>'Baseline System Analysis'!Y13</f>
        <v>26094.59583332753</v>
      </c>
      <c r="Z13" s="53">
        <f>'Baseline System Analysis'!Z13</f>
        <v>27012.732121114193</v>
      </c>
      <c r="AA13" s="53">
        <f>'Baseline System Analysis'!AA13</f>
        <v>27930.868408900857</v>
      </c>
      <c r="AB13" s="53">
        <f>'Baseline System Analysis'!AB13</f>
        <v>28849.00469668752</v>
      </c>
      <c r="AC13" s="53">
        <f>'Baseline System Analysis'!AC13</f>
        <v>29767.140984474183</v>
      </c>
      <c r="AD13" s="53">
        <f>'Baseline System Analysis'!AD13</f>
        <v>30685.277272260842</v>
      </c>
    </row>
    <row r="14" spans="1:30" s="52" customFormat="1" x14ac:dyDescent="0.35">
      <c r="A14" s="72" t="s">
        <v>30</v>
      </c>
      <c r="B14" s="180"/>
      <c r="C14" s="72" t="s">
        <v>109</v>
      </c>
      <c r="D14" s="53">
        <f>'Baseline System Analysis'!D14</f>
        <v>192864.66620394157</v>
      </c>
      <c r="E14" s="53">
        <f>'Baseline System Analysis'!E14</f>
        <v>195239.2419650236</v>
      </c>
      <c r="F14" s="53">
        <f>'Baseline System Analysis'!F14</f>
        <v>196366.76544203321</v>
      </c>
      <c r="G14" s="53">
        <f>'Baseline System Analysis'!G14</f>
        <v>197525.37556068008</v>
      </c>
      <c r="H14" s="53">
        <f>'Baseline System Analysis'!H14</f>
        <v>198743.92387830256</v>
      </c>
      <c r="I14" s="53">
        <f>'Baseline System Analysis'!I14</f>
        <v>200140.93841202525</v>
      </c>
      <c r="J14" s="53">
        <f>'Baseline System Analysis'!J14</f>
        <v>201537.7102617296</v>
      </c>
      <c r="K14" s="53">
        <f>'Baseline System Analysis'!K14</f>
        <v>200616.89493678272</v>
      </c>
      <c r="L14" s="53">
        <f>'Baseline System Analysis'!L14</f>
        <v>199696.14928779242</v>
      </c>
      <c r="M14" s="53">
        <f>'Baseline System Analysis'!M14</f>
        <v>198775.23322502323</v>
      </c>
      <c r="N14" s="53">
        <f>'Baseline System Analysis'!N14</f>
        <v>200250.33489773443</v>
      </c>
      <c r="O14" s="53">
        <f>'Baseline System Analysis'!O14</f>
        <v>201766.1654636735</v>
      </c>
      <c r="P14" s="53">
        <f>'Baseline System Analysis'!P14</f>
        <v>203325.96278464468</v>
      </c>
      <c r="Q14" s="53">
        <f>'Baseline System Analysis'!Q14</f>
        <v>204856.96017693213</v>
      </c>
      <c r="R14" s="53">
        <f>'Baseline System Analysis'!R14</f>
        <v>206421.18825616254</v>
      </c>
      <c r="S14" s="53">
        <f>'Baseline System Analysis'!S14</f>
        <v>208013.70502273936</v>
      </c>
      <c r="T14" s="53">
        <f>'Baseline System Analysis'!T14</f>
        <v>209643.37199318074</v>
      </c>
      <c r="U14" s="53">
        <f>'Baseline System Analysis'!U14</f>
        <v>211125.2902170599</v>
      </c>
      <c r="V14" s="53">
        <f>'Baseline System Analysis'!V14</f>
        <v>212613.854578328</v>
      </c>
      <c r="W14" s="53">
        <f>'Baseline System Analysis'!W14</f>
        <v>214101.90769825791</v>
      </c>
      <c r="X14" s="53">
        <f>'Baseline System Analysis'!X14</f>
        <v>215599.50398982322</v>
      </c>
      <c r="Y14" s="53">
        <f>'Baseline System Analysis'!Y14</f>
        <v>216849.14823265999</v>
      </c>
      <c r="Z14" s="53">
        <f>'Baseline System Analysis'!Z14</f>
        <v>218069.3108916957</v>
      </c>
      <c r="AA14" s="53">
        <f>'Baseline System Analysis'!AA14</f>
        <v>219248.74465750376</v>
      </c>
      <c r="AB14" s="53">
        <f>'Baseline System Analysis'!AB14</f>
        <v>220395.79980526475</v>
      </c>
      <c r="AC14" s="53">
        <f>'Baseline System Analysis'!AC14</f>
        <v>221214.46760051764</v>
      </c>
      <c r="AD14" s="53">
        <f>'Baseline System Analysis'!AD14</f>
        <v>221946.05395460132</v>
      </c>
    </row>
    <row r="15" spans="1:30" s="52" customFormat="1" x14ac:dyDescent="0.35">
      <c r="A15" s="72" t="s">
        <v>30</v>
      </c>
      <c r="B15" s="180"/>
      <c r="C15" s="72" t="s">
        <v>110</v>
      </c>
      <c r="D15" s="53">
        <f>'Baseline System Analysis'!D15</f>
        <v>57814.1637958055</v>
      </c>
      <c r="E15" s="53">
        <f>'Baseline System Analysis'!E15</f>
        <v>62191.746894023359</v>
      </c>
      <c r="F15" s="53">
        <f>'Baseline System Analysis'!F15</f>
        <v>64361.105239567863</v>
      </c>
      <c r="G15" s="53">
        <f>'Baseline System Analysis'!G15</f>
        <v>66628.501001105484</v>
      </c>
      <c r="H15" s="53">
        <f>'Baseline System Analysis'!H15</f>
        <v>69068.22672153436</v>
      </c>
      <c r="I15" s="53">
        <f>'Baseline System Analysis'!I15</f>
        <v>71918.961016641551</v>
      </c>
      <c r="J15" s="53">
        <f>'Baseline System Analysis'!J15</f>
        <v>74820.679205256296</v>
      </c>
      <c r="K15" s="53">
        <f>'Baseline System Analysis'!K15</f>
        <v>72899.28225345345</v>
      </c>
      <c r="L15" s="53">
        <f>'Baseline System Analysis'!L15</f>
        <v>71006.352594376862</v>
      </c>
      <c r="M15" s="53">
        <f>'Baseline System Analysis'!M15</f>
        <v>69131.616141376318</v>
      </c>
      <c r="N15" s="53">
        <f>'Baseline System Analysis'!N15</f>
        <v>72143.764963991809</v>
      </c>
      <c r="O15" s="53">
        <f>'Baseline System Analysis'!O15</f>
        <v>75301.925896232133</v>
      </c>
      <c r="P15" s="53">
        <f>'Baseline System Analysis'!P15</f>
        <v>78629.627518656707</v>
      </c>
      <c r="Q15" s="53">
        <f>'Baseline System Analysis'!Q15</f>
        <v>81951.057574073071</v>
      </c>
      <c r="R15" s="53">
        <f>'Baseline System Analysis'!R15</f>
        <v>85383.424638269789</v>
      </c>
      <c r="S15" s="53">
        <f>'Baseline System Analysis'!S15</f>
        <v>88945.971119594135</v>
      </c>
      <c r="T15" s="53">
        <f>'Baseline System Analysis'!T15</f>
        <v>92676.895920951385</v>
      </c>
      <c r="U15" s="53">
        <f>'Baseline System Analysis'!U15</f>
        <v>96145.729908431153</v>
      </c>
      <c r="V15" s="53">
        <f>'Baseline System Analysis'!V15</f>
        <v>99700.858162341799</v>
      </c>
      <c r="W15" s="53">
        <f>'Baseline System Analysis'!W15</f>
        <v>103340.20977892888</v>
      </c>
      <c r="X15" s="53">
        <f>'Baseline System Analysis'!X15</f>
        <v>107065.51818072386</v>
      </c>
      <c r="Y15" s="53">
        <f>'Baseline System Analysis'!Y15</f>
        <v>110237.64392344528</v>
      </c>
      <c r="Z15" s="53">
        <f>'Baseline System Analysis'!Z15</f>
        <v>113355.67104643886</v>
      </c>
      <c r="AA15" s="53">
        <f>'Baseline System Analysis'!AA15</f>
        <v>116394.79841235251</v>
      </c>
      <c r="AB15" s="53">
        <f>'Baseline System Analysis'!AB15</f>
        <v>119393.94598127359</v>
      </c>
      <c r="AC15" s="53">
        <f>'Baseline System Analysis'!AC15</f>
        <v>121552.79504833522</v>
      </c>
      <c r="AD15" s="53">
        <f>'Baseline System Analysis'!AD15</f>
        <v>123501.36707164065</v>
      </c>
    </row>
    <row r="17" spans="1:30" ht="20" thickBot="1" x14ac:dyDescent="0.5">
      <c r="A17" s="113"/>
      <c r="B17" s="122"/>
      <c r="C17" s="113" t="s">
        <v>105</v>
      </c>
      <c r="D17" s="113">
        <v>2022</v>
      </c>
      <c r="E17" s="113">
        <v>2023</v>
      </c>
      <c r="F17" s="113">
        <v>2024</v>
      </c>
      <c r="G17" s="113">
        <v>2025</v>
      </c>
      <c r="H17" s="113">
        <v>2026</v>
      </c>
      <c r="I17" s="113">
        <v>2027</v>
      </c>
      <c r="J17" s="113">
        <v>2028</v>
      </c>
      <c r="K17" s="113">
        <v>2029</v>
      </c>
      <c r="L17" s="113">
        <v>2030</v>
      </c>
      <c r="M17" s="113">
        <v>2031</v>
      </c>
      <c r="N17" s="113">
        <v>2032</v>
      </c>
      <c r="O17" s="113">
        <v>2033</v>
      </c>
      <c r="P17" s="113">
        <v>2034</v>
      </c>
      <c r="Q17" s="113">
        <v>2035</v>
      </c>
      <c r="R17" s="113">
        <v>2036</v>
      </c>
      <c r="S17" s="113">
        <v>2037</v>
      </c>
      <c r="T17" s="113">
        <v>2038</v>
      </c>
      <c r="U17" s="113">
        <v>2039</v>
      </c>
      <c r="V17" s="113">
        <v>2040</v>
      </c>
      <c r="W17" s="113">
        <v>2041</v>
      </c>
      <c r="X17" s="113">
        <v>2042</v>
      </c>
      <c r="Y17" s="113">
        <v>2043</v>
      </c>
      <c r="Z17" s="113">
        <v>2044</v>
      </c>
      <c r="AA17" s="113">
        <v>2045</v>
      </c>
      <c r="AB17" s="113">
        <v>2046</v>
      </c>
      <c r="AC17" s="113">
        <v>2047</v>
      </c>
      <c r="AD17" s="113">
        <v>2048</v>
      </c>
    </row>
    <row r="18" spans="1:30" ht="15" thickTop="1" x14ac:dyDescent="0.35">
      <c r="A18" s="72"/>
      <c r="B18" s="179" t="s">
        <v>20</v>
      </c>
      <c r="C18" s="72" t="s">
        <v>107</v>
      </c>
      <c r="D18" s="53">
        <v>43189.300000001451</v>
      </c>
      <c r="E18" s="53">
        <v>43589.898076924495</v>
      </c>
      <c r="F18" s="53">
        <v>43990.496153847533</v>
      </c>
      <c r="G18" s="53">
        <v>44391.09423077057</v>
      </c>
      <c r="H18" s="53">
        <v>44791.692307693607</v>
      </c>
      <c r="I18" s="53">
        <v>45192.290384616645</v>
      </c>
      <c r="J18" s="53">
        <v>45592.888461539682</v>
      </c>
      <c r="K18" s="53">
        <v>44938.158333334024</v>
      </c>
      <c r="L18" s="53">
        <v>44727.183333334047</v>
      </c>
      <c r="M18" s="53">
        <v>44510.241666667316</v>
      </c>
      <c r="N18" s="53">
        <v>44855.400000000751</v>
      </c>
      <c r="O18" s="53">
        <v>45186.708333334056</v>
      </c>
      <c r="P18" s="53">
        <v>45518.016666667361</v>
      </c>
      <c r="Q18" s="53">
        <v>45849.325000000666</v>
      </c>
      <c r="R18" s="53">
        <v>46180.633333333972</v>
      </c>
      <c r="S18" s="53">
        <v>46511.941666667277</v>
      </c>
      <c r="T18" s="53">
        <v>46843.250000000582</v>
      </c>
      <c r="U18" s="53">
        <v>47174.558333333887</v>
      </c>
      <c r="V18" s="53">
        <v>47505.866666667192</v>
      </c>
      <c r="W18" s="53">
        <v>47837.175000000498</v>
      </c>
      <c r="X18" s="53">
        <v>48168.483333333803</v>
      </c>
      <c r="Y18" s="53">
        <v>48499.791666667108</v>
      </c>
      <c r="Z18" s="53">
        <v>48831.100000000413</v>
      </c>
      <c r="AA18" s="53">
        <v>49162.408333333718</v>
      </c>
      <c r="AB18" s="53">
        <v>49493.716666667024</v>
      </c>
      <c r="AC18" s="53">
        <v>49825.025000000329</v>
      </c>
      <c r="AD18" s="53">
        <v>50156.333333333663</v>
      </c>
    </row>
    <row r="19" spans="1:30" x14ac:dyDescent="0.35">
      <c r="A19" s="72" t="s">
        <v>30</v>
      </c>
      <c r="B19" s="180"/>
      <c r="C19" s="72" t="s">
        <v>31</v>
      </c>
      <c r="D19" s="53">
        <v>0</v>
      </c>
      <c r="E19" s="53">
        <v>0</v>
      </c>
      <c r="F19" s="53">
        <v>0</v>
      </c>
      <c r="G19" s="53">
        <v>0</v>
      </c>
      <c r="H19" s="53">
        <v>0</v>
      </c>
      <c r="I19" s="53">
        <v>0</v>
      </c>
      <c r="J19" s="53">
        <v>12.5</v>
      </c>
      <c r="K19" s="53">
        <v>12.5</v>
      </c>
      <c r="L19" s="51">
        <v>10</v>
      </c>
      <c r="M19" s="51">
        <v>10</v>
      </c>
      <c r="N19" s="51">
        <v>12.5</v>
      </c>
      <c r="O19" s="53">
        <v>15</v>
      </c>
      <c r="P19" s="51">
        <v>18.32</v>
      </c>
      <c r="Q19" s="51">
        <v>21.64</v>
      </c>
      <c r="R19" s="51">
        <v>24.96</v>
      </c>
      <c r="S19" s="51">
        <v>28.28</v>
      </c>
      <c r="T19" s="53">
        <v>31.599999999999994</v>
      </c>
      <c r="U19" s="51">
        <v>44.219999999999992</v>
      </c>
      <c r="V19" s="51">
        <v>56.839999999999989</v>
      </c>
      <c r="W19" s="51">
        <v>69.459999999999994</v>
      </c>
      <c r="X19" s="51">
        <v>82.08</v>
      </c>
      <c r="Y19" s="53">
        <v>94.699999999999989</v>
      </c>
      <c r="Z19" s="51">
        <v>107.57999999999998</v>
      </c>
      <c r="AA19" s="51">
        <v>120.45999999999998</v>
      </c>
      <c r="AB19" s="51">
        <v>133.33999999999997</v>
      </c>
      <c r="AC19" s="51">
        <v>146.21999999999997</v>
      </c>
      <c r="AD19" s="53">
        <v>159.09999999999997</v>
      </c>
    </row>
    <row r="20" spans="1:30" x14ac:dyDescent="0.35">
      <c r="A20" s="72" t="s">
        <v>30</v>
      </c>
      <c r="B20" s="180"/>
      <c r="C20" s="72" t="s">
        <v>32</v>
      </c>
      <c r="D20" s="53">
        <v>0</v>
      </c>
      <c r="E20" s="53">
        <v>0</v>
      </c>
      <c r="F20" s="53">
        <v>0</v>
      </c>
      <c r="G20" s="53">
        <v>0</v>
      </c>
      <c r="H20" s="53">
        <v>0</v>
      </c>
      <c r="I20" s="53">
        <v>0</v>
      </c>
      <c r="J20" s="53">
        <v>2.5</v>
      </c>
      <c r="K20" s="53">
        <v>2.5</v>
      </c>
      <c r="L20" s="51">
        <v>2.5</v>
      </c>
      <c r="M20" s="51">
        <v>2.5</v>
      </c>
      <c r="N20" s="51">
        <v>2.5</v>
      </c>
      <c r="O20" s="53">
        <v>2.5</v>
      </c>
      <c r="P20" s="51">
        <v>2.5</v>
      </c>
      <c r="Q20" s="51">
        <v>2.5</v>
      </c>
      <c r="R20" s="51">
        <v>2.5</v>
      </c>
      <c r="S20" s="51">
        <v>2.5</v>
      </c>
      <c r="T20" s="53">
        <v>2.5</v>
      </c>
      <c r="U20" s="51">
        <v>3.9799999999999955</v>
      </c>
      <c r="V20" s="51">
        <v>5.4599999999999911</v>
      </c>
      <c r="W20" s="51">
        <v>6.9399999999999871</v>
      </c>
      <c r="X20" s="51">
        <v>8.4199999999999822</v>
      </c>
      <c r="Y20" s="53">
        <v>9.8999999999999773</v>
      </c>
      <c r="Z20" s="51">
        <v>11.119999999999981</v>
      </c>
      <c r="AA20" s="51">
        <v>12.339999999999986</v>
      </c>
      <c r="AB20" s="51">
        <v>13.55999999999999</v>
      </c>
      <c r="AC20" s="51">
        <v>14.779999999999994</v>
      </c>
      <c r="AD20" s="53">
        <v>16</v>
      </c>
    </row>
    <row r="21" spans="1:30" x14ac:dyDescent="0.35">
      <c r="A21" s="72" t="s">
        <v>30</v>
      </c>
      <c r="B21" s="180"/>
      <c r="C21" s="72" t="s">
        <v>33</v>
      </c>
      <c r="D21" s="53">
        <v>0</v>
      </c>
      <c r="E21" s="53">
        <v>0</v>
      </c>
      <c r="F21" s="53">
        <v>0</v>
      </c>
      <c r="G21" s="53">
        <v>0</v>
      </c>
      <c r="H21" s="53">
        <v>0</v>
      </c>
      <c r="I21" s="53">
        <v>0</v>
      </c>
      <c r="J21" s="53">
        <v>5.7281742097044439E-2</v>
      </c>
      <c r="K21" s="53">
        <v>5.7281742097044439E-2</v>
      </c>
      <c r="L21" s="51">
        <v>3.6660314942108446E-2</v>
      </c>
      <c r="M21" s="51">
        <v>3.6660314942108446E-2</v>
      </c>
      <c r="N21" s="51">
        <v>5.7281742097044439E-2</v>
      </c>
      <c r="O21" s="53">
        <v>8.2485708619743997E-2</v>
      </c>
      <c r="P21" s="51">
        <v>0.11555744802846504</v>
      </c>
      <c r="Q21" s="51">
        <v>0.14862918743718609</v>
      </c>
      <c r="R21" s="51">
        <v>0.18170092684590713</v>
      </c>
      <c r="S21" s="51">
        <v>0.21477266625462818</v>
      </c>
      <c r="T21" s="53">
        <v>0.24784440566334925</v>
      </c>
      <c r="U21" s="51">
        <v>0.45863848098908144</v>
      </c>
      <c r="V21" s="51">
        <v>0.66943255631481358</v>
      </c>
      <c r="W21" s="51">
        <v>0.88022663164054571</v>
      </c>
      <c r="X21" s="51">
        <v>1.0910207069662778</v>
      </c>
      <c r="Y21" s="53">
        <v>1.3018147822920101</v>
      </c>
      <c r="Z21" s="51">
        <v>1.4780445395143345</v>
      </c>
      <c r="AA21" s="51">
        <v>1.6542742967366588</v>
      </c>
      <c r="AB21" s="51">
        <v>1.8305040539589832</v>
      </c>
      <c r="AC21" s="51">
        <v>2.0067338111813076</v>
      </c>
      <c r="AD21" s="53">
        <v>2.1829635684036317</v>
      </c>
    </row>
    <row r="22" spans="1:30" x14ac:dyDescent="0.35">
      <c r="A22" s="72" t="s">
        <v>30</v>
      </c>
      <c r="B22" s="180"/>
      <c r="C22" s="72" t="s">
        <v>34</v>
      </c>
      <c r="D22" s="53">
        <v>0</v>
      </c>
      <c r="E22" s="53">
        <v>0</v>
      </c>
      <c r="F22" s="53">
        <v>0</v>
      </c>
      <c r="G22" s="53">
        <v>0</v>
      </c>
      <c r="H22" s="53">
        <v>0</v>
      </c>
      <c r="I22" s="53">
        <v>0</v>
      </c>
      <c r="J22" s="53">
        <v>1.1456348419408888E-2</v>
      </c>
      <c r="K22" s="53">
        <v>1.1456348419408888E-2</v>
      </c>
      <c r="L22" s="51">
        <v>9.1650787355271116E-3</v>
      </c>
      <c r="M22" s="51">
        <v>9.1650787355271116E-3</v>
      </c>
      <c r="N22" s="51">
        <v>1.1456348419408888E-2</v>
      </c>
      <c r="O22" s="53">
        <v>1.3747618103290666E-2</v>
      </c>
      <c r="P22" s="51">
        <v>1.7732386008479817E-2</v>
      </c>
      <c r="Q22" s="51">
        <v>2.1717153913668966E-2</v>
      </c>
      <c r="R22" s="51">
        <v>2.5701921818858116E-2</v>
      </c>
      <c r="S22" s="51">
        <v>2.9686689724047265E-2</v>
      </c>
      <c r="T22" s="53">
        <v>3.3671457629236415E-2</v>
      </c>
      <c r="U22" s="51">
        <v>4.8152205480183896E-2</v>
      </c>
      <c r="V22" s="51">
        <v>6.2632953331131377E-2</v>
      </c>
      <c r="W22" s="51">
        <v>7.7113701182078859E-2</v>
      </c>
      <c r="X22" s="51">
        <v>9.159444903302634E-2</v>
      </c>
      <c r="Y22" s="53">
        <v>0.10607519688397382</v>
      </c>
      <c r="Z22" s="51">
        <v>0.12146755792704914</v>
      </c>
      <c r="AA22" s="51">
        <v>0.13685991897012445</v>
      </c>
      <c r="AB22" s="51">
        <v>0.15225228001319976</v>
      </c>
      <c r="AC22" s="51">
        <v>0.16764464105627508</v>
      </c>
      <c r="AD22" s="53">
        <v>0.18303700209935042</v>
      </c>
    </row>
    <row r="23" spans="1:30" x14ac:dyDescent="0.35">
      <c r="A23" s="72" t="s">
        <v>30</v>
      </c>
      <c r="B23" s="180"/>
      <c r="C23" s="72" t="s">
        <v>35</v>
      </c>
      <c r="D23" s="53">
        <v>0</v>
      </c>
      <c r="E23" s="53">
        <v>0</v>
      </c>
      <c r="F23" s="53">
        <v>0</v>
      </c>
      <c r="G23" s="53">
        <v>0</v>
      </c>
      <c r="H23" s="53">
        <v>0</v>
      </c>
      <c r="I23" s="53">
        <v>0</v>
      </c>
      <c r="J23" s="53">
        <v>5</v>
      </c>
      <c r="K23" s="53">
        <v>5</v>
      </c>
      <c r="L23" s="51">
        <v>4</v>
      </c>
      <c r="M23" s="51">
        <v>4</v>
      </c>
      <c r="N23" s="51">
        <v>5</v>
      </c>
      <c r="O23" s="53">
        <v>6</v>
      </c>
      <c r="P23" s="51">
        <v>6.8</v>
      </c>
      <c r="Q23" s="51">
        <v>7.6</v>
      </c>
      <c r="R23" s="51">
        <v>8.4</v>
      </c>
      <c r="S23" s="51">
        <v>9.2000000000000011</v>
      </c>
      <c r="T23" s="53">
        <v>10</v>
      </c>
      <c r="U23" s="51">
        <v>12.2</v>
      </c>
      <c r="V23" s="51">
        <v>14.399999999999999</v>
      </c>
      <c r="W23" s="51">
        <v>16.599999999999998</v>
      </c>
      <c r="X23" s="51">
        <v>18.799999999999997</v>
      </c>
      <c r="Y23" s="53">
        <v>21</v>
      </c>
      <c r="Z23" s="51">
        <v>21.4</v>
      </c>
      <c r="AA23" s="51">
        <v>21.799999999999997</v>
      </c>
      <c r="AB23" s="51">
        <v>22.199999999999996</v>
      </c>
      <c r="AC23" s="51">
        <v>22.599999999999994</v>
      </c>
      <c r="AD23" s="53">
        <v>23</v>
      </c>
    </row>
    <row r="24" spans="1:30" x14ac:dyDescent="0.35">
      <c r="A24" s="72" t="s">
        <v>30</v>
      </c>
      <c r="B24" s="180"/>
      <c r="C24" s="72" t="s">
        <v>108</v>
      </c>
      <c r="D24" s="53">
        <v>834.5846059921696</v>
      </c>
      <c r="E24" s="53">
        <v>1109.7439560512812</v>
      </c>
      <c r="F24" s="53">
        <v>1384.9033061103919</v>
      </c>
      <c r="G24" s="53">
        <v>1660.0626561695026</v>
      </c>
      <c r="H24" s="53">
        <v>1935.2220062286124</v>
      </c>
      <c r="I24" s="53">
        <v>2210.381356287724</v>
      </c>
      <c r="J24" s="53">
        <v>2485.5407063468356</v>
      </c>
      <c r="K24" s="53">
        <v>2371.5213436685876</v>
      </c>
      <c r="L24" s="53">
        <v>2257.5019809903397</v>
      </c>
      <c r="M24" s="53">
        <v>2143.4826183120922</v>
      </c>
      <c r="N24" s="53">
        <v>2200.4922996512159</v>
      </c>
      <c r="O24" s="53">
        <v>2503.4590928359121</v>
      </c>
      <c r="P24" s="53">
        <v>2655.1749552762503</v>
      </c>
      <c r="Q24" s="53">
        <v>2806.8908177165886</v>
      </c>
      <c r="R24" s="53">
        <v>2958.6066801569268</v>
      </c>
      <c r="S24" s="53">
        <v>3110.3225425972669</v>
      </c>
      <c r="T24" s="53">
        <v>3262.0384050376051</v>
      </c>
      <c r="U24" s="53">
        <v>3413.7542674779434</v>
      </c>
      <c r="V24" s="53">
        <v>3565.4701299182816</v>
      </c>
      <c r="W24" s="53">
        <v>3717.1859923586198</v>
      </c>
      <c r="X24" s="53">
        <v>3868.9018547989581</v>
      </c>
      <c r="Y24" s="53">
        <v>4020.6177172392963</v>
      </c>
      <c r="Z24" s="53">
        <v>4172.3335796796346</v>
      </c>
      <c r="AA24" s="53">
        <v>4324.0494421199728</v>
      </c>
      <c r="AB24" s="53">
        <v>4475.7653045603111</v>
      </c>
      <c r="AC24" s="53">
        <v>4627.4811670006493</v>
      </c>
      <c r="AD24" s="53">
        <v>4779.1970294410094</v>
      </c>
    </row>
    <row r="25" spans="1:30" x14ac:dyDescent="0.35">
      <c r="A25" s="72" t="s">
        <v>30</v>
      </c>
      <c r="B25" s="180"/>
      <c r="C25" s="72" t="s">
        <v>109</v>
      </c>
      <c r="D25" s="53">
        <v>54764.868967423266</v>
      </c>
      <c r="E25" s="53">
        <v>56456.728020017668</v>
      </c>
      <c r="F25" s="53">
        <v>57264.155244659203</v>
      </c>
      <c r="G25" s="53">
        <v>58102.891654611121</v>
      </c>
      <c r="H25" s="53">
        <v>58993.747942564754</v>
      </c>
      <c r="I25" s="53">
        <v>60020.732788601701</v>
      </c>
      <c r="J25" s="53">
        <v>61060.18369400427</v>
      </c>
      <c r="K25" s="53">
        <v>60373.852152348882</v>
      </c>
      <c r="L25" s="53">
        <v>59693.001987822041</v>
      </c>
      <c r="M25" s="53">
        <v>59016.772771542448</v>
      </c>
      <c r="N25" s="53">
        <v>60101.90093451141</v>
      </c>
      <c r="O25" s="53">
        <v>61230.764288331797</v>
      </c>
      <c r="P25" s="53">
        <v>62395.776804880232</v>
      </c>
      <c r="Q25" s="53">
        <v>63550.123884532062</v>
      </c>
      <c r="R25" s="53">
        <v>64740.978295187255</v>
      </c>
      <c r="S25" s="53">
        <v>65959.72095345163</v>
      </c>
      <c r="T25" s="53">
        <v>67215.191849495764</v>
      </c>
      <c r="U25" s="53">
        <v>68368.003856995972</v>
      </c>
      <c r="V25" s="53">
        <v>69537.839750904677</v>
      </c>
      <c r="W25" s="53">
        <v>70717.17990941921</v>
      </c>
      <c r="X25" s="53">
        <v>71915.226837747308</v>
      </c>
      <c r="Y25" s="53">
        <v>72923.228439814586</v>
      </c>
      <c r="Z25" s="53">
        <v>73911.179579209434</v>
      </c>
      <c r="AA25" s="53">
        <v>74873.64196656963</v>
      </c>
      <c r="AB25" s="53">
        <v>75812.664445190239</v>
      </c>
      <c r="AC25" s="53">
        <v>76484.707748423913</v>
      </c>
      <c r="AD25" s="53">
        <v>77087.556398058223</v>
      </c>
    </row>
    <row r="26" spans="1:30" s="66" customFormat="1" x14ac:dyDescent="0.35">
      <c r="A26" s="72" t="s">
        <v>30</v>
      </c>
      <c r="B26" s="180"/>
      <c r="C26" s="72" t="s">
        <v>110</v>
      </c>
      <c r="D26" s="53">
        <v>9568.3085242260786</v>
      </c>
      <c r="E26" s="53">
        <v>10808.910212524448</v>
      </c>
      <c r="F26" s="53">
        <v>11423.615393489239</v>
      </c>
      <c r="G26" s="53">
        <v>12072.213406695171</v>
      </c>
      <c r="H26" s="53">
        <v>12781.39917718289</v>
      </c>
      <c r="I26" s="53">
        <v>13642.375805971165</v>
      </c>
      <c r="J26" s="53">
        <v>14526.564694392564</v>
      </c>
      <c r="K26" s="53">
        <v>13941.305450089994</v>
      </c>
      <c r="L26" s="53">
        <v>13365.268343964632</v>
      </c>
      <c r="M26" s="53">
        <v>12800.167273924821</v>
      </c>
      <c r="N26" s="53">
        <v>13710.812440308215</v>
      </c>
      <c r="O26" s="53">
        <v>14672.573962879171</v>
      </c>
      <c r="P26" s="53">
        <v>15689.999491252845</v>
      </c>
      <c r="Q26" s="53">
        <v>16750.959795639443</v>
      </c>
      <c r="R26" s="53">
        <v>17892.045033158352</v>
      </c>
      <c r="S26" s="53">
        <v>19093.990592277296</v>
      </c>
      <c r="T26" s="53">
        <v>20376.864731316527</v>
      </c>
      <c r="U26" s="53">
        <v>21588.170521817337</v>
      </c>
      <c r="V26" s="53">
        <v>22839.078532213807</v>
      </c>
      <c r="W26" s="53">
        <v>24140.843679291513</v>
      </c>
      <c r="X26" s="53">
        <v>25479.45723142417</v>
      </c>
      <c r="Y26" s="53">
        <v>26623.712302541779</v>
      </c>
      <c r="Z26" s="53">
        <v>27784.108040384275</v>
      </c>
      <c r="AA26" s="53">
        <v>28935.942655314913</v>
      </c>
      <c r="AB26" s="53">
        <v>30073.186708397134</v>
      </c>
      <c r="AC26" s="53">
        <v>30898.137463649178</v>
      </c>
      <c r="AD26" s="53">
        <v>31641.612179294778</v>
      </c>
    </row>
    <row r="27" spans="1:30" x14ac:dyDescent="0.35">
      <c r="A27" s="72" t="s">
        <v>39</v>
      </c>
      <c r="B27" s="180"/>
      <c r="C27" s="72" t="s">
        <v>31</v>
      </c>
      <c r="D27" s="53">
        <v>0</v>
      </c>
      <c r="E27" s="53">
        <v>0</v>
      </c>
      <c r="F27" s="53">
        <v>0</v>
      </c>
      <c r="G27" s="53">
        <v>0</v>
      </c>
      <c r="H27" s="53">
        <v>0</v>
      </c>
      <c r="I27" s="53">
        <v>0</v>
      </c>
      <c r="J27" s="53">
        <v>0</v>
      </c>
      <c r="K27" s="53">
        <v>0</v>
      </c>
      <c r="L27" s="53">
        <v>0</v>
      </c>
      <c r="M27" s="53">
        <v>0</v>
      </c>
      <c r="N27" s="53">
        <v>0</v>
      </c>
      <c r="O27" s="53">
        <v>0</v>
      </c>
      <c r="P27" s="53">
        <v>0</v>
      </c>
      <c r="Q27" s="53">
        <v>0</v>
      </c>
      <c r="R27" s="53">
        <v>0</v>
      </c>
      <c r="S27" s="53">
        <v>0</v>
      </c>
      <c r="T27" s="53">
        <v>0</v>
      </c>
      <c r="U27" s="53">
        <v>0</v>
      </c>
      <c r="V27" s="53">
        <v>0</v>
      </c>
      <c r="W27" s="53">
        <v>0</v>
      </c>
      <c r="X27" s="53">
        <v>0</v>
      </c>
      <c r="Y27" s="53">
        <v>0</v>
      </c>
      <c r="Z27" s="53">
        <v>0</v>
      </c>
      <c r="AA27" s="53">
        <v>0</v>
      </c>
      <c r="AB27" s="53">
        <v>0</v>
      </c>
      <c r="AC27" s="53">
        <v>0</v>
      </c>
      <c r="AD27" s="53">
        <v>0</v>
      </c>
    </row>
    <row r="28" spans="1:30" x14ac:dyDescent="0.35">
      <c r="A28" s="72" t="s">
        <v>39</v>
      </c>
      <c r="B28" s="180"/>
      <c r="C28" s="72" t="s">
        <v>32</v>
      </c>
      <c r="D28" s="53">
        <v>0</v>
      </c>
      <c r="E28" s="53">
        <v>0</v>
      </c>
      <c r="F28" s="53">
        <v>0</v>
      </c>
      <c r="G28" s="53">
        <v>0</v>
      </c>
      <c r="H28" s="53">
        <v>0</v>
      </c>
      <c r="I28" s="53">
        <v>0</v>
      </c>
      <c r="J28" s="53">
        <v>0</v>
      </c>
      <c r="K28" s="53">
        <v>0</v>
      </c>
      <c r="L28" s="53">
        <v>0</v>
      </c>
      <c r="M28" s="53">
        <v>0</v>
      </c>
      <c r="N28" s="53">
        <v>0</v>
      </c>
      <c r="O28" s="53">
        <v>0</v>
      </c>
      <c r="P28" s="53">
        <v>0</v>
      </c>
      <c r="Q28" s="53">
        <v>0</v>
      </c>
      <c r="R28" s="53">
        <v>0</v>
      </c>
      <c r="S28" s="53">
        <v>0</v>
      </c>
      <c r="T28" s="53">
        <v>0</v>
      </c>
      <c r="U28" s="53">
        <v>0</v>
      </c>
      <c r="V28" s="53">
        <v>0</v>
      </c>
      <c r="W28" s="53">
        <v>0</v>
      </c>
      <c r="X28" s="53">
        <v>0</v>
      </c>
      <c r="Y28" s="53">
        <v>0</v>
      </c>
      <c r="Z28" s="53">
        <v>0</v>
      </c>
      <c r="AA28" s="53">
        <v>0</v>
      </c>
      <c r="AB28" s="53">
        <v>0</v>
      </c>
      <c r="AC28" s="53">
        <v>0</v>
      </c>
      <c r="AD28" s="53">
        <v>0</v>
      </c>
    </row>
    <row r="29" spans="1:30" x14ac:dyDescent="0.35">
      <c r="A29" s="72" t="s">
        <v>39</v>
      </c>
      <c r="B29" s="180"/>
      <c r="C29" s="72" t="s">
        <v>33</v>
      </c>
      <c r="D29" s="53">
        <v>0</v>
      </c>
      <c r="E29" s="53">
        <v>0</v>
      </c>
      <c r="F29" s="53">
        <v>0</v>
      </c>
      <c r="G29" s="53">
        <v>0</v>
      </c>
      <c r="H29" s="53">
        <v>0</v>
      </c>
      <c r="I29" s="53">
        <v>0</v>
      </c>
      <c r="J29" s="53">
        <v>0</v>
      </c>
      <c r="K29" s="53">
        <v>0</v>
      </c>
      <c r="L29" s="53">
        <v>0</v>
      </c>
      <c r="M29" s="53">
        <v>0</v>
      </c>
      <c r="N29" s="53">
        <v>0</v>
      </c>
      <c r="O29" s="53">
        <v>0</v>
      </c>
      <c r="P29" s="53">
        <v>0</v>
      </c>
      <c r="Q29" s="53">
        <v>0</v>
      </c>
      <c r="R29" s="53">
        <v>0</v>
      </c>
      <c r="S29" s="53">
        <v>0</v>
      </c>
      <c r="T29" s="53">
        <v>0</v>
      </c>
      <c r="U29" s="53">
        <v>0</v>
      </c>
      <c r="V29" s="53">
        <v>0</v>
      </c>
      <c r="W29" s="53">
        <v>0</v>
      </c>
      <c r="X29" s="53">
        <v>0</v>
      </c>
      <c r="Y29" s="53">
        <v>0</v>
      </c>
      <c r="Z29" s="53">
        <v>0</v>
      </c>
      <c r="AA29" s="53">
        <v>0</v>
      </c>
      <c r="AB29" s="53">
        <v>0</v>
      </c>
      <c r="AC29" s="53">
        <v>0</v>
      </c>
      <c r="AD29" s="53">
        <v>0</v>
      </c>
    </row>
    <row r="30" spans="1:30" x14ac:dyDescent="0.35">
      <c r="A30" s="72" t="s">
        <v>39</v>
      </c>
      <c r="B30" s="180"/>
      <c r="C30" s="72" t="s">
        <v>34</v>
      </c>
      <c r="D30" s="53">
        <v>0</v>
      </c>
      <c r="E30" s="53">
        <v>0</v>
      </c>
      <c r="F30" s="53">
        <v>0</v>
      </c>
      <c r="G30" s="53">
        <v>0</v>
      </c>
      <c r="H30" s="53">
        <v>0</v>
      </c>
      <c r="I30" s="53">
        <v>0</v>
      </c>
      <c r="J30" s="53">
        <v>0</v>
      </c>
      <c r="K30" s="53">
        <v>0</v>
      </c>
      <c r="L30" s="53">
        <v>0</v>
      </c>
      <c r="M30" s="53">
        <v>0</v>
      </c>
      <c r="N30" s="53">
        <v>0</v>
      </c>
      <c r="O30" s="53">
        <v>0</v>
      </c>
      <c r="P30" s="53">
        <v>0</v>
      </c>
      <c r="Q30" s="53">
        <v>0</v>
      </c>
      <c r="R30" s="53">
        <v>0</v>
      </c>
      <c r="S30" s="53">
        <v>0</v>
      </c>
      <c r="T30" s="53">
        <v>0</v>
      </c>
      <c r="U30" s="53">
        <v>0</v>
      </c>
      <c r="V30" s="53">
        <v>0</v>
      </c>
      <c r="W30" s="53">
        <v>0</v>
      </c>
      <c r="X30" s="53">
        <v>0</v>
      </c>
      <c r="Y30" s="53">
        <v>0</v>
      </c>
      <c r="Z30" s="53">
        <v>0</v>
      </c>
      <c r="AA30" s="53">
        <v>0</v>
      </c>
      <c r="AB30" s="53">
        <v>0</v>
      </c>
      <c r="AC30" s="53">
        <v>0</v>
      </c>
      <c r="AD30" s="53">
        <v>0</v>
      </c>
    </row>
    <row r="31" spans="1:30" ht="15" customHeight="1" x14ac:dyDescent="0.35">
      <c r="A31" s="72" t="s">
        <v>39</v>
      </c>
      <c r="B31" s="180"/>
      <c r="C31" s="72" t="s">
        <v>35</v>
      </c>
      <c r="D31" s="53">
        <v>0</v>
      </c>
      <c r="E31" s="53">
        <v>0</v>
      </c>
      <c r="F31" s="53">
        <v>0</v>
      </c>
      <c r="G31" s="53">
        <v>0</v>
      </c>
      <c r="H31" s="53">
        <v>0</v>
      </c>
      <c r="I31" s="53">
        <v>0</v>
      </c>
      <c r="J31" s="53">
        <v>0</v>
      </c>
      <c r="K31" s="53">
        <v>0</v>
      </c>
      <c r="L31" s="53">
        <v>0</v>
      </c>
      <c r="M31" s="53">
        <v>0</v>
      </c>
      <c r="N31" s="53">
        <v>0</v>
      </c>
      <c r="O31" s="53">
        <v>0</v>
      </c>
      <c r="P31" s="53">
        <v>0</v>
      </c>
      <c r="Q31" s="53">
        <v>0</v>
      </c>
      <c r="R31" s="53">
        <v>0</v>
      </c>
      <c r="S31" s="53">
        <v>0</v>
      </c>
      <c r="T31" s="53">
        <v>0</v>
      </c>
      <c r="U31" s="53">
        <v>0</v>
      </c>
      <c r="V31" s="53">
        <v>0</v>
      </c>
      <c r="W31" s="53">
        <v>0</v>
      </c>
      <c r="X31" s="53">
        <v>0</v>
      </c>
      <c r="Y31" s="53">
        <v>0</v>
      </c>
      <c r="Z31" s="53">
        <v>0</v>
      </c>
      <c r="AA31" s="53">
        <v>0</v>
      </c>
      <c r="AB31" s="53">
        <v>0</v>
      </c>
      <c r="AC31" s="53">
        <v>0</v>
      </c>
      <c r="AD31" s="53">
        <v>0</v>
      </c>
    </row>
    <row r="32" spans="1:30" ht="15" customHeight="1" x14ac:dyDescent="0.35">
      <c r="A32" s="72" t="s">
        <v>130</v>
      </c>
      <c r="B32" s="72" t="s">
        <v>111</v>
      </c>
      <c r="C32" s="72" t="s">
        <v>131</v>
      </c>
      <c r="D32" s="53">
        <v>0</v>
      </c>
      <c r="E32" s="53">
        <v>0</v>
      </c>
      <c r="F32" s="53">
        <v>0</v>
      </c>
      <c r="G32" s="53">
        <v>0</v>
      </c>
      <c r="H32" s="53">
        <v>0</v>
      </c>
      <c r="I32" s="53">
        <v>0</v>
      </c>
      <c r="J32" s="53">
        <v>0</v>
      </c>
      <c r="K32" s="53">
        <v>0</v>
      </c>
      <c r="L32" s="53">
        <v>0</v>
      </c>
      <c r="M32" s="53">
        <v>0</v>
      </c>
      <c r="N32" s="53">
        <v>0</v>
      </c>
      <c r="O32" s="53">
        <v>0</v>
      </c>
      <c r="P32" s="53">
        <v>0</v>
      </c>
      <c r="Q32" s="53">
        <v>0</v>
      </c>
      <c r="R32" s="53">
        <v>0</v>
      </c>
      <c r="S32" s="53">
        <v>0</v>
      </c>
      <c r="T32" s="53">
        <v>0</v>
      </c>
      <c r="U32" s="53">
        <v>0</v>
      </c>
      <c r="V32" s="53">
        <v>0</v>
      </c>
      <c r="W32" s="53">
        <v>0</v>
      </c>
      <c r="X32" s="53">
        <v>0</v>
      </c>
      <c r="Y32" s="53">
        <v>0</v>
      </c>
      <c r="Z32" s="53">
        <v>0</v>
      </c>
      <c r="AA32" s="53">
        <v>0</v>
      </c>
      <c r="AB32" s="53">
        <v>0</v>
      </c>
      <c r="AC32" s="53">
        <v>0</v>
      </c>
      <c r="AD32" s="53">
        <v>0</v>
      </c>
    </row>
    <row r="33" spans="1:30" ht="15" customHeight="1" x14ac:dyDescent="0.35">
      <c r="A33" s="72" t="s">
        <v>130</v>
      </c>
      <c r="B33" s="72" t="s">
        <v>132</v>
      </c>
      <c r="C33" s="72" t="s">
        <v>131</v>
      </c>
      <c r="D33" s="53">
        <v>0</v>
      </c>
      <c r="E33" s="53">
        <v>0</v>
      </c>
      <c r="F33" s="53">
        <v>0</v>
      </c>
      <c r="G33" s="53">
        <v>0</v>
      </c>
      <c r="H33" s="53">
        <v>0</v>
      </c>
      <c r="I33" s="53">
        <v>0</v>
      </c>
      <c r="J33" s="53">
        <v>0</v>
      </c>
      <c r="K33" s="53">
        <v>0</v>
      </c>
      <c r="L33" s="53">
        <v>0</v>
      </c>
      <c r="M33" s="53">
        <v>0</v>
      </c>
      <c r="N33" s="53">
        <v>0</v>
      </c>
      <c r="O33" s="53">
        <v>0</v>
      </c>
      <c r="P33" s="53">
        <v>0</v>
      </c>
      <c r="Q33" s="53">
        <v>0</v>
      </c>
      <c r="R33" s="53">
        <v>0</v>
      </c>
      <c r="S33" s="53">
        <v>0</v>
      </c>
      <c r="T33" s="53">
        <v>0</v>
      </c>
      <c r="U33" s="53">
        <v>0</v>
      </c>
      <c r="V33" s="53">
        <v>0</v>
      </c>
      <c r="W33" s="53">
        <v>0</v>
      </c>
      <c r="X33" s="53">
        <v>0</v>
      </c>
      <c r="Y33" s="53">
        <v>0</v>
      </c>
      <c r="Z33" s="53">
        <v>0</v>
      </c>
      <c r="AA33" s="53">
        <v>0</v>
      </c>
      <c r="AB33" s="53">
        <v>0</v>
      </c>
      <c r="AC33" s="53">
        <v>0</v>
      </c>
      <c r="AD33" s="53">
        <v>0</v>
      </c>
    </row>
    <row r="34" spans="1:30" s="52" customFormat="1" ht="15" customHeight="1" x14ac:dyDescent="0.35">
      <c r="A34" s="72" t="s">
        <v>133</v>
      </c>
      <c r="B34" s="72" t="s">
        <v>111</v>
      </c>
      <c r="C34" s="72" t="s">
        <v>131</v>
      </c>
      <c r="D34" s="53"/>
      <c r="E34" s="53"/>
      <c r="F34" s="53"/>
      <c r="G34" s="53"/>
      <c r="H34" s="53"/>
      <c r="I34" s="53"/>
      <c r="J34" s="53">
        <v>1964.1807394674856</v>
      </c>
      <c r="K34" s="53">
        <v>1964.1807394674856</v>
      </c>
      <c r="L34" s="53">
        <v>1650.8939115224218</v>
      </c>
      <c r="M34" s="53">
        <v>1650.8939115224218</v>
      </c>
      <c r="N34" s="53">
        <v>1964.1807394674856</v>
      </c>
      <c r="O34" s="53">
        <v>2666.7482642821124</v>
      </c>
      <c r="P34" s="53">
        <v>3399.6862210022127</v>
      </c>
      <c r="Q34" s="53">
        <v>4132.6241777223131</v>
      </c>
      <c r="R34" s="53">
        <v>4865.5621344424135</v>
      </c>
      <c r="S34" s="53">
        <v>5598.5000911625139</v>
      </c>
      <c r="T34" s="53">
        <v>6331.4380478826142</v>
      </c>
      <c r="U34" s="53">
        <v>9280.2367667838735</v>
      </c>
      <c r="V34" s="53">
        <v>12229.035485685134</v>
      </c>
      <c r="W34" s="53">
        <v>15177.834204586394</v>
      </c>
      <c r="X34" s="53">
        <v>18126.632923487654</v>
      </c>
      <c r="Y34" s="53">
        <v>21075.43164238891</v>
      </c>
      <c r="Z34" s="53">
        <v>25185.764518800999</v>
      </c>
      <c r="AA34" s="53">
        <v>29296.097395213088</v>
      </c>
      <c r="AB34" s="53">
        <v>33406.430271625177</v>
      </c>
      <c r="AC34" s="53">
        <v>37516.763148037266</v>
      </c>
      <c r="AD34" s="53">
        <v>41627.096024449362</v>
      </c>
    </row>
    <row r="35" spans="1:30" ht="15" customHeight="1" x14ac:dyDescent="0.35">
      <c r="A35" s="72" t="s">
        <v>133</v>
      </c>
      <c r="B35" s="72" t="s">
        <v>132</v>
      </c>
      <c r="C35" s="72" t="s">
        <v>131</v>
      </c>
      <c r="D35" s="53"/>
      <c r="E35" s="53"/>
      <c r="F35" s="53"/>
      <c r="G35" s="53"/>
      <c r="H35" s="53"/>
      <c r="I35" s="53"/>
      <c r="J35" s="53">
        <v>8150.3401439052095</v>
      </c>
      <c r="K35" s="53">
        <v>8150.3401439052095</v>
      </c>
      <c r="L35" s="53">
        <v>6850.36089095233</v>
      </c>
      <c r="M35" s="53">
        <v>6850.36089095233</v>
      </c>
      <c r="N35" s="53">
        <v>8150.3401439052095</v>
      </c>
      <c r="O35" s="53">
        <v>11065.634131999814</v>
      </c>
      <c r="P35" s="53">
        <v>14106.94979690509</v>
      </c>
      <c r="Q35" s="53">
        <v>17148.265461810366</v>
      </c>
      <c r="R35" s="53">
        <v>20189.581126715642</v>
      </c>
      <c r="S35" s="53">
        <v>23230.896791620919</v>
      </c>
      <c r="T35" s="53">
        <v>26272.212456526198</v>
      </c>
      <c r="U35" s="53">
        <v>38508.21095301539</v>
      </c>
      <c r="V35" s="53">
        <v>50744.209449504582</v>
      </c>
      <c r="W35" s="53">
        <v>62980.207945993774</v>
      </c>
      <c r="X35" s="53">
        <v>75216.206442482959</v>
      </c>
      <c r="Y35" s="53">
        <v>87452.204938972151</v>
      </c>
      <c r="Z35" s="53">
        <v>104507.97296188702</v>
      </c>
      <c r="AA35" s="53">
        <v>121563.7409848019</v>
      </c>
      <c r="AB35" s="53">
        <v>138619.50900771678</v>
      </c>
      <c r="AC35" s="53">
        <v>155675.27703063167</v>
      </c>
      <c r="AD35" s="53">
        <v>172731.04505354652</v>
      </c>
    </row>
    <row r="36" spans="1:30" ht="29" x14ac:dyDescent="0.35">
      <c r="A36" s="3" t="s">
        <v>134</v>
      </c>
      <c r="B36" s="3" t="s">
        <v>135</v>
      </c>
      <c r="C36" s="72" t="s">
        <v>131</v>
      </c>
      <c r="D36" s="53">
        <v>2988703.8501321469</v>
      </c>
      <c r="E36" s="53">
        <v>3474440.6308481884</v>
      </c>
      <c r="F36" s="53">
        <v>3751659.8076772783</v>
      </c>
      <c r="G36" s="53">
        <v>4070289.5446448089</v>
      </c>
      <c r="H36" s="53">
        <v>4412480.347430028</v>
      </c>
      <c r="I36" s="53">
        <v>4791429.0159273185</v>
      </c>
      <c r="J36" s="53">
        <v>5212100.6489466941</v>
      </c>
      <c r="K36" s="53">
        <v>5151572.0646324521</v>
      </c>
      <c r="L36" s="53">
        <v>5053507.710184142</v>
      </c>
      <c r="M36" s="53">
        <v>5000974.6635961654</v>
      </c>
      <c r="N36" s="53">
        <v>5452956.9141419372</v>
      </c>
      <c r="O36" s="53">
        <v>5965451.7854380216</v>
      </c>
      <c r="P36" s="53">
        <v>6461432.9321774431</v>
      </c>
      <c r="Q36" s="53">
        <v>7063482.2576686628</v>
      </c>
      <c r="R36" s="53">
        <v>7750586.2938568657</v>
      </c>
      <c r="S36" s="53">
        <v>8415969.5151920691</v>
      </c>
      <c r="T36" s="53">
        <v>9192026.1163684037</v>
      </c>
      <c r="U36" s="53">
        <v>9931658.3901738767</v>
      </c>
      <c r="V36" s="53">
        <v>10647594.452341106</v>
      </c>
      <c r="W36" s="53">
        <v>11557122.978815569</v>
      </c>
      <c r="X36" s="53">
        <v>12509355.49409141</v>
      </c>
      <c r="Y36" s="53">
        <v>13244618.378905024</v>
      </c>
      <c r="Z36" s="53">
        <v>14093027.170933949</v>
      </c>
      <c r="AA36" s="53">
        <v>14984664.702442467</v>
      </c>
      <c r="AB36" s="53">
        <v>15942220.207044046</v>
      </c>
      <c r="AC36" s="53">
        <v>16719868.730309522</v>
      </c>
      <c r="AD36" s="53">
        <v>17575673.894895677</v>
      </c>
    </row>
    <row r="38" spans="1:30" x14ac:dyDescent="0.35">
      <c r="A38" s="72"/>
      <c r="B38" s="72"/>
      <c r="C38" s="72" t="s">
        <v>136</v>
      </c>
      <c r="D38" s="53">
        <f>'Cost Assumptions'!$B$4</f>
        <v>40</v>
      </c>
      <c r="E38" s="53">
        <f>D38*'Cost Assumptions'!$B$5</f>
        <v>41</v>
      </c>
      <c r="F38" s="53">
        <f>E38*'Cost Assumptions'!$B$5</f>
        <v>42.024999999999999</v>
      </c>
      <c r="G38" s="53">
        <f>F38*'Cost Assumptions'!$B$5</f>
        <v>43.075624999999995</v>
      </c>
      <c r="H38" s="53">
        <f>G38*'Cost Assumptions'!$B$5</f>
        <v>44.152515624999992</v>
      </c>
      <c r="I38" s="53">
        <f>H38*'Cost Assumptions'!$B$5</f>
        <v>45.256328515624986</v>
      </c>
      <c r="J38" s="53">
        <f>I38*'Cost Assumptions'!$B$5</f>
        <v>46.387736728515605</v>
      </c>
      <c r="K38" s="53">
        <f>J38*'Cost Assumptions'!$B$5</f>
        <v>47.547430146728495</v>
      </c>
      <c r="L38" s="53">
        <f>K38*'Cost Assumptions'!$B$5</f>
        <v>48.736115900396705</v>
      </c>
      <c r="M38" s="53">
        <f>L38*'Cost Assumptions'!$B$5</f>
        <v>49.954518797906616</v>
      </c>
      <c r="N38" s="53">
        <f>M38*'Cost Assumptions'!$B$5</f>
        <v>51.203381767854275</v>
      </c>
      <c r="O38" s="53">
        <f>N38*'Cost Assumptions'!$B$5</f>
        <v>52.483466312050624</v>
      </c>
      <c r="P38" s="53">
        <f>O38*'Cost Assumptions'!$B$5</f>
        <v>53.795552969851883</v>
      </c>
      <c r="Q38" s="53">
        <f>P38*'Cost Assumptions'!$B$5</f>
        <v>55.140441794098173</v>
      </c>
      <c r="R38" s="53">
        <f>Q38*'Cost Assumptions'!$B$5</f>
        <v>56.518952838950625</v>
      </c>
      <c r="S38" s="53">
        <f>R38*'Cost Assumptions'!$B$5</f>
        <v>57.931926659924386</v>
      </c>
      <c r="T38" s="53">
        <f>S38*'Cost Assumptions'!$B$5</f>
        <v>59.380224826422491</v>
      </c>
      <c r="U38" s="53">
        <f>T38*'Cost Assumptions'!$B$5</f>
        <v>60.864730447083048</v>
      </c>
      <c r="V38" s="53">
        <f>U38*'Cost Assumptions'!$B$5</f>
        <v>62.386348708260115</v>
      </c>
      <c r="W38" s="53">
        <f>V38*'Cost Assumptions'!$B$5</f>
        <v>63.946007425966613</v>
      </c>
      <c r="X38" s="53">
        <f>W38*'Cost Assumptions'!$B$5</f>
        <v>65.544657611615776</v>
      </c>
      <c r="Y38" s="53">
        <f>X38*'Cost Assumptions'!$B$5</f>
        <v>67.183274051906167</v>
      </c>
      <c r="Z38" s="53">
        <f>Y38*'Cost Assumptions'!$B$5</f>
        <v>68.862855903203823</v>
      </c>
      <c r="AA38" s="53">
        <f>Z38*'Cost Assumptions'!$B$5</f>
        <v>70.584427300783915</v>
      </c>
      <c r="AB38" s="53">
        <f>AA38*'Cost Assumptions'!$B$5</f>
        <v>72.349037983303504</v>
      </c>
      <c r="AC38" s="53">
        <f>AB38*'Cost Assumptions'!$B$5</f>
        <v>74.157763932886084</v>
      </c>
      <c r="AD38" s="53">
        <f>AC38*'Cost Assumptions'!$B$5</f>
        <v>76.011708031208229</v>
      </c>
    </row>
    <row r="39" spans="1:30" x14ac:dyDescent="0.35">
      <c r="A39" s="72"/>
      <c r="B39" s="72"/>
      <c r="C39" s="72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</row>
    <row r="40" spans="1:30" ht="23.5" x14ac:dyDescent="0.55000000000000004">
      <c r="A40" s="72"/>
      <c r="B40" s="178" t="s">
        <v>137</v>
      </c>
      <c r="C40" s="178"/>
      <c r="D40" s="178"/>
      <c r="E40" s="178"/>
      <c r="F40" s="178"/>
      <c r="G40" s="178"/>
      <c r="H40" s="178"/>
      <c r="I40" s="178"/>
      <c r="J40" s="178"/>
      <c r="K40" s="178"/>
      <c r="L40" s="178"/>
      <c r="M40" s="178"/>
      <c r="N40" s="178"/>
      <c r="O40" s="178"/>
      <c r="P40" s="178"/>
      <c r="Q40" s="178"/>
      <c r="R40" s="178"/>
      <c r="S40" s="178"/>
      <c r="T40" s="178"/>
      <c r="U40" s="178"/>
      <c r="V40" s="178"/>
      <c r="W40" s="178"/>
      <c r="X40" s="178"/>
      <c r="Y40" s="178"/>
      <c r="Z40" s="178"/>
      <c r="AA40" s="178"/>
      <c r="AB40" s="178"/>
      <c r="AC40" s="178"/>
      <c r="AD40" s="178"/>
    </row>
    <row r="41" spans="1:30" ht="20" thickBot="1" x14ac:dyDescent="0.5">
      <c r="A41" s="113"/>
      <c r="B41" s="122" t="s">
        <v>138</v>
      </c>
      <c r="C41" s="113" t="s">
        <v>105</v>
      </c>
      <c r="D41" s="113">
        <v>2022</v>
      </c>
      <c r="E41" s="113">
        <v>2023</v>
      </c>
      <c r="F41" s="113">
        <v>2024</v>
      </c>
      <c r="G41" s="113">
        <v>2025</v>
      </c>
      <c r="H41" s="113">
        <v>2026</v>
      </c>
      <c r="I41" s="113">
        <v>2027</v>
      </c>
      <c r="J41" s="113">
        <v>2028</v>
      </c>
      <c r="K41" s="113">
        <v>2029</v>
      </c>
      <c r="L41" s="113">
        <v>2030</v>
      </c>
      <c r="M41" s="113">
        <v>2031</v>
      </c>
      <c r="N41" s="113">
        <v>2032</v>
      </c>
      <c r="O41" s="113">
        <v>2033</v>
      </c>
      <c r="P41" s="113">
        <v>2034</v>
      </c>
      <c r="Q41" s="113">
        <v>2035</v>
      </c>
      <c r="R41" s="113">
        <v>2036</v>
      </c>
      <c r="S41" s="113">
        <v>2037</v>
      </c>
      <c r="T41" s="113">
        <v>2038</v>
      </c>
      <c r="U41" s="113">
        <v>2039</v>
      </c>
      <c r="V41" s="113">
        <v>2040</v>
      </c>
      <c r="W41" s="113">
        <v>2041</v>
      </c>
      <c r="X41" s="113">
        <v>2042</v>
      </c>
      <c r="Y41" s="113">
        <v>2043</v>
      </c>
      <c r="Z41" s="113">
        <v>2044</v>
      </c>
      <c r="AA41" s="113">
        <v>2045</v>
      </c>
      <c r="AB41" s="113">
        <v>2046</v>
      </c>
      <c r="AC41" s="113">
        <v>2047</v>
      </c>
      <c r="AD41" s="113">
        <v>2048</v>
      </c>
    </row>
    <row r="42" spans="1:30" ht="15" thickTop="1" x14ac:dyDescent="0.35">
      <c r="A42" s="72"/>
      <c r="B42" s="10">
        <f>NPV('Cost Assumptions'!$B$3,'SCE Orange County'!D42:'SCE Orange County'!AD42)</f>
        <v>64341.867785735885</v>
      </c>
      <c r="C42" s="72" t="s">
        <v>107</v>
      </c>
      <c r="D42" s="53">
        <f t="shared" ref="D42:AD42" si="0">D2-D18</f>
        <v>6477.6999999980835</v>
      </c>
      <c r="E42" s="53">
        <f t="shared" si="0"/>
        <v>6513.8923076904393</v>
      </c>
      <c r="F42" s="53">
        <f t="shared" si="0"/>
        <v>6550.0846153828024</v>
      </c>
      <c r="G42" s="53">
        <f t="shared" si="0"/>
        <v>6586.2769230751655</v>
      </c>
      <c r="H42" s="53">
        <f t="shared" si="0"/>
        <v>6622.4692307675286</v>
      </c>
      <c r="I42" s="53">
        <f t="shared" si="0"/>
        <v>6658.6615384598917</v>
      </c>
      <c r="J42" s="53">
        <f t="shared" si="0"/>
        <v>6694.8538461522548</v>
      </c>
      <c r="K42" s="53">
        <f t="shared" si="0"/>
        <v>6760.0262820501594</v>
      </c>
      <c r="L42" s="53">
        <f t="shared" si="0"/>
        <v>7261.1705128193717</v>
      </c>
      <c r="M42" s="53">
        <f t="shared" si="0"/>
        <v>7768.2814102553384</v>
      </c>
      <c r="N42" s="53">
        <f t="shared" si="0"/>
        <v>7713.2923076911393</v>
      </c>
      <c r="O42" s="53">
        <f t="shared" si="0"/>
        <v>7672.1532051270697</v>
      </c>
      <c r="P42" s="53">
        <f t="shared" si="0"/>
        <v>7631.0141025630001</v>
      </c>
      <c r="Q42" s="53">
        <f t="shared" si="0"/>
        <v>7589.8749999989304</v>
      </c>
      <c r="R42" s="53">
        <f t="shared" si="0"/>
        <v>7548.7358974348608</v>
      </c>
      <c r="S42" s="53">
        <f t="shared" si="0"/>
        <v>7507.5967948707912</v>
      </c>
      <c r="T42" s="53">
        <f t="shared" si="0"/>
        <v>7466.4576923067216</v>
      </c>
      <c r="U42" s="53">
        <f t="shared" si="0"/>
        <v>7425.318589742652</v>
      </c>
      <c r="V42" s="53">
        <f t="shared" si="0"/>
        <v>7384.1794871785823</v>
      </c>
      <c r="W42" s="53">
        <f t="shared" si="0"/>
        <v>7343.0403846145127</v>
      </c>
      <c r="X42" s="53">
        <f t="shared" si="0"/>
        <v>7301.9012820504431</v>
      </c>
      <c r="Y42" s="53">
        <f t="shared" si="0"/>
        <v>7260.7621794863735</v>
      </c>
      <c r="Z42" s="53">
        <f t="shared" si="0"/>
        <v>7219.6230769223039</v>
      </c>
      <c r="AA42" s="53">
        <f t="shared" si="0"/>
        <v>7178.4839743582343</v>
      </c>
      <c r="AB42" s="53">
        <f t="shared" si="0"/>
        <v>7137.3448717941646</v>
      </c>
      <c r="AC42" s="53">
        <f t="shared" si="0"/>
        <v>7096.205769230095</v>
      </c>
      <c r="AD42" s="53">
        <f t="shared" si="0"/>
        <v>7055.0666666659745</v>
      </c>
    </row>
    <row r="43" spans="1:30" x14ac:dyDescent="0.35">
      <c r="A43" s="72"/>
      <c r="B43" s="10">
        <f>NPV('Cost Assumptions'!$B$3,'SCE Orange County'!D43:'SCE Orange County'!AD43)</f>
        <v>3188562.7007266493</v>
      </c>
      <c r="C43" s="72" t="s">
        <v>139</v>
      </c>
      <c r="D43" s="53">
        <f>D42*D38</f>
        <v>259107.99999992334</v>
      </c>
      <c r="E43" s="53">
        <f>E42*E38</f>
        <v>267069.58461530803</v>
      </c>
      <c r="F43" s="53">
        <f>F42*F38</f>
        <v>275267.30596146226</v>
      </c>
      <c r="G43" s="53">
        <f>G42*G38</f>
        <v>283707.99488453963</v>
      </c>
      <c r="H43" s="53">
        <f t="shared" ref="H43:AD43" si="1">H42*H38</f>
        <v>292398.676187545</v>
      </c>
      <c r="I43" s="53">
        <f t="shared" si="1"/>
        <v>301346.57405889774</v>
      </c>
      <c r="J43" s="53">
        <f t="shared" si="1"/>
        <v>310559.11765120091</v>
      </c>
      <c r="K43" s="53">
        <f t="shared" si="1"/>
        <v>321421.87743582868</v>
      </c>
      <c r="L43" s="53">
        <f t="shared" si="1"/>
        <v>353881.24768530787</v>
      </c>
      <c r="M43" s="53">
        <f t="shared" si="1"/>
        <v>388060.75973602879</v>
      </c>
      <c r="N43" s="53">
        <f t="shared" si="1"/>
        <v>394946.65071776311</v>
      </c>
      <c r="O43" s="53">
        <f t="shared" si="1"/>
        <v>402661.19428217778</v>
      </c>
      <c r="P43" s="53">
        <f t="shared" si="1"/>
        <v>410514.62336811458</v>
      </c>
      <c r="Q43" s="53">
        <f t="shared" si="1"/>
        <v>418509.06066192192</v>
      </c>
      <c r="R43" s="53">
        <f t="shared" si="1"/>
        <v>426646.64818081452</v>
      </c>
      <c r="S43" s="53">
        <f t="shared" si="1"/>
        <v>434929.54691273806</v>
      </c>
      <c r="T43" s="53">
        <f t="shared" si="1"/>
        <v>443359.93642614479</v>
      </c>
      <c r="U43" s="53">
        <f t="shared" si="1"/>
        <v>451940.01444840134</v>
      </c>
      <c r="V43" s="53">
        <f t="shared" si="1"/>
        <v>460671.9964115044</v>
      </c>
      <c r="W43" s="53">
        <f t="shared" si="1"/>
        <v>469558.11496373237</v>
      </c>
      <c r="X43" s="53">
        <f t="shared" si="1"/>
        <v>478600.61944581458</v>
      </c>
      <c r="Y43" s="53">
        <f t="shared" si="1"/>
        <v>487801.77533014852</v>
      </c>
      <c r="Z43" s="53">
        <f t="shared" si="1"/>
        <v>497163.86362154561</v>
      </c>
      <c r="AA43" s="53">
        <f t="shared" si="1"/>
        <v>506689.18021793116</v>
      </c>
      <c r="AB43" s="53">
        <f t="shared" si="1"/>
        <v>516380.0352293725</v>
      </c>
      <c r="AC43" s="53">
        <f t="shared" si="1"/>
        <v>526238.75225374964</v>
      </c>
      <c r="AD43" s="53">
        <f t="shared" si="1"/>
        <v>536267.6676073235</v>
      </c>
    </row>
    <row r="44" spans="1:30" x14ac:dyDescent="0.35">
      <c r="A44" s="72" t="s">
        <v>30</v>
      </c>
      <c r="B44" s="10">
        <f>NPV('Cost Assumptions'!$B$3,'SCE Orange County'!D44:'SCE Orange County'!AD44)</f>
        <v>838.78770846558382</v>
      </c>
      <c r="C44" s="72" t="s">
        <v>31</v>
      </c>
      <c r="D44" s="53">
        <f t="shared" ref="D44:AD44" si="2">D3-D19</f>
        <v>10</v>
      </c>
      <c r="E44" s="53">
        <f t="shared" si="2"/>
        <v>20.5</v>
      </c>
      <c r="F44" s="53">
        <f t="shared" si="2"/>
        <v>29.879999999999995</v>
      </c>
      <c r="G44" s="53">
        <f t="shared" si="2"/>
        <v>39.259999999999991</v>
      </c>
      <c r="H44" s="53">
        <f t="shared" si="2"/>
        <v>48.639999999999986</v>
      </c>
      <c r="I44" s="53">
        <f t="shared" si="2"/>
        <v>58.019999999999982</v>
      </c>
      <c r="J44" s="53">
        <f t="shared" si="2"/>
        <v>54.899999999999977</v>
      </c>
      <c r="K44" s="53">
        <f t="shared" si="2"/>
        <v>45.099999999999966</v>
      </c>
      <c r="L44" s="53">
        <f t="shared" si="2"/>
        <v>39.800000000000011</v>
      </c>
      <c r="M44" s="53">
        <f t="shared" si="2"/>
        <v>31.5</v>
      </c>
      <c r="N44" s="53">
        <f t="shared" si="2"/>
        <v>41.200000000000017</v>
      </c>
      <c r="O44" s="53">
        <f t="shared" si="2"/>
        <v>60.066666666666691</v>
      </c>
      <c r="P44" s="53">
        <f t="shared" si="2"/>
        <v>78.113333333333372</v>
      </c>
      <c r="Q44" s="53">
        <f t="shared" si="2"/>
        <v>96.160000000000039</v>
      </c>
      <c r="R44" s="53">
        <f t="shared" si="2"/>
        <v>114.20666666666671</v>
      </c>
      <c r="S44" s="53">
        <f t="shared" si="2"/>
        <v>132.25333333333339</v>
      </c>
      <c r="T44" s="53">
        <f t="shared" si="2"/>
        <v>150.30000000000004</v>
      </c>
      <c r="U44" s="53">
        <f t="shared" si="2"/>
        <v>200.01000000000002</v>
      </c>
      <c r="V44" s="53">
        <f t="shared" si="2"/>
        <v>249.72000000000003</v>
      </c>
      <c r="W44" s="53">
        <f t="shared" si="2"/>
        <v>299.43</v>
      </c>
      <c r="X44" s="53">
        <f t="shared" si="2"/>
        <v>349.14</v>
      </c>
      <c r="Y44" s="53">
        <f t="shared" si="2"/>
        <v>359.00000000000011</v>
      </c>
      <c r="Z44" s="53">
        <f t="shared" si="2"/>
        <v>416.42000000000013</v>
      </c>
      <c r="AA44" s="53">
        <f t="shared" si="2"/>
        <v>473.84000000000009</v>
      </c>
      <c r="AB44" s="53">
        <f t="shared" si="2"/>
        <v>531.26</v>
      </c>
      <c r="AC44" s="53">
        <f t="shared" si="2"/>
        <v>588.68000000000006</v>
      </c>
      <c r="AD44" s="53">
        <f t="shared" si="2"/>
        <v>646.10000000000014</v>
      </c>
    </row>
    <row r="45" spans="1:30" x14ac:dyDescent="0.35">
      <c r="A45" s="72" t="s">
        <v>30</v>
      </c>
      <c r="B45" s="10">
        <f>NPV('Cost Assumptions'!$B$3,'SCE Orange County'!D45:'SCE Orange County'!AD45)</f>
        <v>79.804002332415195</v>
      </c>
      <c r="C45" s="72" t="s">
        <v>32</v>
      </c>
      <c r="D45" s="53">
        <f t="shared" ref="D45:AD45" si="3">D4-D20</f>
        <v>2</v>
      </c>
      <c r="E45" s="53">
        <f t="shared" si="3"/>
        <v>3</v>
      </c>
      <c r="F45" s="53">
        <f t="shared" si="3"/>
        <v>4.6799999999999953</v>
      </c>
      <c r="G45" s="53">
        <f t="shared" si="3"/>
        <v>6.3599999999999905</v>
      </c>
      <c r="H45" s="53">
        <f t="shared" si="3"/>
        <v>8.0399999999999867</v>
      </c>
      <c r="I45" s="53">
        <f t="shared" si="3"/>
        <v>9.7199999999999829</v>
      </c>
      <c r="J45" s="53">
        <f t="shared" si="3"/>
        <v>8.8999999999999773</v>
      </c>
      <c r="K45" s="53">
        <f t="shared" si="3"/>
        <v>7.6999999999999886</v>
      </c>
      <c r="L45" s="53">
        <f t="shared" si="3"/>
        <v>6.0999999999999943</v>
      </c>
      <c r="M45" s="53">
        <f t="shared" si="3"/>
        <v>4.3000000000000114</v>
      </c>
      <c r="N45" s="53">
        <f t="shared" si="3"/>
        <v>7.1000000000000227</v>
      </c>
      <c r="O45" s="53">
        <f t="shared" si="3"/>
        <v>8.8333333333333517</v>
      </c>
      <c r="P45" s="53">
        <f t="shared" si="3"/>
        <v>10.566666666666681</v>
      </c>
      <c r="Q45" s="53">
        <f t="shared" si="3"/>
        <v>12.30000000000001</v>
      </c>
      <c r="R45" s="53">
        <f t="shared" si="3"/>
        <v>14.033333333333339</v>
      </c>
      <c r="S45" s="53">
        <f t="shared" si="3"/>
        <v>15.766666666666669</v>
      </c>
      <c r="T45" s="53">
        <f t="shared" si="3"/>
        <v>17.5</v>
      </c>
      <c r="U45" s="53">
        <f t="shared" si="3"/>
        <v>17.880000000000006</v>
      </c>
      <c r="V45" s="53">
        <f t="shared" si="3"/>
        <v>18.260000000000016</v>
      </c>
      <c r="W45" s="53">
        <f t="shared" si="3"/>
        <v>18.640000000000022</v>
      </c>
      <c r="X45" s="53">
        <f t="shared" si="3"/>
        <v>19.020000000000032</v>
      </c>
      <c r="Y45" s="53">
        <f t="shared" si="3"/>
        <v>19.400000000000034</v>
      </c>
      <c r="Z45" s="53">
        <f t="shared" si="3"/>
        <v>19.360000000000028</v>
      </c>
      <c r="AA45" s="53">
        <f t="shared" si="3"/>
        <v>19.320000000000018</v>
      </c>
      <c r="AB45" s="53">
        <f t="shared" si="3"/>
        <v>19.280000000000008</v>
      </c>
      <c r="AC45" s="53">
        <f t="shared" si="3"/>
        <v>19.239999999999995</v>
      </c>
      <c r="AD45" s="53">
        <f t="shared" si="3"/>
        <v>19.199999999999989</v>
      </c>
    </row>
    <row r="46" spans="1:30" x14ac:dyDescent="0.35">
      <c r="A46" s="72" t="s">
        <v>30</v>
      </c>
      <c r="B46" s="10">
        <f>NPV('Cost Assumptions'!$B$3,'SCE Orange County'!D46:'SCE Orange County'!AD46)</f>
        <v>71.52559921928129</v>
      </c>
      <c r="C46" s="72" t="s">
        <v>33</v>
      </c>
      <c r="D46" s="53">
        <f t="shared" ref="D46:AD46" si="4">D5-D21</f>
        <v>8.4812112193331513E-2</v>
      </c>
      <c r="E46" s="53">
        <f t="shared" si="4"/>
        <v>0.24283371212350299</v>
      </c>
      <c r="F46" s="53">
        <f t="shared" si="4"/>
        <v>0.34046276046663143</v>
      </c>
      <c r="G46" s="53">
        <f t="shared" si="4"/>
        <v>0.43809180880975984</v>
      </c>
      <c r="H46" s="53">
        <f t="shared" si="4"/>
        <v>0.53572085715288831</v>
      </c>
      <c r="I46" s="53">
        <f t="shared" si="4"/>
        <v>0.63334990549601677</v>
      </c>
      <c r="J46" s="53">
        <f t="shared" si="4"/>
        <v>0.67369721174210073</v>
      </c>
      <c r="K46" s="53">
        <f t="shared" si="4"/>
        <v>0.56036656287521236</v>
      </c>
      <c r="L46" s="53">
        <f t="shared" si="4"/>
        <v>0.4929178113789825</v>
      </c>
      <c r="M46" s="53">
        <f t="shared" si="4"/>
        <v>0.4451909017673793</v>
      </c>
      <c r="N46" s="53">
        <f t="shared" si="4"/>
        <v>0.50952537617510107</v>
      </c>
      <c r="O46" s="53">
        <f t="shared" si="4"/>
        <v>0.88731777937519396</v>
      </c>
      <c r="P46" s="53">
        <f t="shared" si="4"/>
        <v>1.2572424096892654</v>
      </c>
      <c r="Q46" s="53">
        <f t="shared" si="4"/>
        <v>1.6271670400033369</v>
      </c>
      <c r="R46" s="53">
        <f t="shared" si="4"/>
        <v>1.9970916703174082</v>
      </c>
      <c r="S46" s="53">
        <f t="shared" si="4"/>
        <v>2.3670163006314793</v>
      </c>
      <c r="T46" s="53">
        <f t="shared" si="4"/>
        <v>2.736940930945551</v>
      </c>
      <c r="U46" s="53">
        <f t="shared" si="4"/>
        <v>20.611887427425884</v>
      </c>
      <c r="V46" s="53">
        <f t="shared" si="4"/>
        <v>38.486833923906211</v>
      </c>
      <c r="W46" s="53">
        <f t="shared" si="4"/>
        <v>56.361780420386545</v>
      </c>
      <c r="X46" s="53">
        <f t="shared" si="4"/>
        <v>74.236726916866871</v>
      </c>
      <c r="Y46" s="53">
        <f t="shared" si="4"/>
        <v>92.111673413347205</v>
      </c>
      <c r="Z46" s="53">
        <f t="shared" si="4"/>
        <v>79.584167481578604</v>
      </c>
      <c r="AA46" s="53">
        <f t="shared" si="4"/>
        <v>67.056661549809988</v>
      </c>
      <c r="AB46" s="53">
        <f t="shared" si="4"/>
        <v>54.529155618041379</v>
      </c>
      <c r="AC46" s="53">
        <f t="shared" si="4"/>
        <v>42.001649686272771</v>
      </c>
      <c r="AD46" s="53">
        <f t="shared" si="4"/>
        <v>29.474143754504158</v>
      </c>
    </row>
    <row r="47" spans="1:30" x14ac:dyDescent="0.35">
      <c r="A47" s="72" t="s">
        <v>30</v>
      </c>
      <c r="B47" s="10">
        <f>NPV('Cost Assumptions'!$B$3,'SCE Orange County'!D47:'SCE Orange County'!AD47)</f>
        <v>1.2896883172750087</v>
      </c>
      <c r="C47" s="72" t="s">
        <v>34</v>
      </c>
      <c r="D47" s="53">
        <f t="shared" ref="D47:AD47" si="5">D6-D22</f>
        <v>6.0580080138093939E-3</v>
      </c>
      <c r="E47" s="53">
        <f t="shared" si="5"/>
        <v>1.7771756236396739E-2</v>
      </c>
      <c r="F47" s="53">
        <f t="shared" si="5"/>
        <v>2.504677784712513E-2</v>
      </c>
      <c r="G47" s="53">
        <f t="shared" si="5"/>
        <v>3.2321799457853517E-2</v>
      </c>
      <c r="H47" s="53">
        <f t="shared" si="5"/>
        <v>3.9596821068581908E-2</v>
      </c>
      <c r="I47" s="53">
        <f t="shared" si="5"/>
        <v>4.6871842679310299E-2</v>
      </c>
      <c r="J47" s="53">
        <f t="shared" si="5"/>
        <v>4.2690515870629803E-2</v>
      </c>
      <c r="K47" s="53">
        <f t="shared" si="5"/>
        <v>3.4260704929704212E-2</v>
      </c>
      <c r="L47" s="53">
        <f t="shared" si="5"/>
        <v>2.9826717268561044E-2</v>
      </c>
      <c r="M47" s="53">
        <f t="shared" si="5"/>
        <v>2.2627808626448837E-2</v>
      </c>
      <c r="N47" s="53">
        <f t="shared" si="5"/>
        <v>3.0756276404872281E-2</v>
      </c>
      <c r="O47" s="53">
        <f t="shared" si="5"/>
        <v>4.601879653530478E-2</v>
      </c>
      <c r="P47" s="53">
        <f t="shared" si="5"/>
        <v>5.958781844442991E-2</v>
      </c>
      <c r="Q47" s="53">
        <f t="shared" si="5"/>
        <v>7.3156840353555047E-2</v>
      </c>
      <c r="R47" s="53">
        <f t="shared" si="5"/>
        <v>8.672586226268017E-2</v>
      </c>
      <c r="S47" s="53">
        <f t="shared" si="5"/>
        <v>0.10029488417180531</v>
      </c>
      <c r="T47" s="53">
        <f t="shared" si="5"/>
        <v>0.11386390608093043</v>
      </c>
      <c r="U47" s="53">
        <f t="shared" si="5"/>
        <v>0.35235866934759169</v>
      </c>
      <c r="V47" s="53">
        <f t="shared" si="5"/>
        <v>0.59085343261425294</v>
      </c>
      <c r="W47" s="53">
        <f t="shared" si="5"/>
        <v>0.82934819588091424</v>
      </c>
      <c r="X47" s="53">
        <f t="shared" si="5"/>
        <v>1.0678429591475755</v>
      </c>
      <c r="Y47" s="53">
        <f t="shared" si="5"/>
        <v>1.3063377224142365</v>
      </c>
      <c r="Z47" s="53">
        <f t="shared" si="5"/>
        <v>1.1495557619729388</v>
      </c>
      <c r="AA47" s="53">
        <f t="shared" si="5"/>
        <v>0.99277380153164119</v>
      </c>
      <c r="AB47" s="53">
        <f t="shared" si="5"/>
        <v>0.83599184109034352</v>
      </c>
      <c r="AC47" s="53">
        <f t="shared" si="5"/>
        <v>0.67920988064904586</v>
      </c>
      <c r="AD47" s="53">
        <f t="shared" si="5"/>
        <v>0.52242792020774775</v>
      </c>
    </row>
    <row r="48" spans="1:30" x14ac:dyDescent="0.35">
      <c r="A48" s="72" t="s">
        <v>30</v>
      </c>
      <c r="B48" s="10">
        <f>NPV('Cost Assumptions'!$B$3,'SCE Orange County'!D48:'SCE Orange County'!AD48)</f>
        <v>271.75509696201584</v>
      </c>
      <c r="C48" s="72" t="s">
        <v>35</v>
      </c>
      <c r="D48" s="53">
        <f t="shared" ref="D48:AD48" si="6">D7-D23</f>
        <v>14</v>
      </c>
      <c r="E48" s="53">
        <f t="shared" si="6"/>
        <v>21</v>
      </c>
      <c r="F48" s="53">
        <f t="shared" si="6"/>
        <v>23.2</v>
      </c>
      <c r="G48" s="53">
        <f t="shared" si="6"/>
        <v>25.4</v>
      </c>
      <c r="H48" s="53">
        <f t="shared" si="6"/>
        <v>27.599999999999998</v>
      </c>
      <c r="I48" s="53">
        <f t="shared" si="6"/>
        <v>29.799999999999997</v>
      </c>
      <c r="J48" s="53">
        <f t="shared" si="6"/>
        <v>27</v>
      </c>
      <c r="K48" s="53">
        <f t="shared" si="6"/>
        <v>25</v>
      </c>
      <c r="L48" s="53">
        <f t="shared" si="6"/>
        <v>25</v>
      </c>
      <c r="M48" s="53">
        <f t="shared" si="6"/>
        <v>25</v>
      </c>
      <c r="N48" s="53">
        <f t="shared" si="6"/>
        <v>24</v>
      </c>
      <c r="O48" s="53">
        <f t="shared" si="6"/>
        <v>26.666666666666664</v>
      </c>
      <c r="P48" s="53">
        <f t="shared" si="6"/>
        <v>29.533333333333328</v>
      </c>
      <c r="Q48" s="53">
        <f t="shared" si="6"/>
        <v>32.399999999999991</v>
      </c>
      <c r="R48" s="53">
        <f t="shared" si="6"/>
        <v>35.266666666666659</v>
      </c>
      <c r="S48" s="53">
        <f t="shared" si="6"/>
        <v>38.133333333333319</v>
      </c>
      <c r="T48" s="53">
        <f t="shared" si="6"/>
        <v>41</v>
      </c>
      <c r="U48" s="53">
        <f t="shared" si="6"/>
        <v>44.400000000000006</v>
      </c>
      <c r="V48" s="53">
        <f t="shared" si="6"/>
        <v>47.800000000000004</v>
      </c>
      <c r="W48" s="53">
        <f t="shared" si="6"/>
        <v>51.2</v>
      </c>
      <c r="X48" s="53">
        <f t="shared" si="6"/>
        <v>54.599999999999994</v>
      </c>
      <c r="Y48" s="53">
        <f t="shared" si="6"/>
        <v>58</v>
      </c>
      <c r="Z48" s="53">
        <f t="shared" si="6"/>
        <v>60.6</v>
      </c>
      <c r="AA48" s="53">
        <f t="shared" si="6"/>
        <v>63.2</v>
      </c>
      <c r="AB48" s="53">
        <f t="shared" si="6"/>
        <v>65.800000000000011</v>
      </c>
      <c r="AC48" s="53">
        <f t="shared" si="6"/>
        <v>68.400000000000006</v>
      </c>
      <c r="AD48" s="53">
        <f t="shared" si="6"/>
        <v>71</v>
      </c>
    </row>
    <row r="49" spans="1:30" s="52" customFormat="1" x14ac:dyDescent="0.35">
      <c r="A49" s="72" t="s">
        <v>30</v>
      </c>
      <c r="B49" s="10">
        <f>NPV('Cost Assumptions'!$B$3,'SCE Orange County'!D49:'SCE Orange County'!AD49)</f>
        <v>113296.0689212362</v>
      </c>
      <c r="C49" s="70" t="s">
        <v>140</v>
      </c>
      <c r="D49" s="53">
        <f>D13-D24</f>
        <v>4611.2410690012794</v>
      </c>
      <c r="E49" s="53">
        <f t="shared" ref="E49:AD49" si="7">E13-E24</f>
        <v>6131.5495990200798</v>
      </c>
      <c r="F49" s="53">
        <f t="shared" si="7"/>
        <v>7651.8581290388802</v>
      </c>
      <c r="G49" s="53">
        <f t="shared" si="7"/>
        <v>9172.1666590576806</v>
      </c>
      <c r="H49" s="53">
        <f t="shared" si="7"/>
        <v>10692.475189076482</v>
      </c>
      <c r="I49" s="53">
        <f t="shared" si="7"/>
        <v>12212.783719095281</v>
      </c>
      <c r="J49" s="53">
        <f t="shared" si="7"/>
        <v>13733.092249114081</v>
      </c>
      <c r="K49" s="53">
        <f t="shared" si="7"/>
        <v>13248.622318433025</v>
      </c>
      <c r="L49" s="53">
        <f t="shared" si="7"/>
        <v>12764.152387751968</v>
      </c>
      <c r="M49" s="53">
        <f t="shared" si="7"/>
        <v>11381.948517031957</v>
      </c>
      <c r="N49" s="53">
        <f t="shared" si="7"/>
        <v>12222.672775731789</v>
      </c>
      <c r="O49" s="53">
        <f t="shared" si="7"/>
        <v>14409.773862624987</v>
      </c>
      <c r="P49" s="53">
        <f t="shared" si="7"/>
        <v>15176.194287971311</v>
      </c>
      <c r="Q49" s="53">
        <f t="shared" si="7"/>
        <v>15942.614713317636</v>
      </c>
      <c r="R49" s="53">
        <f t="shared" si="7"/>
        <v>16709.03513866396</v>
      </c>
      <c r="S49" s="53">
        <f t="shared" si="7"/>
        <v>17475.455564010284</v>
      </c>
      <c r="T49" s="53">
        <f t="shared" si="7"/>
        <v>18241.875989356609</v>
      </c>
      <c r="U49" s="53">
        <f t="shared" si="7"/>
        <v>19008.296414702934</v>
      </c>
      <c r="V49" s="53">
        <f t="shared" si="7"/>
        <v>19774.716840049259</v>
      </c>
      <c r="W49" s="53">
        <f t="shared" si="7"/>
        <v>20541.137265395584</v>
      </c>
      <c r="X49" s="53">
        <f t="shared" si="7"/>
        <v>21307.557690741909</v>
      </c>
      <c r="Y49" s="53">
        <f t="shared" si="7"/>
        <v>22073.978116088234</v>
      </c>
      <c r="Z49" s="53">
        <f t="shared" si="7"/>
        <v>22840.398541434559</v>
      </c>
      <c r="AA49" s="53">
        <f t="shared" si="7"/>
        <v>23606.818966780884</v>
      </c>
      <c r="AB49" s="53">
        <f t="shared" si="7"/>
        <v>24373.239392127209</v>
      </c>
      <c r="AC49" s="53">
        <f t="shared" si="7"/>
        <v>25139.659817473534</v>
      </c>
      <c r="AD49" s="53">
        <f t="shared" si="7"/>
        <v>25906.080242819833</v>
      </c>
    </row>
    <row r="50" spans="1:30" s="52" customFormat="1" x14ac:dyDescent="0.35">
      <c r="A50" s="72" t="s">
        <v>30</v>
      </c>
      <c r="B50" s="10">
        <f>NPV('Cost Assumptions'!$B$3,'SCE Orange County'!D50:'SCE Orange County'!AD50)</f>
        <v>1296335.2715493927</v>
      </c>
      <c r="C50" s="70" t="s">
        <v>141</v>
      </c>
      <c r="D50" s="53">
        <f>D14-D25</f>
        <v>138099.79723651829</v>
      </c>
      <c r="E50" s="53">
        <f t="shared" ref="E50:AD50" si="8">E14-E25</f>
        <v>138782.51394500592</v>
      </c>
      <c r="F50" s="53">
        <f t="shared" si="8"/>
        <v>139102.61019737402</v>
      </c>
      <c r="G50" s="53">
        <f t="shared" si="8"/>
        <v>139422.48390606896</v>
      </c>
      <c r="H50" s="53">
        <f t="shared" si="8"/>
        <v>139750.17593573782</v>
      </c>
      <c r="I50" s="53">
        <f t="shared" si="8"/>
        <v>140120.20562342356</v>
      </c>
      <c r="J50" s="53">
        <f t="shared" si="8"/>
        <v>140477.52656772535</v>
      </c>
      <c r="K50" s="53">
        <f t="shared" si="8"/>
        <v>140243.04278443384</v>
      </c>
      <c r="L50" s="53">
        <f t="shared" si="8"/>
        <v>140003.14729997038</v>
      </c>
      <c r="M50" s="53">
        <f t="shared" si="8"/>
        <v>139758.46045348077</v>
      </c>
      <c r="N50" s="53">
        <f t="shared" si="8"/>
        <v>140148.43396322301</v>
      </c>
      <c r="O50" s="53">
        <f t="shared" si="8"/>
        <v>140535.40117534171</v>
      </c>
      <c r="P50" s="53">
        <f t="shared" si="8"/>
        <v>140930.18597976444</v>
      </c>
      <c r="Q50" s="53">
        <f t="shared" si="8"/>
        <v>141306.83629240008</v>
      </c>
      <c r="R50" s="53">
        <f t="shared" si="8"/>
        <v>141680.20996097528</v>
      </c>
      <c r="S50" s="53">
        <f t="shared" si="8"/>
        <v>142053.98406928772</v>
      </c>
      <c r="T50" s="53">
        <f t="shared" si="8"/>
        <v>142428.18014368496</v>
      </c>
      <c r="U50" s="53">
        <f t="shared" si="8"/>
        <v>142757.28636006394</v>
      </c>
      <c r="V50" s="53">
        <f t="shared" si="8"/>
        <v>143076.01482742332</v>
      </c>
      <c r="W50" s="53">
        <f t="shared" si="8"/>
        <v>143384.7277888387</v>
      </c>
      <c r="X50" s="53">
        <f t="shared" si="8"/>
        <v>143684.2771520759</v>
      </c>
      <c r="Y50" s="53">
        <f t="shared" si="8"/>
        <v>143925.91979284541</v>
      </c>
      <c r="Z50" s="53">
        <f t="shared" si="8"/>
        <v>144158.13131248625</v>
      </c>
      <c r="AA50" s="53">
        <f t="shared" si="8"/>
        <v>144375.10269093415</v>
      </c>
      <c r="AB50" s="53">
        <f t="shared" si="8"/>
        <v>144583.13536007452</v>
      </c>
      <c r="AC50" s="53">
        <f t="shared" si="8"/>
        <v>144729.75985209373</v>
      </c>
      <c r="AD50" s="53">
        <f t="shared" si="8"/>
        <v>144858.49755654309</v>
      </c>
    </row>
    <row r="51" spans="1:30" s="66" customFormat="1" x14ac:dyDescent="0.35">
      <c r="A51" s="72" t="s">
        <v>30</v>
      </c>
      <c r="B51" s="10">
        <f>NPV('Cost Assumptions'!$B$3,'SCE Orange County'!D51:'SCE Orange County'!AD51)</f>
        <v>557015.63623282954</v>
      </c>
      <c r="C51" s="70" t="s">
        <v>142</v>
      </c>
      <c r="D51" s="53">
        <f>D15-D26</f>
        <v>48245.855271579421</v>
      </c>
      <c r="E51" s="53">
        <f t="shared" ref="E51:AD51" si="9">E15-E26</f>
        <v>51382.836681498913</v>
      </c>
      <c r="F51" s="53">
        <f t="shared" si="9"/>
        <v>52937.489846078621</v>
      </c>
      <c r="G51" s="53">
        <f t="shared" si="9"/>
        <v>54556.287594410314</v>
      </c>
      <c r="H51" s="53">
        <f t="shared" si="9"/>
        <v>56286.827544351472</v>
      </c>
      <c r="I51" s="53">
        <f t="shared" si="9"/>
        <v>58276.585210670382</v>
      </c>
      <c r="J51" s="53">
        <f t="shared" si="9"/>
        <v>60294.114510863728</v>
      </c>
      <c r="K51" s="53">
        <f t="shared" si="9"/>
        <v>58957.976803363454</v>
      </c>
      <c r="L51" s="53">
        <f t="shared" si="9"/>
        <v>57641.084250412227</v>
      </c>
      <c r="M51" s="53">
        <f t="shared" si="9"/>
        <v>56331.448867451501</v>
      </c>
      <c r="N51" s="53">
        <f t="shared" si="9"/>
        <v>58432.952523683591</v>
      </c>
      <c r="O51" s="53">
        <f t="shared" si="9"/>
        <v>60629.351933352962</v>
      </c>
      <c r="P51" s="53">
        <f t="shared" si="9"/>
        <v>62939.628027403858</v>
      </c>
      <c r="Q51" s="53">
        <f t="shared" si="9"/>
        <v>65200.097778433628</v>
      </c>
      <c r="R51" s="53">
        <f t="shared" si="9"/>
        <v>67491.379605111433</v>
      </c>
      <c r="S51" s="53">
        <f t="shared" si="9"/>
        <v>69851.980527316831</v>
      </c>
      <c r="T51" s="53">
        <f t="shared" si="9"/>
        <v>72300.031189634858</v>
      </c>
      <c r="U51" s="53">
        <f t="shared" si="9"/>
        <v>74557.559386613808</v>
      </c>
      <c r="V51" s="53">
        <f t="shared" si="9"/>
        <v>76861.779630127989</v>
      </c>
      <c r="W51" s="53">
        <f t="shared" si="9"/>
        <v>79199.366099637366</v>
      </c>
      <c r="X51" s="53">
        <f t="shared" si="9"/>
        <v>81586.060949299688</v>
      </c>
      <c r="Y51" s="53">
        <f t="shared" si="9"/>
        <v>83613.931620903502</v>
      </c>
      <c r="Z51" s="53">
        <f t="shared" si="9"/>
        <v>85571.563006054581</v>
      </c>
      <c r="AA51" s="53">
        <f t="shared" si="9"/>
        <v>87458.8557570376</v>
      </c>
      <c r="AB51" s="53">
        <f t="shared" si="9"/>
        <v>89320.759272876458</v>
      </c>
      <c r="AC51" s="53">
        <f t="shared" si="9"/>
        <v>90654.657584686036</v>
      </c>
      <c r="AD51" s="53">
        <f t="shared" si="9"/>
        <v>91859.754892345867</v>
      </c>
    </row>
    <row r="52" spans="1:30" x14ac:dyDescent="0.35">
      <c r="A52" s="72" t="s">
        <v>39</v>
      </c>
      <c r="B52" s="10">
        <f>NPV('Cost Assumptions'!$B$3,'SCE Orange County'!D52:'SCE Orange County'!AD52)</f>
        <v>3662.4319152534908</v>
      </c>
      <c r="C52" s="72" t="s">
        <v>31</v>
      </c>
      <c r="D52" s="53">
        <f t="shared" ref="D52:AD52" si="10">D8-D27</f>
        <v>22.2</v>
      </c>
      <c r="E52" s="53">
        <f t="shared" si="10"/>
        <v>65.8</v>
      </c>
      <c r="F52" s="53">
        <f t="shared" si="10"/>
        <v>102.72</v>
      </c>
      <c r="G52" s="53">
        <f t="shared" si="10"/>
        <v>139.63999999999999</v>
      </c>
      <c r="H52" s="53">
        <f t="shared" si="10"/>
        <v>176.56</v>
      </c>
      <c r="I52" s="53">
        <f t="shared" si="10"/>
        <v>213.48000000000002</v>
      </c>
      <c r="J52" s="53">
        <f t="shared" si="10"/>
        <v>250.4</v>
      </c>
      <c r="K52" s="53">
        <f t="shared" si="10"/>
        <v>216.60000000000014</v>
      </c>
      <c r="L52" s="53">
        <f t="shared" si="10"/>
        <v>182.59999999999991</v>
      </c>
      <c r="M52" s="53">
        <f t="shared" si="10"/>
        <v>151.20000000000005</v>
      </c>
      <c r="N52" s="53">
        <f t="shared" si="10"/>
        <v>202.60000000000014</v>
      </c>
      <c r="O52" s="53">
        <f t="shared" si="10"/>
        <v>292.1666666666668</v>
      </c>
      <c r="P52" s="53">
        <f t="shared" si="10"/>
        <v>381.73333333333346</v>
      </c>
      <c r="Q52" s="53">
        <f t="shared" si="10"/>
        <v>471.30000000000013</v>
      </c>
      <c r="R52" s="53">
        <f t="shared" si="10"/>
        <v>560.86666666666679</v>
      </c>
      <c r="S52" s="53">
        <f t="shared" si="10"/>
        <v>650.43333333333339</v>
      </c>
      <c r="T52" s="53">
        <f t="shared" si="10"/>
        <v>740</v>
      </c>
      <c r="U52" s="53">
        <f t="shared" si="10"/>
        <v>930.87999999999988</v>
      </c>
      <c r="V52" s="53">
        <f t="shared" si="10"/>
        <v>1121.7599999999998</v>
      </c>
      <c r="W52" s="53">
        <f t="shared" si="10"/>
        <v>1312.6399999999996</v>
      </c>
      <c r="X52" s="53">
        <f t="shared" si="10"/>
        <v>1503.5199999999995</v>
      </c>
      <c r="Y52" s="53">
        <f t="shared" si="10"/>
        <v>1694.3999999999994</v>
      </c>
      <c r="Z52" s="53">
        <f t="shared" si="10"/>
        <v>1887.3999999999994</v>
      </c>
      <c r="AA52" s="53">
        <f t="shared" si="10"/>
        <v>2080.3999999999996</v>
      </c>
      <c r="AB52" s="53">
        <f t="shared" si="10"/>
        <v>2273.3999999999996</v>
      </c>
      <c r="AC52" s="53">
        <f t="shared" si="10"/>
        <v>2466.3999999999996</v>
      </c>
      <c r="AD52" s="53">
        <f t="shared" si="10"/>
        <v>2659.3999999999996</v>
      </c>
    </row>
    <row r="53" spans="1:30" x14ac:dyDescent="0.35">
      <c r="A53" s="72" t="s">
        <v>39</v>
      </c>
      <c r="B53" s="10">
        <f>NPV('Cost Assumptions'!$B$3,'SCE Orange County'!D53:'SCE Orange County'!AD53)</f>
        <v>603.3370677068466</v>
      </c>
      <c r="C53" s="72" t="s">
        <v>32</v>
      </c>
      <c r="D53" s="53">
        <f t="shared" ref="D53:AD53" si="11">D9-D28</f>
        <v>13</v>
      </c>
      <c r="E53" s="53">
        <f t="shared" si="11"/>
        <v>27</v>
      </c>
      <c r="F53" s="53">
        <f t="shared" si="11"/>
        <v>34.519999999999982</v>
      </c>
      <c r="G53" s="53">
        <f t="shared" si="11"/>
        <v>42.039999999999964</v>
      </c>
      <c r="H53" s="53">
        <f t="shared" si="11"/>
        <v>49.559999999999945</v>
      </c>
      <c r="I53" s="53">
        <f t="shared" si="11"/>
        <v>57.079999999999927</v>
      </c>
      <c r="J53" s="53">
        <f t="shared" si="11"/>
        <v>64.599999999999909</v>
      </c>
      <c r="K53" s="53">
        <f t="shared" si="11"/>
        <v>59.799999999999955</v>
      </c>
      <c r="L53" s="53">
        <f t="shared" si="11"/>
        <v>52.799999999999955</v>
      </c>
      <c r="M53" s="53">
        <f t="shared" si="11"/>
        <v>46</v>
      </c>
      <c r="N53" s="53">
        <f t="shared" si="11"/>
        <v>57.400000000000091</v>
      </c>
      <c r="O53" s="53">
        <f t="shared" si="11"/>
        <v>67.333333333333414</v>
      </c>
      <c r="P53" s="53">
        <f t="shared" si="11"/>
        <v>77.266666666666737</v>
      </c>
      <c r="Q53" s="53">
        <f t="shared" si="11"/>
        <v>87.20000000000006</v>
      </c>
      <c r="R53" s="53">
        <f t="shared" si="11"/>
        <v>97.133333333333383</v>
      </c>
      <c r="S53" s="53">
        <f t="shared" si="11"/>
        <v>107.06666666666671</v>
      </c>
      <c r="T53" s="53">
        <f t="shared" si="11"/>
        <v>117</v>
      </c>
      <c r="U53" s="53">
        <f t="shared" si="11"/>
        <v>126.6</v>
      </c>
      <c r="V53" s="53">
        <f t="shared" si="11"/>
        <v>136.19999999999999</v>
      </c>
      <c r="W53" s="53">
        <f t="shared" si="11"/>
        <v>145.79999999999998</v>
      </c>
      <c r="X53" s="53">
        <f t="shared" si="11"/>
        <v>155.39999999999998</v>
      </c>
      <c r="Y53" s="53">
        <f t="shared" si="11"/>
        <v>165</v>
      </c>
      <c r="Z53" s="53">
        <f t="shared" si="11"/>
        <v>171.84</v>
      </c>
      <c r="AA53" s="53">
        <f t="shared" si="11"/>
        <v>178.68</v>
      </c>
      <c r="AB53" s="53">
        <f t="shared" si="11"/>
        <v>185.52</v>
      </c>
      <c r="AC53" s="53">
        <f t="shared" si="11"/>
        <v>192.36</v>
      </c>
      <c r="AD53" s="53">
        <f t="shared" si="11"/>
        <v>199.20000000000005</v>
      </c>
    </row>
    <row r="54" spans="1:30" x14ac:dyDescent="0.35">
      <c r="A54" s="72" t="s">
        <v>39</v>
      </c>
      <c r="B54" s="10">
        <f>NPV('Cost Assumptions'!$B$3,'SCE Orange County'!D54:'SCE Orange County'!AD54)</f>
        <v>54.089806048569208</v>
      </c>
      <c r="C54" s="72" t="s">
        <v>33</v>
      </c>
      <c r="D54" s="53">
        <f t="shared" ref="D54:AD54" si="12">D10-D29</f>
        <v>4.7253529883901121E-2</v>
      </c>
      <c r="E54" s="53">
        <f t="shared" si="12"/>
        <v>0.28011551949195379</v>
      </c>
      <c r="F54" s="53">
        <f t="shared" si="12"/>
        <v>0.59718244793816533</v>
      </c>
      <c r="G54" s="53">
        <f t="shared" si="12"/>
        <v>0.91424937638437687</v>
      </c>
      <c r="H54" s="53">
        <f t="shared" si="12"/>
        <v>1.2313163048305884</v>
      </c>
      <c r="I54" s="53">
        <f t="shared" si="12"/>
        <v>1.5483832332767999</v>
      </c>
      <c r="J54" s="53">
        <f t="shared" si="12"/>
        <v>1.8654501617230115</v>
      </c>
      <c r="K54" s="53">
        <f t="shared" si="12"/>
        <v>1.6136441894137561</v>
      </c>
      <c r="L54" s="53">
        <f t="shared" si="12"/>
        <v>1.1660127779459895</v>
      </c>
      <c r="M54" s="53">
        <f t="shared" si="12"/>
        <v>0.80458713045561225</v>
      </c>
      <c r="N54" s="53">
        <f t="shared" si="12"/>
        <v>0.56680711827214547</v>
      </c>
      <c r="O54" s="53">
        <f t="shared" si="12"/>
        <v>3.0445179689462347</v>
      </c>
      <c r="P54" s="53">
        <f t="shared" si="12"/>
        <v>4.5886299372095039</v>
      </c>
      <c r="Q54" s="53">
        <f t="shared" si="12"/>
        <v>6.1327419054727734</v>
      </c>
      <c r="R54" s="53">
        <f t="shared" si="12"/>
        <v>7.676853873736043</v>
      </c>
      <c r="S54" s="53">
        <f t="shared" si="12"/>
        <v>9.2209658419993126</v>
      </c>
      <c r="T54" s="53">
        <f t="shared" si="12"/>
        <v>10.765077810262582</v>
      </c>
      <c r="U54" s="53">
        <f t="shared" si="12"/>
        <v>11.285969377257926</v>
      </c>
      <c r="V54" s="53">
        <f t="shared" si="12"/>
        <v>11.80686094425327</v>
      </c>
      <c r="W54" s="53">
        <f t="shared" si="12"/>
        <v>12.327752511248613</v>
      </c>
      <c r="X54" s="53">
        <f t="shared" si="12"/>
        <v>12.848644078243957</v>
      </c>
      <c r="Y54" s="53">
        <f t="shared" si="12"/>
        <v>13.369535645239303</v>
      </c>
      <c r="Z54" s="53">
        <f t="shared" si="12"/>
        <v>31.024884631077057</v>
      </c>
      <c r="AA54" s="53">
        <f t="shared" si="12"/>
        <v>48.680233616914812</v>
      </c>
      <c r="AB54" s="53">
        <f t="shared" si="12"/>
        <v>66.335582602752567</v>
      </c>
      <c r="AC54" s="53">
        <f t="shared" si="12"/>
        <v>83.990931588590314</v>
      </c>
      <c r="AD54" s="53">
        <f t="shared" si="12"/>
        <v>101.64628057442808</v>
      </c>
    </row>
    <row r="55" spans="1:30" x14ac:dyDescent="0.35">
      <c r="A55" s="72" t="s">
        <v>39</v>
      </c>
      <c r="B55" s="10">
        <f>NPV('Cost Assumptions'!$B$3,'SCE Orange County'!D55:'SCE Orange County'!AD55)</f>
        <v>2.9078711043982364</v>
      </c>
      <c r="C55" s="72" t="s">
        <v>34</v>
      </c>
      <c r="D55" s="53">
        <f t="shared" ref="D55:AD55" si="13">D11-D30</f>
        <v>2.3626764941950561E-2</v>
      </c>
      <c r="E55" s="53">
        <f t="shared" si="13"/>
        <v>7.0028879872988448E-2</v>
      </c>
      <c r="F55" s="53">
        <f t="shared" si="13"/>
        <v>0.10932167994761965</v>
      </c>
      <c r="G55" s="53">
        <f t="shared" si="13"/>
        <v>0.14861448002225086</v>
      </c>
      <c r="H55" s="53">
        <f t="shared" si="13"/>
        <v>0.18790728009688207</v>
      </c>
      <c r="I55" s="53">
        <f t="shared" si="13"/>
        <v>0.22720008017151327</v>
      </c>
      <c r="J55" s="53">
        <f t="shared" si="13"/>
        <v>0.26649288024614448</v>
      </c>
      <c r="K55" s="53">
        <f t="shared" si="13"/>
        <v>0.23052059848767945</v>
      </c>
      <c r="L55" s="53">
        <f t="shared" si="13"/>
        <v>0.19433546299099821</v>
      </c>
      <c r="M55" s="53">
        <f t="shared" si="13"/>
        <v>0.16091742609112245</v>
      </c>
      <c r="N55" s="53">
        <f t="shared" si="13"/>
        <v>4.2212624824281168E-2</v>
      </c>
      <c r="O55" s="53">
        <f t="shared" si="13"/>
        <v>0.30677545020347896</v>
      </c>
      <c r="P55" s="53">
        <f t="shared" si="13"/>
        <v>0.39920718602367722</v>
      </c>
      <c r="Q55" s="53">
        <f t="shared" si="13"/>
        <v>0.49163892184387548</v>
      </c>
      <c r="R55" s="53">
        <f t="shared" si="13"/>
        <v>0.58407065766407373</v>
      </c>
      <c r="S55" s="53">
        <f t="shared" si="13"/>
        <v>0.67650239348427199</v>
      </c>
      <c r="T55" s="53">
        <f t="shared" si="13"/>
        <v>0.76893412930447014</v>
      </c>
      <c r="U55" s="53">
        <f t="shared" si="13"/>
        <v>0.69278283231502535</v>
      </c>
      <c r="V55" s="53">
        <f t="shared" si="13"/>
        <v>0.61663153532558057</v>
      </c>
      <c r="W55" s="53">
        <f t="shared" si="13"/>
        <v>0.54048023833613579</v>
      </c>
      <c r="X55" s="53">
        <f t="shared" si="13"/>
        <v>0.464328941346691</v>
      </c>
      <c r="Y55" s="53">
        <f t="shared" si="13"/>
        <v>0.38817764435724611</v>
      </c>
      <c r="Z55" s="53">
        <f t="shared" si="13"/>
        <v>0.85998146994216484</v>
      </c>
      <c r="AA55" s="53">
        <f t="shared" si="13"/>
        <v>1.3317852955270837</v>
      </c>
      <c r="AB55" s="53">
        <f t="shared" si="13"/>
        <v>1.8035891211120025</v>
      </c>
      <c r="AC55" s="53">
        <f t="shared" si="13"/>
        <v>2.2753929466969214</v>
      </c>
      <c r="AD55" s="53">
        <f t="shared" si="13"/>
        <v>2.74719677228184</v>
      </c>
    </row>
    <row r="56" spans="1:30" x14ac:dyDescent="0.35">
      <c r="A56" s="72" t="s">
        <v>39</v>
      </c>
      <c r="B56" s="10">
        <f>NPV('Cost Assumptions'!$B$3,'SCE Orange County'!D56:'SCE Orange County'!AD56)</f>
        <v>81.976482418430209</v>
      </c>
      <c r="C56" s="72" t="s">
        <v>35</v>
      </c>
      <c r="D56" s="53">
        <f t="shared" ref="D56:AD56" si="14">D12-D31</f>
        <v>2</v>
      </c>
      <c r="E56" s="53">
        <f t="shared" si="14"/>
        <v>4</v>
      </c>
      <c r="F56" s="53">
        <f t="shared" si="14"/>
        <v>4.5999999999999996</v>
      </c>
      <c r="G56" s="53">
        <f t="shared" si="14"/>
        <v>5.1999999999999993</v>
      </c>
      <c r="H56" s="53">
        <f t="shared" si="14"/>
        <v>5.7999999999999989</v>
      </c>
      <c r="I56" s="53">
        <f t="shared" si="14"/>
        <v>6.3999999999999986</v>
      </c>
      <c r="J56" s="53">
        <f t="shared" si="14"/>
        <v>7</v>
      </c>
      <c r="K56" s="53">
        <f t="shared" si="14"/>
        <v>7</v>
      </c>
      <c r="L56" s="53">
        <f t="shared" si="14"/>
        <v>6</v>
      </c>
      <c r="M56" s="53">
        <f t="shared" si="14"/>
        <v>5</v>
      </c>
      <c r="N56" s="53">
        <f t="shared" si="14"/>
        <v>7</v>
      </c>
      <c r="O56" s="53">
        <f t="shared" si="14"/>
        <v>8.1666666666666661</v>
      </c>
      <c r="P56" s="53">
        <f t="shared" si="14"/>
        <v>9.3333333333333321</v>
      </c>
      <c r="Q56" s="53">
        <f t="shared" si="14"/>
        <v>10.499999999999998</v>
      </c>
      <c r="R56" s="53">
        <f t="shared" si="14"/>
        <v>11.666666666666664</v>
      </c>
      <c r="S56" s="53">
        <f t="shared" si="14"/>
        <v>12.83333333333333</v>
      </c>
      <c r="T56" s="53">
        <f t="shared" si="14"/>
        <v>14</v>
      </c>
      <c r="U56" s="53">
        <f t="shared" si="14"/>
        <v>17</v>
      </c>
      <c r="V56" s="53">
        <f t="shared" si="14"/>
        <v>20</v>
      </c>
      <c r="W56" s="53">
        <f t="shared" si="14"/>
        <v>23</v>
      </c>
      <c r="X56" s="53">
        <f t="shared" si="14"/>
        <v>26</v>
      </c>
      <c r="Y56" s="53">
        <f t="shared" si="14"/>
        <v>29</v>
      </c>
      <c r="Z56" s="53">
        <f t="shared" si="14"/>
        <v>30.6</v>
      </c>
      <c r="AA56" s="53">
        <f t="shared" si="14"/>
        <v>32.200000000000003</v>
      </c>
      <c r="AB56" s="53">
        <f t="shared" si="14"/>
        <v>33.800000000000004</v>
      </c>
      <c r="AC56" s="53">
        <f t="shared" si="14"/>
        <v>35.400000000000006</v>
      </c>
      <c r="AD56" s="53">
        <f t="shared" si="14"/>
        <v>37</v>
      </c>
    </row>
    <row r="58" spans="1:30" ht="15" thickBot="1" x14ac:dyDescent="0.4">
      <c r="A58" s="177" t="s">
        <v>143</v>
      </c>
      <c r="B58" s="177"/>
      <c r="C58" s="177"/>
      <c r="D58" s="177"/>
      <c r="E58" s="177"/>
      <c r="F58" s="177"/>
      <c r="G58" s="177"/>
      <c r="H58" s="177"/>
      <c r="I58" s="177"/>
      <c r="J58" s="177"/>
      <c r="K58" s="177"/>
      <c r="L58" s="177"/>
      <c r="M58" s="177"/>
      <c r="N58" s="177"/>
      <c r="O58" s="177"/>
      <c r="P58" s="177"/>
      <c r="Q58" s="177"/>
      <c r="R58" s="177"/>
      <c r="S58" s="177"/>
      <c r="T58" s="177"/>
      <c r="U58" s="177"/>
      <c r="V58" s="177"/>
      <c r="W58" s="177"/>
      <c r="X58" s="177"/>
      <c r="Y58" s="177"/>
      <c r="Z58" s="177"/>
      <c r="AA58" s="177"/>
      <c r="AB58" s="177"/>
      <c r="AC58" s="177"/>
      <c r="AD58" s="177"/>
    </row>
    <row r="59" spans="1:30" ht="15.5" thickTop="1" thickBot="1" x14ac:dyDescent="0.4">
      <c r="A59" s="177"/>
      <c r="B59" s="177"/>
      <c r="C59" s="177"/>
      <c r="D59" s="177"/>
      <c r="E59" s="177"/>
      <c r="F59" s="177"/>
      <c r="G59" s="177"/>
      <c r="H59" s="177"/>
      <c r="I59" s="177"/>
      <c r="J59" s="177"/>
      <c r="K59" s="177"/>
      <c r="L59" s="177"/>
      <c r="M59" s="177"/>
      <c r="N59" s="177"/>
      <c r="O59" s="177"/>
      <c r="P59" s="177"/>
      <c r="Q59" s="177"/>
      <c r="R59" s="177"/>
      <c r="S59" s="177"/>
      <c r="T59" s="177"/>
      <c r="U59" s="177"/>
      <c r="V59" s="177"/>
      <c r="W59" s="177"/>
      <c r="X59" s="177"/>
      <c r="Y59" s="177"/>
      <c r="Z59" s="177"/>
      <c r="AA59" s="177"/>
      <c r="AB59" s="177"/>
      <c r="AC59" s="177"/>
      <c r="AD59" s="177"/>
    </row>
    <row r="60" spans="1:30" ht="15" thickTop="1" x14ac:dyDescent="0.35">
      <c r="A60" s="72" t="str">
        <f>'Baseline System Analysis'!A17</f>
        <v>Residential</v>
      </c>
      <c r="B60" s="72" t="str">
        <f>'Baseline System Analysis'!B17</f>
        <v>Cost of Reliability (N-1)</v>
      </c>
      <c r="C60" s="72" t="str">
        <f>'Baseline System Analysis'!C17</f>
        <v>$/kWh</v>
      </c>
      <c r="D60" s="4">
        <f>'Baseline System Analysis'!D17</f>
        <v>4.4933261328125003</v>
      </c>
      <c r="E60" s="4">
        <f>'Baseline System Analysis'!E17</f>
        <v>4.6056592861328127</v>
      </c>
      <c r="F60" s="4">
        <f>'Baseline System Analysis'!F17</f>
        <v>4.720800768286133</v>
      </c>
      <c r="G60" s="4">
        <f>'Baseline System Analysis'!G17</f>
        <v>4.8388207874932858</v>
      </c>
      <c r="H60" s="4">
        <f>'Baseline System Analysis'!H17</f>
        <v>4.9597913071806179</v>
      </c>
      <c r="I60" s="4">
        <f>'Baseline System Analysis'!I17</f>
        <v>5.0837860898601326</v>
      </c>
      <c r="J60" s="4">
        <f>'Baseline System Analysis'!J17</f>
        <v>5.2108807421066352</v>
      </c>
      <c r="K60" s="4">
        <f>'Baseline System Analysis'!K17</f>
        <v>5.341152760659301</v>
      </c>
      <c r="L60" s="4">
        <f>'Baseline System Analysis'!L17</f>
        <v>5.4746815796757833</v>
      </c>
      <c r="M60" s="4">
        <f>'Baseline System Analysis'!M17</f>
        <v>5.6115486191676771</v>
      </c>
      <c r="N60" s="4">
        <f>'Baseline System Analysis'!N17</f>
        <v>5.7518373346468685</v>
      </c>
      <c r="O60" s="4">
        <f>'Baseline System Analysis'!O17</f>
        <v>5.8956332680130394</v>
      </c>
      <c r="P60" s="4">
        <f>'Baseline System Analysis'!P17</f>
        <v>6.0430240997133646</v>
      </c>
      <c r="Q60" s="4">
        <f>'Baseline System Analysis'!Q17</f>
        <v>6.1940997022061985</v>
      </c>
      <c r="R60" s="4">
        <f>'Baseline System Analysis'!R17</f>
        <v>6.3489521947613525</v>
      </c>
      <c r="S60" s="4">
        <f>'Baseline System Analysis'!S17</f>
        <v>6.5076759996303855</v>
      </c>
      <c r="T60" s="4">
        <f>'Baseline System Analysis'!T17</f>
        <v>6.6703678996211444</v>
      </c>
      <c r="U60" s="4">
        <f>'Baseline System Analysis'!U17</f>
        <v>6.8371270971116722</v>
      </c>
      <c r="V60" s="4">
        <f>'Baseline System Analysis'!V17</f>
        <v>7.0080552745394638</v>
      </c>
      <c r="W60" s="4">
        <f>'Baseline System Analysis'!W17</f>
        <v>7.1832566564029499</v>
      </c>
      <c r="X60" s="4">
        <f>'Baseline System Analysis'!X17</f>
        <v>7.3628380728130232</v>
      </c>
      <c r="Y60" s="4">
        <f>'Baseline System Analysis'!Y17</f>
        <v>7.5469090246333481</v>
      </c>
      <c r="Z60" s="4">
        <f>'Baseline System Analysis'!Z17</f>
        <v>7.7355817502491808</v>
      </c>
      <c r="AA60" s="4">
        <f>'Baseline System Analysis'!AA17</f>
        <v>7.92897129400541</v>
      </c>
      <c r="AB60" s="4">
        <f>'Baseline System Analysis'!AB17</f>
        <v>8.127195576355545</v>
      </c>
      <c r="AC60" s="4">
        <f>'Baseline System Analysis'!AC17</f>
        <v>8.3303754657644333</v>
      </c>
      <c r="AD60" s="4">
        <f>'Baseline System Analysis'!AD17</f>
        <v>8.5386348524085438</v>
      </c>
    </row>
    <row r="61" spans="1:30" x14ac:dyDescent="0.35">
      <c r="A61" s="72" t="str">
        <f>'Baseline System Analysis'!A18</f>
        <v>Residential</v>
      </c>
      <c r="B61" s="72" t="str">
        <f>'Baseline System Analysis'!B18</f>
        <v>Cost of Reliability (N-0)</v>
      </c>
      <c r="C61" s="72" t="str">
        <f>'Baseline System Analysis'!C18</f>
        <v>$/kWh</v>
      </c>
      <c r="D61" s="4">
        <f>'Baseline System Analysis'!D18</f>
        <v>3.7920011132812497</v>
      </c>
      <c r="E61" s="4">
        <f>'Baseline System Analysis'!E18</f>
        <v>3.8868011411132808</v>
      </c>
      <c r="F61" s="4">
        <f>'Baseline System Analysis'!F18</f>
        <v>3.9839711696411126</v>
      </c>
      <c r="G61" s="4">
        <f>'Baseline System Analysis'!G18</f>
        <v>4.0835704488821403</v>
      </c>
      <c r="H61" s="4">
        <f>'Baseline System Analysis'!H18</f>
        <v>4.1856597101041935</v>
      </c>
      <c r="I61" s="4">
        <f>'Baseline System Analysis'!I18</f>
        <v>4.2903012028567975</v>
      </c>
      <c r="J61" s="4">
        <f>'Baseline System Analysis'!J18</f>
        <v>4.3975587329282169</v>
      </c>
      <c r="K61" s="4">
        <f>'Baseline System Analysis'!K18</f>
        <v>4.5074977012514221</v>
      </c>
      <c r="L61" s="4">
        <f>'Baseline System Analysis'!L18</f>
        <v>4.6201851437827068</v>
      </c>
      <c r="M61" s="4">
        <f>'Baseline System Analysis'!M18</f>
        <v>4.735689772377274</v>
      </c>
      <c r="N61" s="4">
        <f>'Baseline System Analysis'!N18</f>
        <v>4.8540820166867054</v>
      </c>
      <c r="O61" s="4">
        <f>'Baseline System Analysis'!O18</f>
        <v>4.9754340671038726</v>
      </c>
      <c r="P61" s="4">
        <f>'Baseline System Analysis'!P18</f>
        <v>5.0998199187814688</v>
      </c>
      <c r="Q61" s="4">
        <f>'Baseline System Analysis'!Q18</f>
        <v>5.2273154167510052</v>
      </c>
      <c r="R61" s="4">
        <f>'Baseline System Analysis'!R18</f>
        <v>5.3579983021697801</v>
      </c>
      <c r="S61" s="4">
        <f>'Baseline System Analysis'!S18</f>
        <v>5.4919482597240243</v>
      </c>
      <c r="T61" s="4">
        <f>'Baseline System Analysis'!T18</f>
        <v>5.6292469662171243</v>
      </c>
      <c r="U61" s="4">
        <f>'Baseline System Analysis'!U18</f>
        <v>5.7699781403725519</v>
      </c>
      <c r="V61" s="4">
        <f>'Baseline System Analysis'!V18</f>
        <v>5.9142275938818649</v>
      </c>
      <c r="W61" s="4">
        <f>'Baseline System Analysis'!W18</f>
        <v>6.0620832837289109</v>
      </c>
      <c r="X61" s="4">
        <f>'Baseline System Analysis'!X18</f>
        <v>6.2136353658221335</v>
      </c>
      <c r="Y61" s="4">
        <f>'Baseline System Analysis'!Y18</f>
        <v>6.3689762499676865</v>
      </c>
      <c r="Z61" s="4">
        <f>'Baseline System Analysis'!Z18</f>
        <v>6.5282006562168782</v>
      </c>
      <c r="AA61" s="4">
        <f>'Baseline System Analysis'!AA18</f>
        <v>6.6914056726222997</v>
      </c>
      <c r="AB61" s="4">
        <f>'Baseline System Analysis'!AB18</f>
        <v>6.8586908144378569</v>
      </c>
      <c r="AC61" s="4">
        <f>'Baseline System Analysis'!AC18</f>
        <v>7.0301580847988028</v>
      </c>
      <c r="AD61" s="4">
        <f>'Baseline System Analysis'!AD18</f>
        <v>7.2059120369187726</v>
      </c>
    </row>
    <row r="62" spans="1:30" x14ac:dyDescent="0.35">
      <c r="A62" s="72" t="str">
        <f>'Baseline System Analysis'!A19</f>
        <v>Commerical</v>
      </c>
      <c r="B62" s="72" t="str">
        <f>'Baseline System Analysis'!B19</f>
        <v>Cost of Reliability (N-1)</v>
      </c>
      <c r="C62" s="72" t="str">
        <f>'Baseline System Analysis'!C19</f>
        <v>$/kWh</v>
      </c>
      <c r="D62" s="4">
        <f>'Baseline System Analysis'!D19</f>
        <v>166.59767191406246</v>
      </c>
      <c r="E62" s="4">
        <f>'Baseline System Analysis'!E19</f>
        <v>170.76261371191401</v>
      </c>
      <c r="F62" s="4">
        <f>'Baseline System Analysis'!F19</f>
        <v>175.03167905471184</v>
      </c>
      <c r="G62" s="4">
        <f>'Baseline System Analysis'!G19</f>
        <v>179.40747103107964</v>
      </c>
      <c r="H62" s="4">
        <f>'Baseline System Analysis'!H19</f>
        <v>183.89265780685662</v>
      </c>
      <c r="I62" s="4">
        <f>'Baseline System Analysis'!I19</f>
        <v>188.48997425202802</v>
      </c>
      <c r="J62" s="4">
        <f>'Baseline System Analysis'!J19</f>
        <v>193.20222360832869</v>
      </c>
      <c r="K62" s="4">
        <f>'Baseline System Analysis'!K19</f>
        <v>198.03227919853688</v>
      </c>
      <c r="L62" s="4">
        <f>'Baseline System Analysis'!L19</f>
        <v>202.98308617850029</v>
      </c>
      <c r="M62" s="4">
        <f>'Baseline System Analysis'!M19</f>
        <v>208.05766333296279</v>
      </c>
      <c r="N62" s="4">
        <f>'Baseline System Analysis'!N19</f>
        <v>213.25910491628684</v>
      </c>
      <c r="O62" s="4">
        <f>'Baseline System Analysis'!O19</f>
        <v>218.590582539194</v>
      </c>
      <c r="P62" s="4">
        <f>'Baseline System Analysis'!P19</f>
        <v>224.05534710267384</v>
      </c>
      <c r="Q62" s="4">
        <f>'Baseline System Analysis'!Q19</f>
        <v>229.65673078024065</v>
      </c>
      <c r="R62" s="4">
        <f>'Baseline System Analysis'!R19</f>
        <v>235.39814904974665</v>
      </c>
      <c r="S62" s="4">
        <f>'Baseline System Analysis'!S19</f>
        <v>241.2831027759903</v>
      </c>
      <c r="T62" s="4">
        <f>'Baseline System Analysis'!T19</f>
        <v>247.31518034539005</v>
      </c>
      <c r="U62" s="4">
        <f>'Baseline System Analysis'!U19</f>
        <v>253.49805985402477</v>
      </c>
      <c r="V62" s="4">
        <f>'Baseline System Analysis'!V19</f>
        <v>259.83551135037538</v>
      </c>
      <c r="W62" s="4">
        <f>'Baseline System Analysis'!W19</f>
        <v>266.33139913413476</v>
      </c>
      <c r="X62" s="4">
        <f>'Baseline System Analysis'!X19</f>
        <v>272.98968411248808</v>
      </c>
      <c r="Y62" s="4">
        <f>'Baseline System Analysis'!Y19</f>
        <v>279.81442621530027</v>
      </c>
      <c r="Z62" s="4">
        <f>'Baseline System Analysis'!Z19</f>
        <v>286.80978687068273</v>
      </c>
      <c r="AA62" s="4">
        <f>'Baseline System Analysis'!AA19</f>
        <v>293.98003154244975</v>
      </c>
      <c r="AB62" s="4">
        <f>'Baseline System Analysis'!AB19</f>
        <v>301.32953233101097</v>
      </c>
      <c r="AC62" s="4">
        <f>'Baseline System Analysis'!AC19</f>
        <v>308.86277063928623</v>
      </c>
      <c r="AD62" s="4">
        <f>'Baseline System Analysis'!AD19</f>
        <v>316.58433990526834</v>
      </c>
    </row>
    <row r="63" spans="1:30" x14ac:dyDescent="0.35">
      <c r="A63" s="72" t="str">
        <f>'Baseline System Analysis'!A20</f>
        <v>Commerical</v>
      </c>
      <c r="B63" s="72" t="str">
        <f>'Baseline System Analysis'!B20</f>
        <v>Cost of Reliability (N-0)</v>
      </c>
      <c r="C63" s="72" t="str">
        <f>'Baseline System Analysis'!C20</f>
        <v>$/kWh</v>
      </c>
      <c r="D63" s="4">
        <f>'Baseline System Analysis'!D20</f>
        <v>153.83719106445315</v>
      </c>
      <c r="E63" s="4">
        <f>'Baseline System Analysis'!E20</f>
        <v>157.68312084106446</v>
      </c>
      <c r="F63" s="4">
        <f>'Baseline System Analysis'!F20</f>
        <v>161.62519886209105</v>
      </c>
      <c r="G63" s="4">
        <f>'Baseline System Analysis'!G20</f>
        <v>165.6658288336433</v>
      </c>
      <c r="H63" s="4">
        <f>'Baseline System Analysis'!H20</f>
        <v>169.80747455448437</v>
      </c>
      <c r="I63" s="4">
        <f>'Baseline System Analysis'!I20</f>
        <v>174.05266141834647</v>
      </c>
      <c r="J63" s="4">
        <f>'Baseline System Analysis'!J20</f>
        <v>178.40397795380511</v>
      </c>
      <c r="K63" s="4">
        <f>'Baseline System Analysis'!K20</f>
        <v>182.86407740265022</v>
      </c>
      <c r="L63" s="4">
        <f>'Baseline System Analysis'!L20</f>
        <v>187.43567933771646</v>
      </c>
      <c r="M63" s="4">
        <f>'Baseline System Analysis'!M20</f>
        <v>192.12157132115937</v>
      </c>
      <c r="N63" s="4">
        <f>'Baseline System Analysis'!N20</f>
        <v>196.92461060418833</v>
      </c>
      <c r="O63" s="4">
        <f>'Baseline System Analysis'!O20</f>
        <v>201.84772586929301</v>
      </c>
      <c r="P63" s="4">
        <f>'Baseline System Analysis'!P20</f>
        <v>206.89391901602534</v>
      </c>
      <c r="Q63" s="4">
        <f>'Baseline System Analysis'!Q20</f>
        <v>212.06626699142595</v>
      </c>
      <c r="R63" s="4">
        <f>'Baseline System Analysis'!R20</f>
        <v>217.36792366621157</v>
      </c>
      <c r="S63" s="4">
        <f>'Baseline System Analysis'!S20</f>
        <v>222.80212175786684</v>
      </c>
      <c r="T63" s="4">
        <f>'Baseline System Analysis'!T20</f>
        <v>228.37217480181349</v>
      </c>
      <c r="U63" s="4">
        <f>'Baseline System Analysis'!U20</f>
        <v>234.0814791718588</v>
      </c>
      <c r="V63" s="4">
        <f>'Baseline System Analysis'!V20</f>
        <v>239.93351615115526</v>
      </c>
      <c r="W63" s="4">
        <f>'Baseline System Analysis'!W20</f>
        <v>245.93185405493412</v>
      </c>
      <c r="X63" s="4">
        <f>'Baseline System Analysis'!X20</f>
        <v>252.08015040630744</v>
      </c>
      <c r="Y63" s="4">
        <f>'Baseline System Analysis'!Y20</f>
        <v>258.38215416646511</v>
      </c>
      <c r="Z63" s="4">
        <f>'Baseline System Analysis'!Z20</f>
        <v>264.8417080206267</v>
      </c>
      <c r="AA63" s="4">
        <f>'Baseline System Analysis'!AA20</f>
        <v>271.46275072114236</v>
      </c>
      <c r="AB63" s="4">
        <f>'Baseline System Analysis'!AB20</f>
        <v>278.24931948917089</v>
      </c>
      <c r="AC63" s="4">
        <f>'Baseline System Analysis'!AC20</f>
        <v>285.20555247640016</v>
      </c>
      <c r="AD63" s="4">
        <f>'Baseline System Analysis'!AD20</f>
        <v>292.33569128831016</v>
      </c>
    </row>
    <row r="65" spans="1:30" x14ac:dyDescent="0.35">
      <c r="A65" s="72" t="s">
        <v>117</v>
      </c>
      <c r="B65" s="72" t="s">
        <v>31</v>
      </c>
      <c r="C65" s="18">
        <f>NPV('Cost Assumptions'!$B$3,D65:AD65)</f>
        <v>318366.08039841661</v>
      </c>
      <c r="D65" s="4">
        <f>'Baseline System Analysis'!D24-D34</f>
        <v>1354.9655166582397</v>
      </c>
      <c r="E65" s="4">
        <f>'Baseline System Analysis'!E24-E34</f>
        <v>3468.8297365152371</v>
      </c>
      <c r="F65" s="4">
        <f>'Baseline System Analysis'!F24-F34</f>
        <v>5582.6939563722344</v>
      </c>
      <c r="G65" s="4">
        <f>'Baseline System Analysis'!G24-G34</f>
        <v>7696.5581762292313</v>
      </c>
      <c r="H65" s="4">
        <f>'Baseline System Analysis'!H24-H34</f>
        <v>9810.4223960862291</v>
      </c>
      <c r="I65" s="4">
        <f>'Baseline System Analysis'!I24-I34</f>
        <v>11924.286615943227</v>
      </c>
      <c r="J65" s="4">
        <f>'Baseline System Analysis'!J24-J34</f>
        <v>12073.97009633274</v>
      </c>
      <c r="K65" s="4">
        <f>'Baseline System Analysis'!K24-K34</f>
        <v>10122.964476902298</v>
      </c>
      <c r="L65" s="4">
        <f>'Baseline System Analysis'!L24-L34</f>
        <v>8810.6938139558188</v>
      </c>
      <c r="M65" s="4">
        <f>'Baseline System Analysis'!M24-M34</f>
        <v>6959.6290156613013</v>
      </c>
      <c r="N65" s="4">
        <f>'Baseline System Analysis'!N24-N34</f>
        <v>10568.27220364085</v>
      </c>
      <c r="O65" s="4">
        <f>'Baseline System Analysis'!O24-O34</f>
        <v>16552.059210031442</v>
      </c>
      <c r="P65" s="4">
        <f>'Baseline System Analysis'!P24-P34</f>
        <v>22505.475784516562</v>
      </c>
      <c r="Q65" s="4">
        <f>'Baseline System Analysis'!Q24-Q34</f>
        <v>28458.892359001678</v>
      </c>
      <c r="R65" s="4">
        <f>'Baseline System Analysis'!R24-R34</f>
        <v>34412.308933486798</v>
      </c>
      <c r="S65" s="4">
        <f>'Baseline System Analysis'!S24-S34</f>
        <v>40365.725507971918</v>
      </c>
      <c r="T65" s="4">
        <f>'Baseline System Analysis'!T24-T34</f>
        <v>46319.14208245703</v>
      </c>
      <c r="U65" s="4">
        <f>'Baseline System Analysis'!U24-U34</f>
        <v>72017.14634172144</v>
      </c>
      <c r="V65" s="4">
        <f>'Baseline System Analysis'!V24-V34</f>
        <v>97715.150600985828</v>
      </c>
      <c r="W65" s="4">
        <f>'Baseline System Analysis'!W24-W34</f>
        <v>123413.15486025022</v>
      </c>
      <c r="X65" s="4">
        <f>'Baseline System Analysis'!X24-X34</f>
        <v>149111.1591195146</v>
      </c>
      <c r="Y65" s="4">
        <f>'Baseline System Analysis'!Y24-Y34</f>
        <v>174809.16337877902</v>
      </c>
      <c r="Z65" s="4">
        <f>'Baseline System Analysis'!Z24-Z34</f>
        <v>216970.30818468748</v>
      </c>
      <c r="AA65" s="4">
        <f>'Baseline System Analysis'!AA24-AA34</f>
        <v>259131.45299059595</v>
      </c>
      <c r="AB65" s="4">
        <f>'Baseline System Analysis'!AB24-AB34</f>
        <v>301292.59779650444</v>
      </c>
      <c r="AC65" s="4">
        <f>'Baseline System Analysis'!AC24-AC34</f>
        <v>343453.74260241294</v>
      </c>
      <c r="AD65" s="4">
        <f>'Baseline System Analysis'!AD24-AD34</f>
        <v>385614.88740832137</v>
      </c>
    </row>
    <row r="66" spans="1:30" x14ac:dyDescent="0.35">
      <c r="A66" s="72" t="s">
        <v>119</v>
      </c>
      <c r="B66" s="72" t="s">
        <v>31</v>
      </c>
      <c r="C66" s="18">
        <f>NPV('Cost Assumptions'!$B$3,D66:AD66)</f>
        <v>1321055.5390296972</v>
      </c>
      <c r="D66" s="4">
        <f>'Baseline System Analysis'!D25-D35</f>
        <v>5622.4102100812415</v>
      </c>
      <c r="E66" s="4">
        <f>'Baseline System Analysis'!E25-E35</f>
        <v>14393.85983468976</v>
      </c>
      <c r="F66" s="4">
        <f>'Baseline System Analysis'!F25-F35</f>
        <v>23165.309459298278</v>
      </c>
      <c r="G66" s="4">
        <f>'Baseline System Analysis'!G25-G35</f>
        <v>31936.759083906796</v>
      </c>
      <c r="H66" s="4">
        <f>'Baseline System Analysis'!H25-H35</f>
        <v>40708.208708515318</v>
      </c>
      <c r="I66" s="4">
        <f>'Baseline System Analysis'!I25-I35</f>
        <v>49479.658333123836</v>
      </c>
      <c r="J66" s="4">
        <f>'Baseline System Analysis'!J25-J35</f>
        <v>50100.767813827137</v>
      </c>
      <c r="K66" s="4">
        <f>'Baseline System Analysis'!K25-K35</f>
        <v>42005.097643810266</v>
      </c>
      <c r="L66" s="4">
        <f>'Baseline System Analysis'!L25-L35</f>
        <v>36559.84912417482</v>
      </c>
      <c r="M66" s="4">
        <f>'Baseline System Analysis'!M25-M35</f>
        <v>28878.881975194512</v>
      </c>
      <c r="N66" s="4">
        <f>'Baseline System Analysis'!N25-N35</f>
        <v>43852.895745431204</v>
      </c>
      <c r="O66" s="4">
        <f>'Baseline System Analysis'!O25-O35</f>
        <v>68682.535131868586</v>
      </c>
      <c r="P66" s="4">
        <f>'Baseline System Analysis'!P25-P35</f>
        <v>93386.152841495306</v>
      </c>
      <c r="Q66" s="4">
        <f>'Baseline System Analysis'!Q25-Q35</f>
        <v>118089.770551122</v>
      </c>
      <c r="R66" s="4">
        <f>'Baseline System Analysis'!R25-R35</f>
        <v>142793.3882607487</v>
      </c>
      <c r="S66" s="4">
        <f>'Baseline System Analysis'!S25-S35</f>
        <v>167497.00597037541</v>
      </c>
      <c r="T66" s="4">
        <f>'Baseline System Analysis'!T25-T35</f>
        <v>192200.62368000211</v>
      </c>
      <c r="U66" s="4">
        <f>'Baseline System Analysis'!U25-U35</f>
        <v>298834.12818596407</v>
      </c>
      <c r="V66" s="4">
        <f>'Baseline System Analysis'!V25-V35</f>
        <v>405467.63269192597</v>
      </c>
      <c r="W66" s="4">
        <f>'Baseline System Analysis'!W25-W35</f>
        <v>512101.13719788787</v>
      </c>
      <c r="X66" s="4">
        <f>'Baseline System Analysis'!X25-X35</f>
        <v>618734.64170384977</v>
      </c>
      <c r="Y66" s="4">
        <f>'Baseline System Analysis'!Y25-Y35</f>
        <v>725368.14620981168</v>
      </c>
      <c r="Z66" s="4">
        <f>'Baseline System Analysis'!Z25-Z35</f>
        <v>900315.21911398752</v>
      </c>
      <c r="AA66" s="4">
        <f>'Baseline System Analysis'!AA25-AA35</f>
        <v>1075262.2920181635</v>
      </c>
      <c r="AB66" s="4">
        <f>'Baseline System Analysis'!AB25-AB35</f>
        <v>1250209.3649223393</v>
      </c>
      <c r="AC66" s="4">
        <f>'Baseline System Analysis'!AC25-AC35</f>
        <v>1425156.4378265152</v>
      </c>
      <c r="AD66" s="4">
        <f>'Baseline System Analysis'!AD25-AD35</f>
        <v>1600103.510730691</v>
      </c>
    </row>
    <row r="67" spans="1:30" x14ac:dyDescent="0.35">
      <c r="A67" s="72" t="s">
        <v>24</v>
      </c>
      <c r="B67" s="72" t="s">
        <v>31</v>
      </c>
      <c r="C67" s="18">
        <f>NPV('Cost Assumptions'!$B$3,D67:AD67)</f>
        <v>1639421.6194281138</v>
      </c>
      <c r="D67" s="4">
        <f>SUM(D65:D66)</f>
        <v>6977.3757267394813</v>
      </c>
      <c r="E67" s="4">
        <f t="shared" ref="E67:AD67" si="15">SUM(E65:E66)</f>
        <v>17862.689571204995</v>
      </c>
      <c r="F67" s="4">
        <f t="shared" si="15"/>
        <v>28748.003415670511</v>
      </c>
      <c r="G67" s="4">
        <f t="shared" si="15"/>
        <v>39633.317260136027</v>
      </c>
      <c r="H67" s="4">
        <f t="shared" si="15"/>
        <v>50518.631104601547</v>
      </c>
      <c r="I67" s="4">
        <f t="shared" si="15"/>
        <v>61403.944949067067</v>
      </c>
      <c r="J67" s="4">
        <f t="shared" si="15"/>
        <v>62174.737910159878</v>
      </c>
      <c r="K67" s="4">
        <f t="shared" si="15"/>
        <v>52128.062120712566</v>
      </c>
      <c r="L67" s="4">
        <f t="shared" si="15"/>
        <v>45370.542938130639</v>
      </c>
      <c r="M67" s="4">
        <f t="shared" si="15"/>
        <v>35838.510990855815</v>
      </c>
      <c r="N67" s="4">
        <f t="shared" si="15"/>
        <v>54421.167949072056</v>
      </c>
      <c r="O67" s="4">
        <f t="shared" si="15"/>
        <v>85234.594341900025</v>
      </c>
      <c r="P67" s="4">
        <f t="shared" si="15"/>
        <v>115891.62862601186</v>
      </c>
      <c r="Q67" s="4">
        <f t="shared" si="15"/>
        <v>146548.66291012368</v>
      </c>
      <c r="R67" s="4">
        <f t="shared" si="15"/>
        <v>177205.69719423552</v>
      </c>
      <c r="S67" s="4">
        <f t="shared" si="15"/>
        <v>207862.73147834733</v>
      </c>
      <c r="T67" s="4">
        <f t="shared" si="15"/>
        <v>238519.76576245914</v>
      </c>
      <c r="U67" s="4">
        <f t="shared" si="15"/>
        <v>370851.27452768548</v>
      </c>
      <c r="V67" s="4">
        <f t="shared" si="15"/>
        <v>503182.78329291183</v>
      </c>
      <c r="W67" s="4">
        <f t="shared" si="15"/>
        <v>635514.29205813806</v>
      </c>
      <c r="X67" s="4">
        <f t="shared" si="15"/>
        <v>767845.80082336441</v>
      </c>
      <c r="Y67" s="4">
        <f t="shared" si="15"/>
        <v>900177.30958859064</v>
      </c>
      <c r="Z67" s="4">
        <f t="shared" si="15"/>
        <v>1117285.5272986749</v>
      </c>
      <c r="AA67" s="4">
        <f t="shared" si="15"/>
        <v>1334393.7450087594</v>
      </c>
      <c r="AB67" s="4">
        <f t="shared" si="15"/>
        <v>1551501.9627188437</v>
      </c>
      <c r="AC67" s="4">
        <f t="shared" si="15"/>
        <v>1768610.1804289282</v>
      </c>
      <c r="AD67" s="4">
        <f t="shared" si="15"/>
        <v>1985718.3981390125</v>
      </c>
    </row>
    <row r="68" spans="1:30" x14ac:dyDescent="0.35">
      <c r="A68" s="72"/>
      <c r="B68" s="72"/>
      <c r="C68" s="72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</row>
    <row r="69" spans="1:30" x14ac:dyDescent="0.35">
      <c r="A69" s="72" t="s">
        <v>120</v>
      </c>
      <c r="B69" s="72" t="s">
        <v>31</v>
      </c>
      <c r="C69" s="18">
        <f>NPV('Cost Assumptions'!$B$3,D69:AD69)</f>
        <v>24322736.867207415</v>
      </c>
      <c r="D69" s="4">
        <f>'Baseline System Analysis'!D28-D32</f>
        <v>160311.2620318876</v>
      </c>
      <c r="E69" s="4">
        <f>'Baseline System Analysis'!E28-E32</f>
        <v>426681.41358302307</v>
      </c>
      <c r="F69" s="4">
        <f>'Baseline System Analysis'!F28-F32</f>
        <v>622797.58403751405</v>
      </c>
      <c r="G69" s="4">
        <f>'Baseline System Analysis'!G28-G32</f>
        <v>833710.68965832237</v>
      </c>
      <c r="H69" s="4">
        <f>'Baseline System Analysis'!H28-H32</f>
        <v>1064544.9637495263</v>
      </c>
      <c r="I69" s="4">
        <f>'Baseline System Analysis'!I28-I32</f>
        <v>1155248.1483230039</v>
      </c>
      <c r="J69" s="4">
        <f>'Baseline System Analysis'!J28-J32</f>
        <v>1567795.6535710837</v>
      </c>
      <c r="K69" s="4">
        <f>'Baseline System Analysis'!K28-K32</f>
        <v>1347745.4554885479</v>
      </c>
      <c r="L69" s="4">
        <f>'Baseline System Analysis'!L28-L32</f>
        <v>1143199.8672408643</v>
      </c>
      <c r="M69" s="4">
        <f>'Baseline System Analysis'!M28-M32</f>
        <v>1340230.0479167867</v>
      </c>
      <c r="N69" s="4">
        <f>'Baseline System Analysis'!N28-N32</f>
        <v>1211871.2277846751</v>
      </c>
      <c r="O69" s="4">
        <f>'Baseline System Analysis'!O28-O32</f>
        <v>1844840.0090543826</v>
      </c>
      <c r="P69" s="4">
        <f>'Baseline System Analysis'!P28-P32</f>
        <v>2356895.0256503327</v>
      </c>
      <c r="Q69" s="4">
        <f>'Baseline System Analysis'!Q28-Q32</f>
        <v>2752240.7792296447</v>
      </c>
      <c r="R69" s="4">
        <f>'Baseline System Analysis'!R28-R32</f>
        <v>3112959.3920374792</v>
      </c>
      <c r="S69" s="4">
        <f>'Baseline System Analysis'!S28-S32</f>
        <v>3866030.048087935</v>
      </c>
      <c r="T69" s="4">
        <f>'Baseline System Analysis'!T28-T32</f>
        <v>4800043.3764840001</v>
      </c>
      <c r="U69" s="4">
        <f>'Baseline System Analysis'!U28-U32</f>
        <v>5605356.4974824116</v>
      </c>
      <c r="V69" s="4">
        <f>'Baseline System Analysis'!V28-V32</f>
        <v>6874181.4866932966</v>
      </c>
      <c r="W69" s="4">
        <f>'Baseline System Analysis'!W28-W32</f>
        <v>7999576.6636784412</v>
      </c>
      <c r="X69" s="4">
        <f>'Baseline System Analysis'!X28-X32</f>
        <v>9754283.3840660583</v>
      </c>
      <c r="Y69" s="4">
        <f>'Baseline System Analysis'!Y28-Y32</f>
        <v>11535617.976796627</v>
      </c>
      <c r="Z69" s="4">
        <f>'Baseline System Analysis'!Z28-Z32</f>
        <v>13419029.134060645</v>
      </c>
      <c r="AA69" s="4">
        <f>'Baseline System Analysis'!AA28-AA32</f>
        <v>15550241.498579893</v>
      </c>
      <c r="AB69" s="4">
        <f>'Baseline System Analysis'!AB28-AB32</f>
        <v>17751814.256896835</v>
      </c>
      <c r="AC69" s="4">
        <f>'Baseline System Analysis'!AC28-AC32</f>
        <v>19753092.153455924</v>
      </c>
      <c r="AD69" s="4">
        <f>'Baseline System Analysis'!AD28-AD32</f>
        <v>21673528.399512697</v>
      </c>
    </row>
    <row r="70" spans="1:30" x14ac:dyDescent="0.35">
      <c r="A70" s="72" t="s">
        <v>121</v>
      </c>
      <c r="B70" s="72" t="s">
        <v>31</v>
      </c>
      <c r="C70" s="18">
        <f>NPV('Cost Assumptions'!$B$3,D70:AD70)</f>
        <v>111616614.01387709</v>
      </c>
      <c r="D70" s="4">
        <f>'Baseline System Analysis'!D29-D33</f>
        <v>903346.68264248176</v>
      </c>
      <c r="E70" s="4">
        <f>'Baseline System Analysis'!E29-E33</f>
        <v>2253380.2014470203</v>
      </c>
      <c r="F70" s="4">
        <f>'Baseline System Analysis'!F29-F33</f>
        <v>3310518.2522157584</v>
      </c>
      <c r="G70" s="4">
        <f>'Baseline System Analysis'!G29-G33</f>
        <v>4447479.3478986584</v>
      </c>
      <c r="H70" s="4">
        <f>'Baseline System Analysis'!H29-H33</f>
        <v>5587189.795765399</v>
      </c>
      <c r="I70" s="4">
        <f>'Baseline System Analysis'!I29-I33</f>
        <v>5454549.1605001325</v>
      </c>
      <c r="J70" s="4">
        <f>'Baseline System Analysis'!J29-J33</f>
        <v>7543147.8061243081</v>
      </c>
      <c r="K70" s="4">
        <f>'Baseline System Analysis'!K29-K33</f>
        <v>6412592.364404032</v>
      </c>
      <c r="L70" s="4">
        <f>'Baseline System Analysis'!L29-L33</f>
        <v>5385232.8797742622</v>
      </c>
      <c r="M70" s="4">
        <f>'Baseline System Analysis'!M29-M33</f>
        <v>6340117.1212563487</v>
      </c>
      <c r="N70" s="4">
        <f>'Baseline System Analysis'!N29-N33</f>
        <v>6361112.9189538537</v>
      </c>
      <c r="O70" s="4">
        <f>'Baseline System Analysis'!O29-O33</f>
        <v>8895771.1264487375</v>
      </c>
      <c r="P70" s="4">
        <f>'Baseline System Analysis'!P29-P33</f>
        <v>11481103.835917845</v>
      </c>
      <c r="Q70" s="4">
        <f>'Baseline System Analysis'!Q29-Q33</f>
        <v>12843987.910857875</v>
      </c>
      <c r="R70" s="4">
        <f>'Baseline System Analysis'!R29-R33</f>
        <v>13698596.18827603</v>
      </c>
      <c r="S70" s="4">
        <f>'Baseline System Analysis'!S29-S33</f>
        <v>17199347.660875205</v>
      </c>
      <c r="T70" s="4">
        <f>'Baseline System Analysis'!T29-T33</f>
        <v>21372792.810114369</v>
      </c>
      <c r="U70" s="4">
        <f>'Baseline System Analysis'!U29-U33</f>
        <v>24257449.061312743</v>
      </c>
      <c r="V70" s="4">
        <f>'Baseline System Analysis'!V29-V33</f>
        <v>29703520.689742472</v>
      </c>
      <c r="W70" s="4">
        <f>'Baseline System Analysis'!W29-W33</f>
        <v>34774447.076135397</v>
      </c>
      <c r="X70" s="4">
        <f>'Baseline System Analysis'!X29-X33</f>
        <v>42273498.74532187</v>
      </c>
      <c r="Y70" s="4">
        <f>'Baseline System Analysis'!Y29-Y33</f>
        <v>50410415.488010727</v>
      </c>
      <c r="Z70" s="4">
        <f>'Baseline System Analysis'!Z29-Z33</f>
        <v>59093268.855131164</v>
      </c>
      <c r="AA70" s="4">
        <f>'Baseline System Analysis'!AA29-AA33</f>
        <v>69213486.158677086</v>
      </c>
      <c r="AB70" s="4">
        <f>'Baseline System Analysis'!AB29-AB33</f>
        <v>79553492.093079031</v>
      </c>
      <c r="AC70" s="4">
        <f>'Baseline System Analysis'!AC29-AC33</f>
        <v>89158920.062468082</v>
      </c>
      <c r="AD70" s="4">
        <f>'Baseline System Analysis'!AD29-AD33</f>
        <v>98364469.734937131</v>
      </c>
    </row>
    <row r="71" spans="1:30" x14ac:dyDescent="0.35">
      <c r="A71" s="72" t="s">
        <v>24</v>
      </c>
      <c r="B71" s="72" t="s">
        <v>31</v>
      </c>
      <c r="C71" s="18">
        <f>NPV('Cost Assumptions'!$B$3,D71:AD71)</f>
        <v>135939350.88108453</v>
      </c>
      <c r="D71" s="4">
        <f>SUM(D69:D70)</f>
        <v>1063657.9446743694</v>
      </c>
      <c r="E71" s="4">
        <f t="shared" ref="E71:AD71" si="16">SUM(E69:E70)</f>
        <v>2680061.6150300433</v>
      </c>
      <c r="F71" s="4">
        <f t="shared" si="16"/>
        <v>3933315.8362532724</v>
      </c>
      <c r="G71" s="4">
        <f t="shared" si="16"/>
        <v>5281190.0375569807</v>
      </c>
      <c r="H71" s="4">
        <f t="shared" si="16"/>
        <v>6651734.7595149251</v>
      </c>
      <c r="I71" s="4">
        <f t="shared" si="16"/>
        <v>6609797.3088231366</v>
      </c>
      <c r="J71" s="4">
        <f t="shared" si="16"/>
        <v>9110943.4596953914</v>
      </c>
      <c r="K71" s="4">
        <f t="shared" si="16"/>
        <v>7760337.8198925797</v>
      </c>
      <c r="L71" s="4">
        <f t="shared" si="16"/>
        <v>6528432.747015126</v>
      </c>
      <c r="M71" s="4">
        <f t="shared" si="16"/>
        <v>7680347.1691731354</v>
      </c>
      <c r="N71" s="4">
        <f t="shared" si="16"/>
        <v>7572984.1467385292</v>
      </c>
      <c r="O71" s="4">
        <f t="shared" si="16"/>
        <v>10740611.135503121</v>
      </c>
      <c r="P71" s="4">
        <f t="shared" si="16"/>
        <v>13837998.861568179</v>
      </c>
      <c r="Q71" s="4">
        <f t="shared" si="16"/>
        <v>15596228.69008752</v>
      </c>
      <c r="R71" s="4">
        <f t="shared" si="16"/>
        <v>16811555.580313511</v>
      </c>
      <c r="S71" s="4">
        <f t="shared" si="16"/>
        <v>21065377.708963141</v>
      </c>
      <c r="T71" s="4">
        <f t="shared" si="16"/>
        <v>26172836.186598368</v>
      </c>
      <c r="U71" s="4">
        <f t="shared" si="16"/>
        <v>29862805.558795154</v>
      </c>
      <c r="V71" s="4">
        <f t="shared" si="16"/>
        <v>36577702.176435769</v>
      </c>
      <c r="W71" s="4">
        <f t="shared" si="16"/>
        <v>42774023.739813834</v>
      </c>
      <c r="X71" s="4">
        <f t="shared" si="16"/>
        <v>52027782.12938793</v>
      </c>
      <c r="Y71" s="4">
        <f t="shared" si="16"/>
        <v>61946033.464807354</v>
      </c>
      <c r="Z71" s="4">
        <f t="shared" si="16"/>
        <v>72512297.989191815</v>
      </c>
      <c r="AA71" s="4">
        <f t="shared" si="16"/>
        <v>84763727.657256976</v>
      </c>
      <c r="AB71" s="4">
        <f t="shared" si="16"/>
        <v>97305306.349975869</v>
      </c>
      <c r="AC71" s="4">
        <f t="shared" si="16"/>
        <v>108912012.21592401</v>
      </c>
      <c r="AD71" s="4">
        <f t="shared" si="16"/>
        <v>120037998.13444982</v>
      </c>
    </row>
    <row r="73" spans="1:30" x14ac:dyDescent="0.35">
      <c r="A73" s="72" t="s">
        <v>117</v>
      </c>
      <c r="B73" s="72" t="s">
        <v>144</v>
      </c>
      <c r="C73" s="18">
        <f>NPV('Cost Assumptions'!$B$3,D73:AD73)</f>
        <v>604071521.67078972</v>
      </c>
      <c r="D73" s="53">
        <f>ABS((D49*D60*1000*'Cost Assumptions'!$B$6)/'Cost Assumptions'!$B$14)</f>
        <v>18647829.000037532</v>
      </c>
      <c r="E73" s="53">
        <f>ABS((E49*E60*1000*'Cost Assumptions'!$B$6)/'Cost Assumptions'!$B$14)</f>
        <v>25415845.514199678</v>
      </c>
      <c r="F73" s="53">
        <f>ABS((F49*F60*1000*'Cost Assumptions'!$B$6)/'Cost Assumptions'!$B$14)</f>
        <v>32510607.960944917</v>
      </c>
      <c r="G73" s="53">
        <f>ABS((G49*G60*1000*'Cost Assumptions'!$B$6)/'Cost Assumptions'!$B$14)</f>
        <v>39944223.626581036</v>
      </c>
      <c r="H73" s="53">
        <f>ABS((H49*H60*1000*'Cost Assumptions'!$B$6)/'Cost Assumptions'!$B$14)</f>
        <v>47729200.945523374</v>
      </c>
      <c r="I73" s="53">
        <f>ABS((I49*I60*1000*'Cost Assumptions'!$B$6)/'Cost Assumptions'!$B$14)</f>
        <v>55878461.990646206</v>
      </c>
      <c r="J73" s="53">
        <f>ABS((J49*J60*1000*'Cost Assumptions'!$B$6)/'Cost Assumptions'!$B$14)</f>
        <v>64405355.337434217</v>
      </c>
      <c r="K73" s="53">
        <f>ABS((K49*K60*1000*'Cost Assumptions'!$B$6)/'Cost Assumptions'!$B$14)</f>
        <v>63686624.103927888</v>
      </c>
      <c r="L73" s="53">
        <f>ABS((L49*L60*1000*'Cost Assumptions'!$B$6)/'Cost Assumptions'!$B$14)</f>
        <v>62891702.961660333</v>
      </c>
      <c r="M73" s="53">
        <f>ABS((M49*M60*1000*'Cost Assumptions'!$B$6)/'Cost Assumptions'!$B$14)</f>
        <v>57483321.735769443</v>
      </c>
      <c r="N73" s="53">
        <f>ABS((N49*N60*1000*'Cost Assumptions'!$B$6)/'Cost Assumptions'!$B$14)</f>
        <v>63272543.040563382</v>
      </c>
      <c r="O73" s="53">
        <f>ABS((O49*O60*1000*'Cost Assumptions'!$B$6)/'Cost Assumptions'!$B$14)</f>
        <v>76459267.95213297</v>
      </c>
      <c r="P73" s="53">
        <f>ABS((P49*P60*1000*'Cost Assumptions'!$B$6)/'Cost Assumptions'!$B$14)</f>
        <v>82539097.041728646</v>
      </c>
      <c r="Q73" s="53">
        <f>ABS((Q49*Q60*1000*'Cost Assumptions'!$B$6)/'Cost Assumptions'!$B$14)</f>
        <v>88875130.543334037</v>
      </c>
      <c r="R73" s="53">
        <f>ABS((R49*R60*1000*'Cost Assumptions'!$B$6)/'Cost Assumptions'!$B$14)</f>
        <v>95476378.78436859</v>
      </c>
      <c r="S73" s="53">
        <f>ABS((S49*S60*1000*'Cost Assumptions'!$B$6)/'Cost Assumptions'!$B$14)</f>
        <v>102352142.48086531</v>
      </c>
      <c r="T73" s="53">
        <f>ABS((T49*T60*1000*'Cost Assumptions'!$B$6)/'Cost Assumptions'!$B$14)</f>
        <v>109512021.62544663</v>
      </c>
      <c r="U73" s="53">
        <f>ABS((U49*U60*1000*'Cost Assumptions'!$B$6)/'Cost Assumptions'!$B$14)</f>
        <v>116965924.63820647</v>
      </c>
      <c r="V73" s="53">
        <f>ABS((V49*V60*1000*'Cost Assumptions'!$B$6)/'Cost Assumptions'!$B$14)</f>
        <v>124724077.78808841</v>
      </c>
      <c r="W73" s="53">
        <f>ABS((W49*W60*1000*'Cost Assumptions'!$B$6)/'Cost Assumptions'!$B$14)</f>
        <v>132797034.89256556</v>
      </c>
      <c r="X73" s="53">
        <f>ABS((X49*X60*1000*'Cost Assumptions'!$B$6)/'Cost Assumptions'!$B$14)</f>
        <v>141195687.30364901</v>
      </c>
      <c r="Y73" s="53">
        <f>ABS((Y49*Y60*1000*'Cost Assumptions'!$B$6)/'Cost Assumptions'!$B$14)</f>
        <v>149931274.18847877</v>
      </c>
      <c r="Z73" s="53">
        <f>ABS((Z49*Z60*1000*'Cost Assumptions'!$B$6)/'Cost Assumptions'!$B$14)</f>
        <v>159015393.11298528</v>
      </c>
      <c r="AA73" s="53">
        <f>ABS((AA49*AA60*1000*'Cost Assumptions'!$B$6)/'Cost Assumptions'!$B$14)</f>
        <v>168460010.93734926</v>
      </c>
      <c r="AB73" s="53">
        <f>ABS((AB49*AB60*1000*'Cost Assumptions'!$B$6)/'Cost Assumptions'!$B$14)</f>
        <v>178277475.03223586</v>
      </c>
      <c r="AC73" s="53">
        <f>ABS((AC49*AC60*1000*'Cost Assumptions'!$B$6)/'Cost Assumptions'!$B$14)</f>
        <v>188480524.82503095</v>
      </c>
      <c r="AD73" s="53">
        <f>ABS((AD49*AD60*1000*'Cost Assumptions'!$B$6)/'Cost Assumptions'!$B$14)</f>
        <v>199082303.68557045</v>
      </c>
    </row>
    <row r="74" spans="1:30" x14ac:dyDescent="0.35">
      <c r="A74" s="72" t="s">
        <v>119</v>
      </c>
      <c r="B74" s="72" t="s">
        <v>144</v>
      </c>
      <c r="C74" s="18">
        <f>NPV('Cost Assumptions'!$B$3,D74:AD74)</f>
        <v>2488552681.7462292</v>
      </c>
      <c r="D74" s="53">
        <f>ABS((D49*D62*1000*'Cost Assumptions'!$B$7)/'Cost Assumptions'!$B$14)</f>
        <v>76822202.673012555</v>
      </c>
      <c r="E74" s="53">
        <f>ABS((E49*E62*1000*'Cost Assumptions'!$B$7)/'Cost Assumptions'!$B$14)</f>
        <v>104703943.56329069</v>
      </c>
      <c r="F74" s="53">
        <f>ABS((F49*F62*1000*'Cost Assumptions'!$B$7)/'Cost Assumptions'!$B$14)</f>
        <v>133931757.62141208</v>
      </c>
      <c r="G74" s="53">
        <f>ABS((G49*G62*1000*'Cost Assumptions'!$B$7)/'Cost Assumptions'!$B$14)</f>
        <v>164555522.41771251</v>
      </c>
      <c r="H74" s="53">
        <f>ABS((H49*H62*1000*'Cost Assumptions'!$B$7)/'Cost Assumptions'!$B$14)</f>
        <v>196626768.10531458</v>
      </c>
      <c r="I74" s="53">
        <f>ABS((I49*I62*1000*'Cost Assumptions'!$B$7)/'Cost Assumptions'!$B$14)</f>
        <v>230198728.87578559</v>
      </c>
      <c r="J74" s="53">
        <f>ABS((J49*J62*1000*'Cost Assumptions'!$B$7)/'Cost Assumptions'!$B$14)</f>
        <v>265326395.95471439</v>
      </c>
      <c r="K74" s="53">
        <f>ABS((K49*K62*1000*'Cost Assumptions'!$B$7)/'Cost Assumptions'!$B$14)</f>
        <v>262365487.39598951</v>
      </c>
      <c r="L74" s="53">
        <f>ABS((L49*L62*1000*'Cost Assumptions'!$B$7)/'Cost Assumptions'!$B$14)</f>
        <v>259090704.41185674</v>
      </c>
      <c r="M74" s="53">
        <f>ABS((M49*M62*1000*'Cost Assumptions'!$B$7)/'Cost Assumptions'!$B$14)</f>
        <v>236810161.26297492</v>
      </c>
      <c r="N74" s="53">
        <f>ABS((N49*N62*1000*'Cost Assumptions'!$B$7)/'Cost Assumptions'!$B$14)</f>
        <v>260659625.58372283</v>
      </c>
      <c r="O74" s="53">
        <f>ABS((O49*O62*1000*'Cost Assumptions'!$B$7)/'Cost Assumptions'!$B$14)</f>
        <v>314984086.28892469</v>
      </c>
      <c r="P74" s="53">
        <f>ABS((P49*P62*1000*'Cost Assumptions'!$B$7)/'Cost Assumptions'!$B$14)</f>
        <v>340030747.88890272</v>
      </c>
      <c r="Q74" s="53">
        <f>ABS((Q49*Q62*1000*'Cost Assumptions'!$B$7)/'Cost Assumptions'!$B$14)</f>
        <v>366132877.51494914</v>
      </c>
      <c r="R74" s="53">
        <f>ABS((R49*R62*1000*'Cost Assumptions'!$B$7)/'Cost Assumptions'!$B$14)</f>
        <v>393327594.40486717</v>
      </c>
      <c r="S74" s="53">
        <f>ABS((S49*S62*1000*'Cost Assumptions'!$B$7)/'Cost Assumptions'!$B$14)</f>
        <v>421653214.09083438</v>
      </c>
      <c r="T74" s="53">
        <f>ABS((T49*T62*1000*'Cost Assumptions'!$B$7)/'Cost Assumptions'!$B$14)</f>
        <v>451149285.01459694</v>
      </c>
      <c r="U74" s="53">
        <f>ABS((U49*U62*1000*'Cost Assumptions'!$B$7)/'Cost Assumptions'!$B$14)</f>
        <v>481856626.22574079</v>
      </c>
      <c r="V74" s="53">
        <f>ABS((V49*V62*1000*'Cost Assumptions'!$B$7)/'Cost Assumptions'!$B$14)</f>
        <v>513817366.1943078</v>
      </c>
      <c r="W74" s="53">
        <f>ABS((W49*W62*1000*'Cost Assumptions'!$B$7)/'Cost Assumptions'!$B$14)</f>
        <v>547074982.769912</v>
      </c>
      <c r="X74" s="53">
        <f>ABS((X49*X62*1000*'Cost Assumptions'!$B$7)/'Cost Assumptions'!$B$14)</f>
        <v>581674344.3204248</v>
      </c>
      <c r="Y74" s="53">
        <f>ABS((Y49*Y62*1000*'Cost Assumptions'!$B$7)/'Cost Assumptions'!$B$14)</f>
        <v>617661752.08423233</v>
      </c>
      <c r="Z74" s="53">
        <f>ABS((Z49*Z62*1000*'Cost Assumptions'!$B$7)/'Cost Assumptions'!$B$14)</f>
        <v>655084983.77102971</v>
      </c>
      <c r="AA74" s="53">
        <f>ABS((AA49*AA62*1000*'Cost Assumptions'!$B$7)/'Cost Assumptions'!$B$14)</f>
        <v>693993338.44711447</v>
      </c>
      <c r="AB74" s="53">
        <f>ABS((AB49*AB62*1000*'Cost Assumptions'!$B$7)/'Cost Assumptions'!$B$14)</f>
        <v>734437682.74214637</v>
      </c>
      <c r="AC74" s="53">
        <f>ABS((AC49*AC62*1000*'Cost Assumptions'!$B$7)/'Cost Assumptions'!$B$14)</f>
        <v>776470498.41540062</v>
      </c>
      <c r="AD74" s="53">
        <f>ABS((AD49*AD62*1000*'Cost Assumptions'!$B$7)/'Cost Assumptions'!$B$14)</f>
        <v>820145931.32060277</v>
      </c>
    </row>
    <row r="75" spans="1:30" x14ac:dyDescent="0.35">
      <c r="A75" s="72" t="s">
        <v>24</v>
      </c>
      <c r="B75" s="72" t="s">
        <v>144</v>
      </c>
      <c r="C75" s="18">
        <f>NPV('Cost Assumptions'!$B$3,D75:AD75)</f>
        <v>3092624203.4170194</v>
      </c>
      <c r="D75" s="53">
        <f>SUM(D73:D74)</f>
        <v>95470031.673050091</v>
      </c>
      <c r="E75" s="53">
        <f t="shared" ref="E75:AD75" si="17">SUM(E73:E74)</f>
        <v>130119789.07749036</v>
      </c>
      <c r="F75" s="53">
        <f t="shared" si="17"/>
        <v>166442365.58235699</v>
      </c>
      <c r="G75" s="53">
        <f t="shared" si="17"/>
        <v>204499746.04429355</v>
      </c>
      <c r="H75" s="53">
        <f t="shared" si="17"/>
        <v>244355969.05083796</v>
      </c>
      <c r="I75" s="53">
        <f t="shared" si="17"/>
        <v>286077190.86643177</v>
      </c>
      <c r="J75" s="53">
        <f t="shared" si="17"/>
        <v>329731751.29214859</v>
      </c>
      <c r="K75" s="53">
        <f t="shared" si="17"/>
        <v>326052111.49991739</v>
      </c>
      <c r="L75" s="53">
        <f t="shared" si="17"/>
        <v>321982407.3735171</v>
      </c>
      <c r="M75" s="53">
        <f t="shared" si="17"/>
        <v>294293482.99874437</v>
      </c>
      <c r="N75" s="53">
        <f t="shared" si="17"/>
        <v>323932168.62428623</v>
      </c>
      <c r="O75" s="53">
        <f t="shared" si="17"/>
        <v>391443354.24105763</v>
      </c>
      <c r="P75" s="53">
        <f t="shared" si="17"/>
        <v>422569844.9306314</v>
      </c>
      <c r="Q75" s="53">
        <f t="shared" si="17"/>
        <v>455008008.05828321</v>
      </c>
      <c r="R75" s="53">
        <f t="shared" si="17"/>
        <v>488803973.18923575</v>
      </c>
      <c r="S75" s="53">
        <f t="shared" si="17"/>
        <v>524005356.57169968</v>
      </c>
      <c r="T75" s="53">
        <f t="shared" si="17"/>
        <v>560661306.64004362</v>
      </c>
      <c r="U75" s="53">
        <f t="shared" si="17"/>
        <v>598822550.86394727</v>
      </c>
      <c r="V75" s="53">
        <f t="shared" si="17"/>
        <v>638541443.98239625</v>
      </c>
      <c r="W75" s="53">
        <f t="shared" si="17"/>
        <v>679872017.66247761</v>
      </c>
      <c r="X75" s="53">
        <f t="shared" si="17"/>
        <v>722870031.62407374</v>
      </c>
      <c r="Y75" s="53">
        <f t="shared" si="17"/>
        <v>767593026.27271104</v>
      </c>
      <c r="Z75" s="53">
        <f t="shared" si="17"/>
        <v>814100376.88401496</v>
      </c>
      <c r="AA75" s="53">
        <f t="shared" si="17"/>
        <v>862453349.38446379</v>
      </c>
      <c r="AB75" s="53">
        <f t="shared" si="17"/>
        <v>912715157.77438223</v>
      </c>
      <c r="AC75" s="53">
        <f t="shared" si="17"/>
        <v>964951023.24043155</v>
      </c>
      <c r="AD75" s="53">
        <f t="shared" si="17"/>
        <v>1019228235.0061733</v>
      </c>
    </row>
    <row r="76" spans="1:30" x14ac:dyDescent="0.35">
      <c r="A76" s="72"/>
      <c r="B76" s="72"/>
      <c r="C76" s="18"/>
      <c r="D76" s="53"/>
      <c r="E76" s="53"/>
      <c r="F76" s="53"/>
      <c r="G76" s="53"/>
      <c r="H76" s="53"/>
      <c r="I76" s="53"/>
      <c r="J76" s="53"/>
      <c r="K76" s="53"/>
      <c r="L76" s="53"/>
      <c r="M76" s="53"/>
      <c r="N76" s="53"/>
      <c r="O76" s="53"/>
      <c r="P76" s="53"/>
      <c r="Q76" s="53"/>
      <c r="R76" s="53"/>
      <c r="S76" s="53"/>
      <c r="T76" s="53"/>
      <c r="U76" s="53"/>
      <c r="V76" s="53"/>
      <c r="W76" s="53"/>
      <c r="X76" s="53"/>
      <c r="Y76" s="53"/>
      <c r="Z76" s="53"/>
      <c r="AA76" s="53"/>
      <c r="AB76" s="53"/>
      <c r="AC76" s="53"/>
      <c r="AD76" s="53"/>
    </row>
    <row r="77" spans="1:30" x14ac:dyDescent="0.35">
      <c r="A77" s="72" t="s">
        <v>117</v>
      </c>
      <c r="B77" s="72" t="s">
        <v>152</v>
      </c>
      <c r="C77" s="18">
        <f>NPV('Cost Assumptions'!$B$3,D77:AD77)</f>
        <v>54484024.976692922</v>
      </c>
      <c r="D77" s="53">
        <f>ABS(D50)*D61*1000*'Cost Assumptions'!$B$6*'Cost Assumptions'!$B$13</f>
        <v>4713071.2637831299</v>
      </c>
      <c r="E77" s="53">
        <f>ABS(E50)*E61*1000*'Cost Assumptions'!$B$6*'Cost Assumptions'!$B$13</f>
        <v>4854780.3021121696</v>
      </c>
      <c r="F77" s="53">
        <f>ABS(F50)*F61*1000*'Cost Assumptions'!$B$6*'Cost Assumptions'!$B$13</f>
        <v>4987627.097833476</v>
      </c>
      <c r="G77" s="53">
        <f>ABS(G50)*G61*1000*'Cost Assumptions'!$B$6*'Cost Assumptions'!$B$13</f>
        <v>5124073.8166971207</v>
      </c>
      <c r="H77" s="53">
        <f>ABS(H50)*H61*1000*'Cost Assumptions'!$B$6*'Cost Assumptions'!$B$13</f>
        <v>5264520.128047714</v>
      </c>
      <c r="I77" s="53">
        <f>ABS(I50)*I61*1000*'Cost Assumptions'!$B$6*'Cost Assumptions'!$B$13</f>
        <v>5410420.9805764426</v>
      </c>
      <c r="J77" s="53">
        <f>ABS(J50)*J61*1000*'Cost Assumptions'!$B$6*'Cost Assumptions'!$B$13</f>
        <v>5559823.5636425056</v>
      </c>
      <c r="K77" s="53">
        <f>ABS(K50)*K61*1000*'Cost Assumptions'!$B$6*'Cost Assumptions'!$B$13</f>
        <v>5689306.7367060641</v>
      </c>
      <c r="L77" s="53">
        <f>ABS(L50)*L61*1000*'Cost Assumptions'!$B$6*'Cost Assumptions'!$B$13</f>
        <v>5821564.1511433069</v>
      </c>
      <c r="M77" s="53">
        <f>ABS(M50)*M61*1000*'Cost Assumptions'!$B$6*'Cost Assumptions'!$B$13</f>
        <v>5956674.4059546832</v>
      </c>
      <c r="N77" s="53">
        <f>ABS(N50)*N61*1000*'Cost Assumptions'!$B$6*'Cost Assumptions'!$B$13</f>
        <v>6122627.9367091656</v>
      </c>
      <c r="O77" s="53">
        <f>ABS(O50)*O61*1000*'Cost Assumptions'!$B$6*'Cost Assumptions'!$B$13</f>
        <v>6293021.6037771432</v>
      </c>
      <c r="P77" s="53">
        <f>ABS(P50)*P61*1000*'Cost Assumptions'!$B$6*'Cost Assumptions'!$B$13</f>
        <v>6468467.1265546158</v>
      </c>
      <c r="Q77" s="53">
        <f>ABS(Q50)*Q61*1000*'Cost Assumptions'!$B$6*'Cost Assumptions'!$B$13</f>
        <v>6647898.6345921615</v>
      </c>
      <c r="R77" s="53">
        <f>ABS(R50)*R61*1000*'Cost Assumptions'!$B$6*'Cost Assumptions'!$B$13</f>
        <v>6832100.919797672</v>
      </c>
      <c r="S77" s="53">
        <f>ABS(S50)*S61*1000*'Cost Assumptions'!$B$6*'Cost Assumptions'!$B$13</f>
        <v>7021378.1753657013</v>
      </c>
      <c r="T77" s="53">
        <f>ABS(T50)*T61*1000*'Cost Assumptions'!$B$6*'Cost Assumptions'!$B$13</f>
        <v>7215870.6087989816</v>
      </c>
      <c r="U77" s="53">
        <f>ABS(U50)*U61*1000*'Cost Assumptions'!$B$6*'Cost Assumptions'!$B$13</f>
        <v>7413357.7950882623</v>
      </c>
      <c r="V77" s="53">
        <f>ABS(V50)*V61*1000*'Cost Assumptions'!$B$6*'Cost Assumptions'!$B$13</f>
        <v>7615657.0342349801</v>
      </c>
      <c r="W77" s="53">
        <f>ABS(W50)*W61*1000*'Cost Assumptions'!$B$6*'Cost Assumptions'!$B$13</f>
        <v>7822891.4532366553</v>
      </c>
      <c r="X77" s="53">
        <f>ABS(X50)*X61*1000*'Cost Assumptions'!$B$6*'Cost Assumptions'!$B$13</f>
        <v>8035215.3542225519</v>
      </c>
      <c r="Y77" s="53">
        <f>ABS(Y50)*Y61*1000*'Cost Assumptions'!$B$6*'Cost Assumptions'!$B$13</f>
        <v>8249946.8842384797</v>
      </c>
      <c r="Z77" s="53">
        <f>ABS(Z50)*Z61*1000*'Cost Assumptions'!$B$6*'Cost Assumptions'!$B$13</f>
        <v>8469838.866898546</v>
      </c>
      <c r="AA77" s="53">
        <f>ABS(AA50)*AA61*1000*'Cost Assumptions'!$B$6*'Cost Assumptions'!$B$13</f>
        <v>8694651.4301838931</v>
      </c>
      <c r="AB77" s="53">
        <f>ABS(AB50)*AB61*1000*'Cost Assumptions'!$B$6*'Cost Assumptions'!$B$13</f>
        <v>8924859.2017509155</v>
      </c>
      <c r="AC77" s="53">
        <f>ABS(AC50)*AC61*1000*'Cost Assumptions'!$B$6*'Cost Assumptions'!$B$13</f>
        <v>9157257.8220166732</v>
      </c>
      <c r="AD77" s="53">
        <f>ABS(AD50)*AD61*1000*'Cost Assumptions'!$B$6*'Cost Assumptions'!$B$13</f>
        <v>9394538.3207339626</v>
      </c>
    </row>
    <row r="78" spans="1:30" x14ac:dyDescent="0.35">
      <c r="A78" s="72" t="s">
        <v>119</v>
      </c>
      <c r="B78" s="72" t="s">
        <v>152</v>
      </c>
      <c r="C78" s="18">
        <f>NPV('Cost Assumptions'!$B$3,D78:AD78)</f>
        <v>245595021.66997626</v>
      </c>
      <c r="D78" s="53">
        <f>ABS(D50)*D63*1000*'Cost Assumptions'!$B$7*'Cost Assumptions'!$B$13</f>
        <v>21244884.893436499</v>
      </c>
      <c r="E78" s="53">
        <f>ABS(E50)*E63*1000*'Cost Assumptions'!$B$7*'Cost Assumptions'!$B$13</f>
        <v>21883659.91701708</v>
      </c>
      <c r="F78" s="53">
        <f>ABS(F50)*F63*1000*'Cost Assumptions'!$B$7*'Cost Assumptions'!$B$13</f>
        <v>22482487.035386506</v>
      </c>
      <c r="G78" s="53">
        <f>ABS(G50)*G63*1000*'Cost Assumptions'!$B$7*'Cost Assumptions'!$B$13</f>
        <v>23097541.3543442</v>
      </c>
      <c r="H78" s="53">
        <f>ABS(H50)*H63*1000*'Cost Assumptions'!$B$7*'Cost Assumptions'!$B$13</f>
        <v>23730624.444192506</v>
      </c>
      <c r="I78" s="53">
        <f>ABS(I50)*I63*1000*'Cost Assumptions'!$B$7*'Cost Assumptions'!$B$13</f>
        <v>24388294.707242824</v>
      </c>
      <c r="J78" s="53">
        <f>ABS(J50)*J63*1000*'Cost Assumptions'!$B$7*'Cost Assumptions'!$B$13</f>
        <v>25061749.55279354</v>
      </c>
      <c r="K78" s="53">
        <f>ABS(K50)*K63*1000*'Cost Assumptions'!$B$7*'Cost Assumptions'!$B$13</f>
        <v>25645414.630915891</v>
      </c>
      <c r="L78" s="53">
        <f>ABS(L50)*L63*1000*'Cost Assumptions'!$B$7*'Cost Assumptions'!$B$13</f>
        <v>26241585.02358833</v>
      </c>
      <c r="M78" s="53">
        <f>ABS(M50)*M63*1000*'Cost Assumptions'!$B$7*'Cost Assumptions'!$B$13</f>
        <v>26850615.027748834</v>
      </c>
      <c r="N78" s="53">
        <f>ABS(N50)*N63*1000*'Cost Assumptions'!$B$7*'Cost Assumptions'!$B$13</f>
        <v>27598675.784994487</v>
      </c>
      <c r="O78" s="53">
        <f>ABS(O50)*O63*1000*'Cost Assumptions'!$B$7*'Cost Assumptions'!$B$13</f>
        <v>28366751.131371491</v>
      </c>
      <c r="P78" s="53">
        <f>ABS(P50)*P63*1000*'Cost Assumptions'!$B$7*'Cost Assumptions'!$B$13</f>
        <v>29157598.485010769</v>
      </c>
      <c r="Q78" s="53">
        <f>ABS(Q50)*Q63*1000*'Cost Assumptions'!$B$7*'Cost Assumptions'!$B$13</f>
        <v>29966413.272897825</v>
      </c>
      <c r="R78" s="53">
        <f>ABS(R50)*R63*1000*'Cost Assumptions'!$B$7*'Cost Assumptions'!$B$13</f>
        <v>30796733.063810095</v>
      </c>
      <c r="S78" s="53">
        <f>ABS(S50)*S63*1000*'Cost Assumptions'!$B$7*'Cost Assumptions'!$B$13</f>
        <v>31649929.054795507</v>
      </c>
      <c r="T78" s="53">
        <f>ABS(T50)*T63*1000*'Cost Assumptions'!$B$7*'Cost Assumptions'!$B$13</f>
        <v>32526633.252477795</v>
      </c>
      <c r="U78" s="53">
        <f>ABS(U50)*U63*1000*'Cost Assumptions'!$B$7*'Cost Assumptions'!$B$13</f>
        <v>33416836.753724381</v>
      </c>
      <c r="V78" s="53">
        <f>ABS(V50)*V63*1000*'Cost Assumptions'!$B$7*'Cost Assumptions'!$B$13</f>
        <v>34328731.314438492</v>
      </c>
      <c r="W78" s="53">
        <f>ABS(W50)*W63*1000*'Cost Assumptions'!$B$7*'Cost Assumptions'!$B$13</f>
        <v>35262871.948271133</v>
      </c>
      <c r="X78" s="53">
        <f>ABS(X50)*X63*1000*'Cost Assumptions'!$B$7*'Cost Assumptions'!$B$13</f>
        <v>36219954.195516847</v>
      </c>
      <c r="Y78" s="53">
        <f>ABS(Y50)*Y63*1000*'Cost Assumptions'!$B$7*'Cost Assumptions'!$B$13</f>
        <v>37187889.196465269</v>
      </c>
      <c r="Z78" s="53">
        <f>ABS(Z50)*Z63*1000*'Cost Assumptions'!$B$7*'Cost Assumptions'!$B$13</f>
        <v>38179085.72186064</v>
      </c>
      <c r="AA78" s="53">
        <f>ABS(AA50)*AA63*1000*'Cost Assumptions'!$B$7*'Cost Assumptions'!$B$13</f>
        <v>39192462.512128375</v>
      </c>
      <c r="AB78" s="53">
        <f>ABS(AB50)*AB63*1000*'Cost Assumptions'!$B$7*'Cost Assumptions'!$B$13</f>
        <v>40230159.023551412</v>
      </c>
      <c r="AC78" s="53">
        <f>ABS(AC50)*AC63*1000*'Cost Assumptions'!$B$7*'Cost Assumptions'!$B$13</f>
        <v>41277731.118393101</v>
      </c>
      <c r="AD78" s="53">
        <f>ABS(AD50)*AD63*1000*'Cost Assumptions'!$B$7*'Cost Assumptions'!$B$13</f>
        <v>42347309.022178009</v>
      </c>
    </row>
    <row r="79" spans="1:30" s="52" customFormat="1" ht="29" x14ac:dyDescent="0.35">
      <c r="A79" s="3" t="s">
        <v>146</v>
      </c>
      <c r="B79" s="72" t="s">
        <v>152</v>
      </c>
      <c r="C79" s="18">
        <f>NPV('Cost Assumptions'!$B$3,D79:AD79)</f>
        <v>300079046.64666921</v>
      </c>
      <c r="D79" s="53">
        <f>SUM(D77:D78)</f>
        <v>25957956.15721963</v>
      </c>
      <c r="E79" s="53">
        <f t="shared" ref="E79:AD79" si="18">SUM(E77:E78)</f>
        <v>26738440.219129249</v>
      </c>
      <c r="F79" s="53">
        <f t="shared" si="18"/>
        <v>27470114.133219983</v>
      </c>
      <c r="G79" s="53">
        <f t="shared" si="18"/>
        <v>28221615.171041321</v>
      </c>
      <c r="H79" s="53">
        <f t="shared" si="18"/>
        <v>28995144.572240219</v>
      </c>
      <c r="I79" s="53">
        <f t="shared" si="18"/>
        <v>29798715.687819265</v>
      </c>
      <c r="J79" s="53">
        <f t="shared" si="18"/>
        <v>30621573.116436046</v>
      </c>
      <c r="K79" s="53">
        <f t="shared" si="18"/>
        <v>31334721.367621955</v>
      </c>
      <c r="L79" s="53">
        <f t="shared" si="18"/>
        <v>32063149.174731635</v>
      </c>
      <c r="M79" s="53">
        <f t="shared" si="18"/>
        <v>32807289.433703519</v>
      </c>
      <c r="N79" s="53">
        <f t="shared" si="18"/>
        <v>33721303.721703649</v>
      </c>
      <c r="O79" s="53">
        <f t="shared" si="18"/>
        <v>34659772.735148631</v>
      </c>
      <c r="P79" s="53">
        <f t="shared" si="18"/>
        <v>35626065.611565381</v>
      </c>
      <c r="Q79" s="53">
        <f t="shared" si="18"/>
        <v>36614311.907489985</v>
      </c>
      <c r="R79" s="53">
        <f t="shared" si="18"/>
        <v>37628833.983607769</v>
      </c>
      <c r="S79" s="53">
        <f t="shared" si="18"/>
        <v>38671307.230161205</v>
      </c>
      <c r="T79" s="53">
        <f t="shared" si="18"/>
        <v>39742503.861276776</v>
      </c>
      <c r="U79" s="53">
        <f t="shared" si="18"/>
        <v>40830194.548812643</v>
      </c>
      <c r="V79" s="53">
        <f t="shared" si="18"/>
        <v>41944388.34867347</v>
      </c>
      <c r="W79" s="53">
        <f t="shared" si="18"/>
        <v>43085763.401507787</v>
      </c>
      <c r="X79" s="53">
        <f t="shared" si="18"/>
        <v>44255169.549739398</v>
      </c>
      <c r="Y79" s="53">
        <f t="shared" si="18"/>
        <v>45437836.08070375</v>
      </c>
      <c r="Z79" s="53">
        <f t="shared" si="18"/>
        <v>46648924.588759184</v>
      </c>
      <c r="AA79" s="53">
        <f t="shared" si="18"/>
        <v>47887113.94231227</v>
      </c>
      <c r="AB79" s="53">
        <f t="shared" si="18"/>
        <v>49155018.225302324</v>
      </c>
      <c r="AC79" s="53">
        <f t="shared" si="18"/>
        <v>50434988.940409772</v>
      </c>
      <c r="AD79" s="53">
        <f t="shared" si="18"/>
        <v>51741847.342911974</v>
      </c>
    </row>
    <row r="80" spans="1:30" s="52" customFormat="1" x14ac:dyDescent="0.35">
      <c r="A80" s="3"/>
      <c r="B80" s="72"/>
      <c r="C80" s="18"/>
      <c r="D80" s="53"/>
      <c r="E80" s="53"/>
      <c r="F80" s="53"/>
      <c r="G80" s="53"/>
      <c r="H80" s="53"/>
      <c r="I80" s="53"/>
      <c r="J80" s="53"/>
      <c r="K80" s="53"/>
      <c r="L80" s="53"/>
      <c r="M80" s="53"/>
      <c r="N80" s="53"/>
      <c r="O80" s="53"/>
      <c r="P80" s="53"/>
      <c r="Q80" s="53"/>
      <c r="R80" s="53"/>
      <c r="S80" s="53"/>
      <c r="T80" s="53"/>
      <c r="U80" s="53"/>
      <c r="V80" s="53"/>
      <c r="W80" s="53"/>
      <c r="X80" s="53"/>
      <c r="Y80" s="53"/>
      <c r="Z80" s="53"/>
      <c r="AA80" s="53"/>
      <c r="AB80" s="53"/>
      <c r="AC80" s="53"/>
      <c r="AD80" s="53"/>
    </row>
    <row r="81" spans="1:30" s="52" customFormat="1" ht="29" x14ac:dyDescent="0.35">
      <c r="A81" s="3" t="s">
        <v>147</v>
      </c>
      <c r="B81" s="72" t="s">
        <v>148</v>
      </c>
      <c r="C81" s="18">
        <f>NPV('Cost Assumptions'!$B$3,D81:AD81)</f>
        <v>186936510.0182313</v>
      </c>
      <c r="D81" s="53">
        <f>('Baseline System Analysis'!D42-D36)</f>
        <v>13083814.176062195</v>
      </c>
      <c r="E81" s="53">
        <f>('Baseline System Analysis'!E42-E36)</f>
        <v>14219344.005913232</v>
      </c>
      <c r="F81" s="53">
        <f>('Baseline System Analysis'!F42-F36)</f>
        <v>14989870.192333413</v>
      </c>
      <c r="G81" s="53">
        <f>('Baseline System Analysis'!G42-G36)</f>
        <v>15842507.472019492</v>
      </c>
      <c r="H81" s="53">
        <f>('Baseline System Analysis'!H42-H36)</f>
        <v>16648782.240041755</v>
      </c>
      <c r="I81" s="53">
        <f>('Baseline System Analysis'!I42-I36)</f>
        <v>17640263.107256476</v>
      </c>
      <c r="J81" s="53">
        <f>('Baseline System Analysis'!J42-J36)</f>
        <v>18654978.21685072</v>
      </c>
      <c r="K81" s="53">
        <f>('Baseline System Analysis'!K42-K36)</f>
        <v>18748867.579696089</v>
      </c>
      <c r="L81" s="53">
        <f>('Baseline System Analysis'!L42-L36)</f>
        <v>18820379.874406792</v>
      </c>
      <c r="M81" s="53">
        <f>('Baseline System Analysis'!M42-M36)</f>
        <v>18852678.032700885</v>
      </c>
      <c r="N81" s="53">
        <f>('Baseline System Analysis'!N42-N36)</f>
        <v>20014983.444935627</v>
      </c>
      <c r="O81" s="53">
        <f>('Baseline System Analysis'!O42-O36)</f>
        <v>21204176.990743138</v>
      </c>
      <c r="P81" s="53">
        <f>('Baseline System Analysis'!P42-P36)</f>
        <v>22528950.962985586</v>
      </c>
      <c r="Q81" s="53">
        <f>('Baseline System Analysis'!Q42-Q36)</f>
        <v>23861911.677481677</v>
      </c>
      <c r="R81" s="53">
        <f>('Baseline System Analysis'!R42-R36)</f>
        <v>25272696.234516677</v>
      </c>
      <c r="S81" s="53">
        <f>('Baseline System Analysis'!S42-S36)</f>
        <v>26574520.442275748</v>
      </c>
      <c r="T81" s="53">
        <f>('Baseline System Analysis'!T42-T36)</f>
        <v>27960286.678493716</v>
      </c>
      <c r="U81" s="53">
        <f>('Baseline System Analysis'!U42-U36)</f>
        <v>29488152.982661314</v>
      </c>
      <c r="V81" s="53">
        <f>('Baseline System Analysis'!V42-V36)</f>
        <v>31125883.098786887</v>
      </c>
      <c r="W81" s="53">
        <f>('Baseline System Analysis'!W42-W36)</f>
        <v>32747231.73291561</v>
      </c>
      <c r="X81" s="53">
        <f>('Baseline System Analysis'!X42-X36)</f>
        <v>34327769.97770147</v>
      </c>
      <c r="Y81" s="53">
        <f>('Baseline System Analysis'!Y42-Y36)</f>
        <v>36098024.960306227</v>
      </c>
      <c r="Z81" s="53">
        <f>('Baseline System Analysis'!Z42-Z36)</f>
        <v>37978045.08647304</v>
      </c>
      <c r="AA81" s="53">
        <f>('Baseline System Analysis'!AA42-AA36)</f>
        <v>39625397.600653835</v>
      </c>
      <c r="AB81" s="53">
        <f>('Baseline System Analysis'!AB42-AB36)</f>
        <v>41319642.116891325</v>
      </c>
      <c r="AC81" s="53">
        <f>('Baseline System Analysis'!AC42-AC36)</f>
        <v>42916302.284538098</v>
      </c>
      <c r="AD81" s="53">
        <f>('Baseline System Analysis'!AD42-AD36)</f>
        <v>44367477.438010901</v>
      </c>
    </row>
    <row r="82" spans="1:30" s="52" customFormat="1" x14ac:dyDescent="0.35">
      <c r="A82" s="72"/>
      <c r="B82" s="72"/>
      <c r="C82" s="72"/>
      <c r="D82" s="72"/>
      <c r="E82" s="72"/>
      <c r="F82" s="72"/>
      <c r="G82" s="72"/>
      <c r="H82" s="72"/>
      <c r="I82" s="72"/>
      <c r="J82" s="72"/>
      <c r="K82" s="72"/>
      <c r="L82" s="72"/>
      <c r="M82" s="72"/>
      <c r="N82" s="72"/>
      <c r="O82" s="72"/>
      <c r="P82" s="72"/>
      <c r="Q82" s="72"/>
      <c r="R82" s="72"/>
      <c r="S82" s="72"/>
      <c r="T82" s="72"/>
      <c r="U82" s="72"/>
      <c r="V82" s="72"/>
      <c r="W82" s="72"/>
      <c r="X82" s="72"/>
      <c r="Y82" s="72"/>
      <c r="Z82" s="72"/>
      <c r="AA82" s="72"/>
      <c r="AB82" s="72"/>
      <c r="AC82" s="72"/>
      <c r="AD82" s="72"/>
    </row>
    <row r="83" spans="1:30" s="52" customFormat="1" ht="20" thickBot="1" x14ac:dyDescent="0.5">
      <c r="A83" s="134" t="s">
        <v>61</v>
      </c>
      <c r="B83" s="182"/>
      <c r="C83" s="18">
        <f>NPV('Cost Assumptions'!$B$3,D83:AD83)/1000000</f>
        <v>3717.2185325824321</v>
      </c>
      <c r="D83" s="53">
        <f>SUM(D67,D71,D75,D79,D81)</f>
        <v>135582437.32673302</v>
      </c>
      <c r="E83" s="53">
        <f t="shared" ref="E83:AD83" si="19">SUM(E67,E71,E75,E79,E81)</f>
        <v>173775497.60713407</v>
      </c>
      <c r="F83" s="53">
        <f t="shared" si="19"/>
        <v>212864413.74757931</v>
      </c>
      <c r="G83" s="53">
        <f t="shared" si="19"/>
        <v>253884692.04217148</v>
      </c>
      <c r="H83" s="53">
        <f t="shared" si="19"/>
        <v>296702149.25373942</v>
      </c>
      <c r="I83" s="53">
        <f t="shared" si="19"/>
        <v>340187370.91527969</v>
      </c>
      <c r="J83" s="53">
        <f t="shared" si="19"/>
        <v>388181420.8230409</v>
      </c>
      <c r="K83" s="53">
        <f t="shared" si="19"/>
        <v>383948166.32924879</v>
      </c>
      <c r="L83" s="53">
        <f t="shared" si="19"/>
        <v>379439739.71260875</v>
      </c>
      <c r="M83" s="53">
        <f t="shared" si="19"/>
        <v>353669636.14531279</v>
      </c>
      <c r="N83" s="53">
        <f t="shared" si="19"/>
        <v>385295861.10561311</v>
      </c>
      <c r="O83" s="53">
        <f t="shared" si="19"/>
        <v>458133149.69679445</v>
      </c>
      <c r="P83" s="53">
        <f t="shared" si="19"/>
        <v>494678751.99537653</v>
      </c>
      <c r="Q83" s="53">
        <f t="shared" si="19"/>
        <v>531227008.99625254</v>
      </c>
      <c r="R83" s="53">
        <f t="shared" si="19"/>
        <v>568694264.68486786</v>
      </c>
      <c r="S83" s="53">
        <f t="shared" si="19"/>
        <v>610524424.68457818</v>
      </c>
      <c r="T83" s="53">
        <f t="shared" si="19"/>
        <v>654775453.13217497</v>
      </c>
      <c r="U83" s="53">
        <f t="shared" si="19"/>
        <v>699374555.22874415</v>
      </c>
      <c r="V83" s="53">
        <f t="shared" si="19"/>
        <v>748692600.38958526</v>
      </c>
      <c r="W83" s="53">
        <f t="shared" si="19"/>
        <v>799114550.8287729</v>
      </c>
      <c r="X83" s="53">
        <f t="shared" si="19"/>
        <v>854248599.08172584</v>
      </c>
      <c r="Y83" s="53">
        <f t="shared" si="19"/>
        <v>911975098.08811688</v>
      </c>
      <c r="Z83" s="53">
        <f t="shared" si="19"/>
        <v>972356930.0757376</v>
      </c>
      <c r="AA83" s="53">
        <f t="shared" si="19"/>
        <v>1036063982.3296957</v>
      </c>
      <c r="AB83" s="53">
        <f t="shared" si="19"/>
        <v>1102046626.4292705</v>
      </c>
      <c r="AC83" s="53">
        <f t="shared" si="19"/>
        <v>1168982936.8617322</v>
      </c>
      <c r="AD83" s="53">
        <f t="shared" si="19"/>
        <v>1237361276.319685</v>
      </c>
    </row>
    <row r="84" spans="1:30" s="52" customFormat="1" ht="20.5" thickTop="1" thickBot="1" x14ac:dyDescent="0.5">
      <c r="A84" s="134" t="s">
        <v>149</v>
      </c>
      <c r="B84" s="134"/>
      <c r="C84" s="18">
        <f>NPV('Cost Assumptions'!$B$3,D84:AD84)/1000000</f>
        <v>3720.4070952831585</v>
      </c>
      <c r="D84" s="53">
        <f>D83+D43</f>
        <v>135841545.32673293</v>
      </c>
      <c r="E84" s="53">
        <f t="shared" ref="E84:AD84" si="20">E83+E43</f>
        <v>174042567.19174939</v>
      </c>
      <c r="F84" s="53">
        <f t="shared" si="20"/>
        <v>213139681.05354077</v>
      </c>
      <c r="G84" s="53">
        <f t="shared" si="20"/>
        <v>254168400.03705603</v>
      </c>
      <c r="H84" s="53">
        <f t="shared" si="20"/>
        <v>296994547.92992693</v>
      </c>
      <c r="I84" s="53">
        <f t="shared" si="20"/>
        <v>340488717.48933858</v>
      </c>
      <c r="J84" s="53">
        <f t="shared" si="20"/>
        <v>388491979.94069213</v>
      </c>
      <c r="K84" s="53">
        <f t="shared" si="20"/>
        <v>384269588.20668459</v>
      </c>
      <c r="L84" s="53">
        <f t="shared" si="20"/>
        <v>379793620.96029407</v>
      </c>
      <c r="M84" s="53">
        <f t="shared" si="20"/>
        <v>354057696.90504879</v>
      </c>
      <c r="N84" s="53">
        <f t="shared" si="20"/>
        <v>385690807.75633085</v>
      </c>
      <c r="O84" s="53">
        <f t="shared" si="20"/>
        <v>458535810.89107662</v>
      </c>
      <c r="P84" s="53">
        <f t="shared" si="20"/>
        <v>495089266.61874467</v>
      </c>
      <c r="Q84" s="53">
        <f t="shared" si="20"/>
        <v>531645518.05691445</v>
      </c>
      <c r="R84" s="53">
        <f t="shared" si="20"/>
        <v>569120911.3330487</v>
      </c>
      <c r="S84" s="53">
        <f t="shared" si="20"/>
        <v>610959354.23149097</v>
      </c>
      <c r="T84" s="53">
        <f t="shared" si="20"/>
        <v>655218813.06860113</v>
      </c>
      <c r="U84" s="53">
        <f t="shared" si="20"/>
        <v>699826495.24319255</v>
      </c>
      <c r="V84" s="53">
        <f t="shared" si="20"/>
        <v>749153272.38599682</v>
      </c>
      <c r="W84" s="53">
        <f t="shared" si="20"/>
        <v>799584108.94373667</v>
      </c>
      <c r="X84" s="53">
        <f t="shared" si="20"/>
        <v>854727199.70117164</v>
      </c>
      <c r="Y84" s="53">
        <f t="shared" si="20"/>
        <v>912462899.86344707</v>
      </c>
      <c r="Z84" s="53">
        <f t="shared" si="20"/>
        <v>972854093.93935919</v>
      </c>
      <c r="AA84" s="53">
        <f t="shared" si="20"/>
        <v>1036570671.5099137</v>
      </c>
      <c r="AB84" s="53">
        <f t="shared" si="20"/>
        <v>1102563006.4645</v>
      </c>
      <c r="AC84" s="53">
        <f t="shared" si="20"/>
        <v>1169509175.613986</v>
      </c>
      <c r="AD84" s="53">
        <f t="shared" si="20"/>
        <v>1237897543.9872923</v>
      </c>
    </row>
    <row r="85" spans="1:30" ht="15" thickTop="1" x14ac:dyDescent="0.35">
      <c r="A85" s="72"/>
      <c r="B85" s="72"/>
      <c r="C85" s="72"/>
      <c r="D85" s="72"/>
      <c r="E85" s="72"/>
      <c r="F85" s="72"/>
      <c r="G85" s="72"/>
      <c r="H85" s="72"/>
      <c r="I85" s="72"/>
      <c r="J85" s="72"/>
      <c r="K85" s="72"/>
      <c r="L85" s="72"/>
      <c r="M85" s="72"/>
      <c r="N85" s="72"/>
      <c r="O85" s="72"/>
      <c r="P85" s="72"/>
      <c r="Q85" s="72"/>
      <c r="R85" s="72"/>
      <c r="S85" s="72"/>
      <c r="T85" s="72"/>
      <c r="U85" s="72"/>
      <c r="V85" s="72"/>
      <c r="W85" s="72"/>
      <c r="X85" s="72"/>
      <c r="Y85" s="72"/>
      <c r="Z85" s="72"/>
      <c r="AA85" s="72"/>
      <c r="AB85" s="72"/>
      <c r="AC85" s="72"/>
      <c r="AD85" s="72"/>
    </row>
    <row r="86" spans="1:30" ht="20" thickBot="1" x14ac:dyDescent="0.5">
      <c r="A86" s="134" t="s">
        <v>150</v>
      </c>
      <c r="B86" s="134"/>
      <c r="C86" s="18">
        <f>Summary!$D$15</f>
        <v>806</v>
      </c>
      <c r="D86" s="72"/>
      <c r="E86" s="72"/>
      <c r="F86" s="72"/>
      <c r="G86" s="72"/>
      <c r="H86" s="72"/>
      <c r="I86" s="72"/>
      <c r="J86" s="72"/>
      <c r="K86" s="72"/>
      <c r="L86" s="72"/>
      <c r="M86" s="72"/>
      <c r="N86" s="72"/>
      <c r="O86" s="72"/>
      <c r="P86" s="72"/>
      <c r="Q86" s="72"/>
      <c r="R86" s="72"/>
      <c r="S86" s="72"/>
      <c r="T86" s="72"/>
      <c r="U86" s="72"/>
      <c r="V86" s="72"/>
      <c r="W86" s="72"/>
      <c r="X86" s="72"/>
      <c r="Y86" s="72"/>
      <c r="Z86" s="72"/>
      <c r="AA86" s="72"/>
      <c r="AB86" s="72"/>
      <c r="AC86" s="72"/>
      <c r="AD86" s="72"/>
    </row>
    <row r="87" spans="1:30" ht="15" thickTop="1" x14ac:dyDescent="0.35">
      <c r="A87" s="72"/>
      <c r="B87" s="72"/>
      <c r="C87" s="72"/>
      <c r="D87" s="72"/>
      <c r="E87" s="72"/>
      <c r="F87" s="72"/>
      <c r="G87" s="72"/>
      <c r="H87" s="72"/>
      <c r="I87" s="72"/>
      <c r="J87" s="72"/>
      <c r="K87" s="72"/>
      <c r="L87" s="72"/>
      <c r="M87" s="72"/>
      <c r="N87" s="72"/>
      <c r="O87" s="72"/>
      <c r="P87" s="72"/>
      <c r="Q87" s="72"/>
      <c r="R87" s="72"/>
      <c r="S87" s="72"/>
      <c r="T87" s="72"/>
      <c r="U87" s="72"/>
      <c r="V87" s="72"/>
      <c r="W87" s="72"/>
      <c r="X87" s="72"/>
      <c r="Y87" s="72"/>
      <c r="Z87" s="72"/>
      <c r="AA87" s="72"/>
      <c r="AB87" s="72"/>
      <c r="AC87" s="72"/>
      <c r="AD87" s="72"/>
    </row>
    <row r="88" spans="1:30" ht="20" thickBot="1" x14ac:dyDescent="0.5">
      <c r="A88" s="134" t="s">
        <v>7</v>
      </c>
      <c r="B88" s="134"/>
      <c r="C88" s="46">
        <f>C84/C86</f>
        <v>4.6158896963810898</v>
      </c>
      <c r="D88" s="72"/>
      <c r="E88" s="72"/>
      <c r="F88" s="72"/>
      <c r="G88" s="72"/>
      <c r="H88" s="72"/>
      <c r="I88" s="72"/>
      <c r="J88" s="72"/>
      <c r="K88" s="72"/>
      <c r="L88" s="72"/>
      <c r="M88" s="72"/>
      <c r="N88" s="72"/>
      <c r="O88" s="72"/>
      <c r="P88" s="72"/>
      <c r="Q88" s="72"/>
      <c r="R88" s="72"/>
      <c r="S88" s="72"/>
      <c r="T88" s="72"/>
      <c r="U88" s="72"/>
      <c r="V88" s="72"/>
      <c r="W88" s="72"/>
      <c r="X88" s="72"/>
      <c r="Y88" s="72"/>
      <c r="Z88" s="72"/>
      <c r="AA88" s="72"/>
      <c r="AB88" s="72"/>
      <c r="AC88" s="72"/>
      <c r="AD88" s="72"/>
    </row>
    <row r="89" spans="1:30" ht="15" thickTop="1" x14ac:dyDescent="0.35">
      <c r="A89" s="72"/>
      <c r="B89" s="72"/>
      <c r="C89" s="72"/>
      <c r="D89" s="72"/>
      <c r="E89" s="72"/>
      <c r="F89" s="72"/>
      <c r="G89" s="72"/>
      <c r="H89" s="72"/>
      <c r="I89" s="72"/>
      <c r="J89" s="72"/>
      <c r="K89" s="72"/>
      <c r="L89" s="72"/>
      <c r="M89" s="72"/>
      <c r="N89" s="72"/>
      <c r="O89" s="72"/>
      <c r="P89" s="72"/>
      <c r="Q89" s="72"/>
      <c r="R89" s="72"/>
      <c r="S89" s="72"/>
      <c r="T89" s="72"/>
      <c r="U89" s="72"/>
      <c r="V89" s="72"/>
      <c r="W89" s="72"/>
      <c r="X89" s="72"/>
      <c r="Y89" s="72"/>
      <c r="Z89" s="72"/>
      <c r="AA89" s="72"/>
      <c r="AB89" s="72"/>
      <c r="AC89" s="72"/>
      <c r="AD89" s="72"/>
    </row>
  </sheetData>
  <mergeCells count="8">
    <mergeCell ref="A86:B86"/>
    <mergeCell ref="A88:B88"/>
    <mergeCell ref="A84:B84"/>
    <mergeCell ref="B2:B15"/>
    <mergeCell ref="B18:B31"/>
    <mergeCell ref="B40:AD40"/>
    <mergeCell ref="A58:AD59"/>
    <mergeCell ref="A83:B83"/>
  </mergeCells>
  <pageMargins left="0.7" right="0.7" top="0.75" bottom="0.75" header="0.3" footer="0.3"/>
  <pageSetup orientation="portrait" horizontalDpi="1200" verticalDpi="120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D92"/>
  <sheetViews>
    <sheetView zoomScale="84" zoomScaleNormal="84" workbookViewId="0"/>
  </sheetViews>
  <sheetFormatPr defaultRowHeight="14.5" x14ac:dyDescent="0.35"/>
  <cols>
    <col min="1" max="1" width="15.26953125" customWidth="1"/>
    <col min="2" max="2" width="26.7265625" bestFit="1" customWidth="1"/>
    <col min="3" max="3" width="22.81640625" customWidth="1"/>
    <col min="4" max="6" width="14" bestFit="1" customWidth="1"/>
    <col min="7" max="7" width="15.453125" customWidth="1"/>
    <col min="8" max="8" width="14" bestFit="1" customWidth="1"/>
    <col min="9" max="16" width="12.81640625" bestFit="1" customWidth="1"/>
    <col min="17" max="30" width="15" bestFit="1" customWidth="1"/>
  </cols>
  <sheetData>
    <row r="1" spans="1:30" ht="20" thickBot="1" x14ac:dyDescent="0.5">
      <c r="A1" s="113"/>
      <c r="B1" s="122"/>
      <c r="C1" s="113" t="s">
        <v>105</v>
      </c>
      <c r="D1" s="113">
        <v>2022</v>
      </c>
      <c r="E1" s="113">
        <v>2023</v>
      </c>
      <c r="F1" s="113">
        <v>2024</v>
      </c>
      <c r="G1" s="113">
        <v>2025</v>
      </c>
      <c r="H1" s="113">
        <v>2026</v>
      </c>
      <c r="I1" s="113">
        <v>2027</v>
      </c>
      <c r="J1" s="113">
        <v>2028</v>
      </c>
      <c r="K1" s="113">
        <v>2029</v>
      </c>
      <c r="L1" s="113">
        <v>2030</v>
      </c>
      <c r="M1" s="113">
        <v>2031</v>
      </c>
      <c r="N1" s="113">
        <v>2032</v>
      </c>
      <c r="O1" s="113">
        <v>2033</v>
      </c>
      <c r="P1" s="113">
        <v>2034</v>
      </c>
      <c r="Q1" s="113">
        <v>2035</v>
      </c>
      <c r="R1" s="113">
        <v>2036</v>
      </c>
      <c r="S1" s="113">
        <v>2037</v>
      </c>
      <c r="T1" s="113">
        <v>2038</v>
      </c>
      <c r="U1" s="113">
        <v>2039</v>
      </c>
      <c r="V1" s="113">
        <v>2040</v>
      </c>
      <c r="W1" s="113">
        <v>2041</v>
      </c>
      <c r="X1" s="113">
        <v>2042</v>
      </c>
      <c r="Y1" s="113">
        <v>2043</v>
      </c>
      <c r="Z1" s="113">
        <v>2044</v>
      </c>
      <c r="AA1" s="113">
        <v>2045</v>
      </c>
      <c r="AB1" s="113">
        <v>2046</v>
      </c>
      <c r="AC1" s="113">
        <v>2047</v>
      </c>
      <c r="AD1" s="113">
        <v>2048</v>
      </c>
    </row>
    <row r="2" spans="1:30" ht="15" thickTop="1" x14ac:dyDescent="0.35">
      <c r="A2" s="72"/>
      <c r="B2" s="179" t="s">
        <v>26</v>
      </c>
      <c r="C2" s="72" t="s">
        <v>107</v>
      </c>
      <c r="D2" s="53">
        <f>'Baseline System Analysis'!D2</f>
        <v>49666.999999999534</v>
      </c>
      <c r="E2" s="53">
        <f>'Baseline System Analysis'!E2</f>
        <v>50103.790384614935</v>
      </c>
      <c r="F2" s="53">
        <f>'Baseline System Analysis'!F2</f>
        <v>50540.580769230335</v>
      </c>
      <c r="G2" s="53">
        <f>'Baseline System Analysis'!G2</f>
        <v>50977.371153845736</v>
      </c>
      <c r="H2" s="53">
        <f>'Baseline System Analysis'!H2</f>
        <v>51414.161538461136</v>
      </c>
      <c r="I2" s="53">
        <f>'Baseline System Analysis'!I2</f>
        <v>51850.951923076536</v>
      </c>
      <c r="J2" s="53">
        <f>'Baseline System Analysis'!J2</f>
        <v>52287.742307691937</v>
      </c>
      <c r="K2" s="53">
        <f>'Baseline System Analysis'!K2</f>
        <v>51698.184615384183</v>
      </c>
      <c r="L2" s="53">
        <f>'Baseline System Analysis'!L2</f>
        <v>51988.353846153419</v>
      </c>
      <c r="M2" s="53">
        <f>'Baseline System Analysis'!M2</f>
        <v>52278.523076922655</v>
      </c>
      <c r="N2" s="53">
        <f>'Baseline System Analysis'!N2</f>
        <v>52568.69230769189</v>
      </c>
      <c r="O2" s="53">
        <f>'Baseline System Analysis'!O2</f>
        <v>52858.861538461126</v>
      </c>
      <c r="P2" s="53">
        <f>'Baseline System Analysis'!P2</f>
        <v>53149.030769230361</v>
      </c>
      <c r="Q2" s="53">
        <f>'Baseline System Analysis'!Q2</f>
        <v>53439.199999999597</v>
      </c>
      <c r="R2" s="53">
        <f>'Baseline System Analysis'!R2</f>
        <v>53729.369230768832</v>
      </c>
      <c r="S2" s="53">
        <f>'Baseline System Analysis'!S2</f>
        <v>54019.538461538068</v>
      </c>
      <c r="T2" s="53">
        <f>'Baseline System Analysis'!T2</f>
        <v>54309.707692307304</v>
      </c>
      <c r="U2" s="53">
        <f>'Baseline System Analysis'!U2</f>
        <v>54599.876923076539</v>
      </c>
      <c r="V2" s="53">
        <f>'Baseline System Analysis'!V2</f>
        <v>54890.046153845775</v>
      </c>
      <c r="W2" s="53">
        <f>'Baseline System Analysis'!W2</f>
        <v>55180.21538461501</v>
      </c>
      <c r="X2" s="53">
        <f>'Baseline System Analysis'!X2</f>
        <v>55470.384615384246</v>
      </c>
      <c r="Y2" s="53">
        <f>'Baseline System Analysis'!Y2</f>
        <v>55760.553846153482</v>
      </c>
      <c r="Z2" s="53">
        <f>'Baseline System Analysis'!Z2</f>
        <v>56050.723076922717</v>
      </c>
      <c r="AA2" s="53">
        <f>'Baseline System Analysis'!AA2</f>
        <v>56340.892307691953</v>
      </c>
      <c r="AB2" s="53">
        <f>'Baseline System Analysis'!AB2</f>
        <v>56631.061538461188</v>
      </c>
      <c r="AC2" s="53">
        <f>'Baseline System Analysis'!AC2</f>
        <v>56921.230769230424</v>
      </c>
      <c r="AD2" s="53">
        <f>'Baseline System Analysis'!AD2</f>
        <v>57211.399999999638</v>
      </c>
    </row>
    <row r="3" spans="1:30" x14ac:dyDescent="0.35">
      <c r="A3" s="72" t="s">
        <v>30</v>
      </c>
      <c r="B3" s="180"/>
      <c r="C3" s="72" t="s">
        <v>31</v>
      </c>
      <c r="D3" s="53">
        <f>'Baseline System Analysis'!D3</f>
        <v>10</v>
      </c>
      <c r="E3" s="53">
        <f>'Baseline System Analysis'!E3</f>
        <v>20.5</v>
      </c>
      <c r="F3" s="53">
        <f>'Baseline System Analysis'!F3</f>
        <v>29.879999999999995</v>
      </c>
      <c r="G3" s="53">
        <f>'Baseline System Analysis'!G3</f>
        <v>39.259999999999991</v>
      </c>
      <c r="H3" s="53">
        <f>'Baseline System Analysis'!H3</f>
        <v>48.639999999999986</v>
      </c>
      <c r="I3" s="53">
        <f>'Baseline System Analysis'!I3</f>
        <v>58.019999999999982</v>
      </c>
      <c r="J3" s="53">
        <f>'Baseline System Analysis'!J3</f>
        <v>67.399999999999977</v>
      </c>
      <c r="K3" s="53">
        <f>'Baseline System Analysis'!K3</f>
        <v>57.599999999999966</v>
      </c>
      <c r="L3" s="53">
        <f>'Baseline System Analysis'!L3</f>
        <v>49.800000000000011</v>
      </c>
      <c r="M3" s="53">
        <f>'Baseline System Analysis'!M3</f>
        <v>41.5</v>
      </c>
      <c r="N3" s="53">
        <f>'Baseline System Analysis'!N3</f>
        <v>53.700000000000017</v>
      </c>
      <c r="O3" s="53">
        <f>'Baseline System Analysis'!O3</f>
        <v>75.066666666666691</v>
      </c>
      <c r="P3" s="53">
        <f>'Baseline System Analysis'!P3</f>
        <v>96.433333333333366</v>
      </c>
      <c r="Q3" s="53">
        <f>'Baseline System Analysis'!Q3</f>
        <v>117.80000000000004</v>
      </c>
      <c r="R3" s="53">
        <f>'Baseline System Analysis'!R3</f>
        <v>139.16666666666671</v>
      </c>
      <c r="S3" s="53">
        <f>'Baseline System Analysis'!S3</f>
        <v>160.53333333333339</v>
      </c>
      <c r="T3" s="53">
        <f>'Baseline System Analysis'!T3</f>
        <v>181.90000000000003</v>
      </c>
      <c r="U3" s="53">
        <f>'Baseline System Analysis'!U3</f>
        <v>244.23000000000002</v>
      </c>
      <c r="V3" s="53">
        <f>'Baseline System Analysis'!V3</f>
        <v>306.56</v>
      </c>
      <c r="W3" s="53">
        <f>'Baseline System Analysis'!W3</f>
        <v>368.89</v>
      </c>
      <c r="X3" s="53">
        <f>'Baseline System Analysis'!X3</f>
        <v>431.21999999999997</v>
      </c>
      <c r="Y3" s="53">
        <f>'Baseline System Analysis'!Y3</f>
        <v>453.7000000000001</v>
      </c>
      <c r="Z3" s="53">
        <f>'Baseline System Analysis'!Z3</f>
        <v>524.00000000000011</v>
      </c>
      <c r="AA3" s="53">
        <f>'Baseline System Analysis'!AA3</f>
        <v>594.30000000000007</v>
      </c>
      <c r="AB3" s="53">
        <f>'Baseline System Analysis'!AB3</f>
        <v>664.6</v>
      </c>
      <c r="AC3" s="53">
        <f>'Baseline System Analysis'!AC3</f>
        <v>734.9</v>
      </c>
      <c r="AD3" s="53">
        <f>'Baseline System Analysis'!AD3</f>
        <v>805.2</v>
      </c>
    </row>
    <row r="4" spans="1:30" x14ac:dyDescent="0.35">
      <c r="A4" s="72" t="s">
        <v>30</v>
      </c>
      <c r="B4" s="180"/>
      <c r="C4" s="72" t="s">
        <v>32</v>
      </c>
      <c r="D4" s="53">
        <f>'Baseline System Analysis'!D4</f>
        <v>2</v>
      </c>
      <c r="E4" s="53">
        <f>'Baseline System Analysis'!E4</f>
        <v>3</v>
      </c>
      <c r="F4" s="53">
        <f>'Baseline System Analysis'!F4</f>
        <v>4.6799999999999953</v>
      </c>
      <c r="G4" s="53">
        <f>'Baseline System Analysis'!G4</f>
        <v>6.3599999999999905</v>
      </c>
      <c r="H4" s="53">
        <f>'Baseline System Analysis'!H4</f>
        <v>8.0399999999999867</v>
      </c>
      <c r="I4" s="53">
        <f>'Baseline System Analysis'!I4</f>
        <v>9.7199999999999829</v>
      </c>
      <c r="J4" s="53">
        <f>'Baseline System Analysis'!J4</f>
        <v>11.399999999999977</v>
      </c>
      <c r="K4" s="53">
        <f>'Baseline System Analysis'!K4</f>
        <v>10.199999999999989</v>
      </c>
      <c r="L4" s="53">
        <f>'Baseline System Analysis'!L4</f>
        <v>8.5999999999999943</v>
      </c>
      <c r="M4" s="53">
        <f>'Baseline System Analysis'!M4</f>
        <v>6.8000000000000114</v>
      </c>
      <c r="N4" s="53">
        <f>'Baseline System Analysis'!N4</f>
        <v>9.6000000000000227</v>
      </c>
      <c r="O4" s="53">
        <f>'Baseline System Analysis'!O4</f>
        <v>11.333333333333352</v>
      </c>
      <c r="P4" s="53">
        <f>'Baseline System Analysis'!P4</f>
        <v>13.066666666666681</v>
      </c>
      <c r="Q4" s="53">
        <f>'Baseline System Analysis'!Q4</f>
        <v>14.80000000000001</v>
      </c>
      <c r="R4" s="53">
        <f>'Baseline System Analysis'!R4</f>
        <v>16.533333333333339</v>
      </c>
      <c r="S4" s="53">
        <f>'Baseline System Analysis'!S4</f>
        <v>18.266666666666669</v>
      </c>
      <c r="T4" s="53">
        <f>'Baseline System Analysis'!T4</f>
        <v>20</v>
      </c>
      <c r="U4" s="53">
        <f>'Baseline System Analysis'!U4</f>
        <v>21.860000000000003</v>
      </c>
      <c r="V4" s="53">
        <f>'Baseline System Analysis'!V4</f>
        <v>23.720000000000006</v>
      </c>
      <c r="W4" s="53">
        <f>'Baseline System Analysis'!W4</f>
        <v>25.580000000000009</v>
      </c>
      <c r="X4" s="53">
        <f>'Baseline System Analysis'!X4</f>
        <v>27.440000000000012</v>
      </c>
      <c r="Y4" s="53">
        <f>'Baseline System Analysis'!Y4</f>
        <v>29.300000000000011</v>
      </c>
      <c r="Z4" s="53">
        <f>'Baseline System Analysis'!Z4</f>
        <v>30.480000000000008</v>
      </c>
      <c r="AA4" s="53">
        <f>'Baseline System Analysis'!AA4</f>
        <v>31.660000000000004</v>
      </c>
      <c r="AB4" s="53">
        <f>'Baseline System Analysis'!AB4</f>
        <v>32.839999999999996</v>
      </c>
      <c r="AC4" s="53">
        <f>'Baseline System Analysis'!AC4</f>
        <v>34.019999999999989</v>
      </c>
      <c r="AD4" s="53">
        <f>'Baseline System Analysis'!AD4</f>
        <v>35.199999999999989</v>
      </c>
    </row>
    <row r="5" spans="1:30" x14ac:dyDescent="0.35">
      <c r="A5" s="72" t="s">
        <v>30</v>
      </c>
      <c r="B5" s="180"/>
      <c r="C5" s="72" t="s">
        <v>33</v>
      </c>
      <c r="D5" s="53">
        <f>'Baseline System Analysis'!D5</f>
        <v>8.4812112193331513E-2</v>
      </c>
      <c r="E5" s="53">
        <f>'Baseline System Analysis'!E5</f>
        <v>0.24283371212350299</v>
      </c>
      <c r="F5" s="53">
        <f>'Baseline System Analysis'!F5</f>
        <v>0.34046276046663143</v>
      </c>
      <c r="G5" s="53">
        <f>'Baseline System Analysis'!G5</f>
        <v>0.43809180880975984</v>
      </c>
      <c r="H5" s="53">
        <f>'Baseline System Analysis'!H5</f>
        <v>0.53572085715288831</v>
      </c>
      <c r="I5" s="53">
        <f>'Baseline System Analysis'!I5</f>
        <v>0.63334990549601677</v>
      </c>
      <c r="J5" s="53">
        <f>'Baseline System Analysis'!J5</f>
        <v>0.73097895383914513</v>
      </c>
      <c r="K5" s="53">
        <f>'Baseline System Analysis'!K5</f>
        <v>0.61764830497225676</v>
      </c>
      <c r="L5" s="53">
        <f>'Baseline System Analysis'!L5</f>
        <v>0.52957812632109091</v>
      </c>
      <c r="M5" s="53">
        <f>'Baseline System Analysis'!M5</f>
        <v>0.48185121670948772</v>
      </c>
      <c r="N5" s="53">
        <f>'Baseline System Analysis'!N5</f>
        <v>0.56680711827214547</v>
      </c>
      <c r="O5" s="53">
        <f>'Baseline System Analysis'!O5</f>
        <v>0.96980348799493798</v>
      </c>
      <c r="P5" s="53">
        <f>'Baseline System Analysis'!P5</f>
        <v>1.3727998577177305</v>
      </c>
      <c r="Q5" s="53">
        <f>'Baseline System Analysis'!Q5</f>
        <v>1.775796227440523</v>
      </c>
      <c r="R5" s="53">
        <f>'Baseline System Analysis'!R5</f>
        <v>2.1787925971633153</v>
      </c>
      <c r="S5" s="53">
        <f>'Baseline System Analysis'!S5</f>
        <v>2.5817889668861076</v>
      </c>
      <c r="T5" s="53">
        <f>'Baseline System Analysis'!T5</f>
        <v>2.9847853366089003</v>
      </c>
      <c r="U5" s="53">
        <f>'Baseline System Analysis'!U5</f>
        <v>21.070525908414965</v>
      </c>
      <c r="V5" s="53">
        <f>'Baseline System Analysis'!V5</f>
        <v>39.156266480221028</v>
      </c>
      <c r="W5" s="53">
        <f>'Baseline System Analysis'!W5</f>
        <v>57.242007052027091</v>
      </c>
      <c r="X5" s="53">
        <f>'Baseline System Analysis'!X5</f>
        <v>75.327747623833147</v>
      </c>
      <c r="Y5" s="53">
        <f>'Baseline System Analysis'!Y5</f>
        <v>93.413488195639218</v>
      </c>
      <c r="Z5" s="53">
        <f>'Baseline System Analysis'!Z5</f>
        <v>81.062212021092932</v>
      </c>
      <c r="AA5" s="53">
        <f>'Baseline System Analysis'!AA5</f>
        <v>68.710935846546647</v>
      </c>
      <c r="AB5" s="53">
        <f>'Baseline System Analysis'!AB5</f>
        <v>56.359659672000362</v>
      </c>
      <c r="AC5" s="53">
        <f>'Baseline System Analysis'!AC5</f>
        <v>44.008383497454076</v>
      </c>
      <c r="AD5" s="53">
        <f>'Baseline System Analysis'!AD5</f>
        <v>31.657107322907791</v>
      </c>
    </row>
    <row r="6" spans="1:30" x14ac:dyDescent="0.35">
      <c r="A6" s="72" t="s">
        <v>30</v>
      </c>
      <c r="B6" s="180"/>
      <c r="C6" s="72" t="s">
        <v>34</v>
      </c>
      <c r="D6" s="53">
        <f>'Baseline System Analysis'!D6</f>
        <v>6.0580080138093939E-3</v>
      </c>
      <c r="E6" s="53">
        <f>'Baseline System Analysis'!E6</f>
        <v>1.7771756236396739E-2</v>
      </c>
      <c r="F6" s="53">
        <f>'Baseline System Analysis'!F6</f>
        <v>2.504677784712513E-2</v>
      </c>
      <c r="G6" s="53">
        <f>'Baseline System Analysis'!G6</f>
        <v>3.2321799457853517E-2</v>
      </c>
      <c r="H6" s="53">
        <f>'Baseline System Analysis'!H6</f>
        <v>3.9596821068581908E-2</v>
      </c>
      <c r="I6" s="53">
        <f>'Baseline System Analysis'!I6</f>
        <v>4.6871842679310299E-2</v>
      </c>
      <c r="J6" s="53">
        <f>'Baseline System Analysis'!J6</f>
        <v>5.414686429003869E-2</v>
      </c>
      <c r="K6" s="53">
        <f>'Baseline System Analysis'!K6</f>
        <v>4.57170533491131E-2</v>
      </c>
      <c r="L6" s="53">
        <f>'Baseline System Analysis'!L6</f>
        <v>3.8991796004088156E-2</v>
      </c>
      <c r="M6" s="53">
        <f>'Baseline System Analysis'!M6</f>
        <v>3.1792887361975948E-2</v>
      </c>
      <c r="N6" s="53">
        <f>'Baseline System Analysis'!N6</f>
        <v>4.2212624824281168E-2</v>
      </c>
      <c r="O6" s="53">
        <f>'Baseline System Analysis'!O6</f>
        <v>5.9766414638595444E-2</v>
      </c>
      <c r="P6" s="53">
        <f>'Baseline System Analysis'!P6</f>
        <v>7.7320204452909727E-2</v>
      </c>
      <c r="Q6" s="53">
        <f>'Baseline System Analysis'!Q6</f>
        <v>9.487399426722401E-2</v>
      </c>
      <c r="R6" s="53">
        <f>'Baseline System Analysis'!R6</f>
        <v>0.11242778408153829</v>
      </c>
      <c r="S6" s="53">
        <f>'Baseline System Analysis'!S6</f>
        <v>0.12998157389585258</v>
      </c>
      <c r="T6" s="53">
        <f>'Baseline System Analysis'!T6</f>
        <v>0.14753536371016684</v>
      </c>
      <c r="U6" s="53">
        <f>'Baseline System Analysis'!U6</f>
        <v>0.40051087482777559</v>
      </c>
      <c r="V6" s="53">
        <f>'Baseline System Analysis'!V6</f>
        <v>0.65348638594538433</v>
      </c>
      <c r="W6" s="53">
        <f>'Baseline System Analysis'!W6</f>
        <v>0.90646189706299307</v>
      </c>
      <c r="X6" s="53">
        <f>'Baseline System Analysis'!X6</f>
        <v>1.1594374081806018</v>
      </c>
      <c r="Y6" s="53">
        <f>'Baseline System Analysis'!Y6</f>
        <v>1.4124129192982104</v>
      </c>
      <c r="Z6" s="53">
        <f>'Baseline System Analysis'!Z6</f>
        <v>1.2710233198999881</v>
      </c>
      <c r="AA6" s="53">
        <f>'Baseline System Analysis'!AA6</f>
        <v>1.1296337205017657</v>
      </c>
      <c r="AB6" s="53">
        <f>'Baseline System Analysis'!AB6</f>
        <v>0.98824412110354332</v>
      </c>
      <c r="AC6" s="53">
        <f>'Baseline System Analysis'!AC6</f>
        <v>0.84685452170532094</v>
      </c>
      <c r="AD6" s="53">
        <f>'Baseline System Analysis'!AD6</f>
        <v>0.70546492230709823</v>
      </c>
    </row>
    <row r="7" spans="1:30" x14ac:dyDescent="0.35">
      <c r="A7" s="72" t="s">
        <v>30</v>
      </c>
      <c r="B7" s="180"/>
      <c r="C7" s="72" t="s">
        <v>35</v>
      </c>
      <c r="D7" s="53">
        <f>'Baseline System Analysis'!D7</f>
        <v>14</v>
      </c>
      <c r="E7" s="53">
        <f>'Baseline System Analysis'!E7</f>
        <v>21</v>
      </c>
      <c r="F7" s="53">
        <f>'Baseline System Analysis'!F7</f>
        <v>23.2</v>
      </c>
      <c r="G7" s="53">
        <f>'Baseline System Analysis'!G7</f>
        <v>25.4</v>
      </c>
      <c r="H7" s="53">
        <f>'Baseline System Analysis'!H7</f>
        <v>27.599999999999998</v>
      </c>
      <c r="I7" s="53">
        <f>'Baseline System Analysis'!I7</f>
        <v>29.799999999999997</v>
      </c>
      <c r="J7" s="53">
        <f>'Baseline System Analysis'!J7</f>
        <v>32</v>
      </c>
      <c r="K7" s="53">
        <f>'Baseline System Analysis'!K7</f>
        <v>30</v>
      </c>
      <c r="L7" s="53">
        <f>'Baseline System Analysis'!L7</f>
        <v>29</v>
      </c>
      <c r="M7" s="53">
        <f>'Baseline System Analysis'!M7</f>
        <v>29</v>
      </c>
      <c r="N7" s="53">
        <f>'Baseline System Analysis'!N7</f>
        <v>29</v>
      </c>
      <c r="O7" s="53">
        <f>'Baseline System Analysis'!O7</f>
        <v>32.666666666666664</v>
      </c>
      <c r="P7" s="53">
        <f>'Baseline System Analysis'!P7</f>
        <v>36.333333333333329</v>
      </c>
      <c r="Q7" s="53">
        <f>'Baseline System Analysis'!Q7</f>
        <v>39.999999999999993</v>
      </c>
      <c r="R7" s="53">
        <f>'Baseline System Analysis'!R7</f>
        <v>43.666666666666657</v>
      </c>
      <c r="S7" s="53">
        <f>'Baseline System Analysis'!S7</f>
        <v>47.333333333333321</v>
      </c>
      <c r="T7" s="53">
        <f>'Baseline System Analysis'!T7</f>
        <v>51</v>
      </c>
      <c r="U7" s="53">
        <f>'Baseline System Analysis'!U7</f>
        <v>56.6</v>
      </c>
      <c r="V7" s="53">
        <f>'Baseline System Analysis'!V7</f>
        <v>62.2</v>
      </c>
      <c r="W7" s="53">
        <f>'Baseline System Analysis'!W7</f>
        <v>67.8</v>
      </c>
      <c r="X7" s="53">
        <f>'Baseline System Analysis'!X7</f>
        <v>73.399999999999991</v>
      </c>
      <c r="Y7" s="53">
        <f>'Baseline System Analysis'!Y7</f>
        <v>79</v>
      </c>
      <c r="Z7" s="53">
        <f>'Baseline System Analysis'!Z7</f>
        <v>82</v>
      </c>
      <c r="AA7" s="53">
        <f>'Baseline System Analysis'!AA7</f>
        <v>85</v>
      </c>
      <c r="AB7" s="53">
        <f>'Baseline System Analysis'!AB7</f>
        <v>88</v>
      </c>
      <c r="AC7" s="53">
        <f>'Baseline System Analysis'!AC7</f>
        <v>91</v>
      </c>
      <c r="AD7" s="53">
        <f>'Baseline System Analysis'!AD7</f>
        <v>94</v>
      </c>
    </row>
    <row r="8" spans="1:30" x14ac:dyDescent="0.35">
      <c r="A8" s="72" t="s">
        <v>39</v>
      </c>
      <c r="B8" s="180"/>
      <c r="C8" s="72" t="s">
        <v>31</v>
      </c>
      <c r="D8" s="53">
        <f>'Baseline System Analysis'!D8</f>
        <v>22.2</v>
      </c>
      <c r="E8" s="53">
        <f>'Baseline System Analysis'!E8</f>
        <v>65.8</v>
      </c>
      <c r="F8" s="53">
        <f>'Baseline System Analysis'!F8</f>
        <v>102.72</v>
      </c>
      <c r="G8" s="53">
        <f>'Baseline System Analysis'!G8</f>
        <v>139.63999999999999</v>
      </c>
      <c r="H8" s="53">
        <f>'Baseline System Analysis'!H8</f>
        <v>176.56</v>
      </c>
      <c r="I8" s="53">
        <f>'Baseline System Analysis'!I8</f>
        <v>213.48000000000002</v>
      </c>
      <c r="J8" s="53">
        <f>'Baseline System Analysis'!J8</f>
        <v>250.4</v>
      </c>
      <c r="K8" s="53">
        <f>'Baseline System Analysis'!K8</f>
        <v>216.60000000000014</v>
      </c>
      <c r="L8" s="53">
        <f>'Baseline System Analysis'!L8</f>
        <v>182.59999999999991</v>
      </c>
      <c r="M8" s="53">
        <f>'Baseline System Analysis'!M8</f>
        <v>151.20000000000005</v>
      </c>
      <c r="N8" s="53">
        <f>'Baseline System Analysis'!N8</f>
        <v>202.60000000000014</v>
      </c>
      <c r="O8" s="53">
        <f>'Baseline System Analysis'!O8</f>
        <v>292.1666666666668</v>
      </c>
      <c r="P8" s="53">
        <f>'Baseline System Analysis'!P8</f>
        <v>381.73333333333346</v>
      </c>
      <c r="Q8" s="53">
        <f>'Baseline System Analysis'!Q8</f>
        <v>471.30000000000013</v>
      </c>
      <c r="R8" s="53">
        <f>'Baseline System Analysis'!R8</f>
        <v>560.86666666666679</v>
      </c>
      <c r="S8" s="53">
        <f>'Baseline System Analysis'!S8</f>
        <v>650.43333333333339</v>
      </c>
      <c r="T8" s="53">
        <f>'Baseline System Analysis'!T8</f>
        <v>740</v>
      </c>
      <c r="U8" s="53">
        <f>'Baseline System Analysis'!U8</f>
        <v>930.87999999999988</v>
      </c>
      <c r="V8" s="53">
        <f>'Baseline System Analysis'!V8</f>
        <v>1121.7599999999998</v>
      </c>
      <c r="W8" s="53">
        <f>'Baseline System Analysis'!W8</f>
        <v>1312.6399999999996</v>
      </c>
      <c r="X8" s="53">
        <f>'Baseline System Analysis'!X8</f>
        <v>1503.5199999999995</v>
      </c>
      <c r="Y8" s="53">
        <f>'Baseline System Analysis'!Y8</f>
        <v>1694.3999999999994</v>
      </c>
      <c r="Z8" s="53">
        <f>'Baseline System Analysis'!Z8</f>
        <v>1887.3999999999994</v>
      </c>
      <c r="AA8" s="53">
        <f>'Baseline System Analysis'!AA8</f>
        <v>2080.3999999999996</v>
      </c>
      <c r="AB8" s="53">
        <f>'Baseline System Analysis'!AB8</f>
        <v>2273.3999999999996</v>
      </c>
      <c r="AC8" s="53">
        <f>'Baseline System Analysis'!AC8</f>
        <v>2466.3999999999996</v>
      </c>
      <c r="AD8" s="53">
        <f>'Baseline System Analysis'!AD8</f>
        <v>2659.3999999999996</v>
      </c>
    </row>
    <row r="9" spans="1:30" x14ac:dyDescent="0.35">
      <c r="A9" s="72" t="s">
        <v>39</v>
      </c>
      <c r="B9" s="180"/>
      <c r="C9" s="72" t="s">
        <v>32</v>
      </c>
      <c r="D9" s="53">
        <f>'Baseline System Analysis'!D9</f>
        <v>13</v>
      </c>
      <c r="E9" s="53">
        <f>'Baseline System Analysis'!E9</f>
        <v>27</v>
      </c>
      <c r="F9" s="53">
        <f>'Baseline System Analysis'!F9</f>
        <v>34.519999999999982</v>
      </c>
      <c r="G9" s="53">
        <f>'Baseline System Analysis'!G9</f>
        <v>42.039999999999964</v>
      </c>
      <c r="H9" s="53">
        <f>'Baseline System Analysis'!H9</f>
        <v>49.559999999999945</v>
      </c>
      <c r="I9" s="53">
        <f>'Baseline System Analysis'!I9</f>
        <v>57.079999999999927</v>
      </c>
      <c r="J9" s="53">
        <f>'Baseline System Analysis'!J9</f>
        <v>64.599999999999909</v>
      </c>
      <c r="K9" s="53">
        <f>'Baseline System Analysis'!K9</f>
        <v>59.799999999999955</v>
      </c>
      <c r="L9" s="53">
        <f>'Baseline System Analysis'!L9</f>
        <v>52.799999999999955</v>
      </c>
      <c r="M9" s="53">
        <f>'Baseline System Analysis'!M9</f>
        <v>46</v>
      </c>
      <c r="N9" s="53">
        <f>'Baseline System Analysis'!N9</f>
        <v>57.400000000000091</v>
      </c>
      <c r="O9" s="53">
        <f>'Baseline System Analysis'!O9</f>
        <v>67.333333333333414</v>
      </c>
      <c r="P9" s="53">
        <f>'Baseline System Analysis'!P9</f>
        <v>77.266666666666737</v>
      </c>
      <c r="Q9" s="53">
        <f>'Baseline System Analysis'!Q9</f>
        <v>87.20000000000006</v>
      </c>
      <c r="R9" s="53">
        <f>'Baseline System Analysis'!R9</f>
        <v>97.133333333333383</v>
      </c>
      <c r="S9" s="53">
        <f>'Baseline System Analysis'!S9</f>
        <v>107.06666666666671</v>
      </c>
      <c r="T9" s="53">
        <f>'Baseline System Analysis'!T9</f>
        <v>117</v>
      </c>
      <c r="U9" s="53">
        <f>'Baseline System Analysis'!U9</f>
        <v>126.6</v>
      </c>
      <c r="V9" s="53">
        <f>'Baseline System Analysis'!V9</f>
        <v>136.19999999999999</v>
      </c>
      <c r="W9" s="53">
        <f>'Baseline System Analysis'!W9</f>
        <v>145.79999999999998</v>
      </c>
      <c r="X9" s="53">
        <f>'Baseline System Analysis'!X9</f>
        <v>155.39999999999998</v>
      </c>
      <c r="Y9" s="53">
        <f>'Baseline System Analysis'!Y9</f>
        <v>165</v>
      </c>
      <c r="Z9" s="53">
        <f>'Baseline System Analysis'!Z9</f>
        <v>171.84</v>
      </c>
      <c r="AA9" s="53">
        <f>'Baseline System Analysis'!AA9</f>
        <v>178.68</v>
      </c>
      <c r="AB9" s="53">
        <f>'Baseline System Analysis'!AB9</f>
        <v>185.52</v>
      </c>
      <c r="AC9" s="53">
        <f>'Baseline System Analysis'!AC9</f>
        <v>192.36</v>
      </c>
      <c r="AD9" s="53">
        <f>'Baseline System Analysis'!AD9</f>
        <v>199.20000000000005</v>
      </c>
    </row>
    <row r="10" spans="1:30" x14ac:dyDescent="0.35">
      <c r="A10" s="72" t="s">
        <v>39</v>
      </c>
      <c r="B10" s="180"/>
      <c r="C10" s="72" t="s">
        <v>33</v>
      </c>
      <c r="D10" s="53">
        <f>'Baseline System Analysis'!D10</f>
        <v>4.7253529883901121E-2</v>
      </c>
      <c r="E10" s="53">
        <f>'Baseline System Analysis'!E10</f>
        <v>0.28011551949195379</v>
      </c>
      <c r="F10" s="53">
        <f>'Baseline System Analysis'!F10</f>
        <v>0.59718244793816533</v>
      </c>
      <c r="G10" s="53">
        <f>'Baseline System Analysis'!G10</f>
        <v>0.91424937638437687</v>
      </c>
      <c r="H10" s="53">
        <f>'Baseline System Analysis'!H10</f>
        <v>1.2313163048305884</v>
      </c>
      <c r="I10" s="53">
        <f>'Baseline System Analysis'!I10</f>
        <v>1.5483832332767999</v>
      </c>
      <c r="J10" s="53">
        <f>'Baseline System Analysis'!J10</f>
        <v>1.8654501617230115</v>
      </c>
      <c r="K10" s="53">
        <f>'Baseline System Analysis'!K10</f>
        <v>1.6136441894137561</v>
      </c>
      <c r="L10" s="53">
        <f>'Baseline System Analysis'!L10</f>
        <v>1.1660127779459895</v>
      </c>
      <c r="M10" s="53">
        <f>'Baseline System Analysis'!M10</f>
        <v>0.80458713045561225</v>
      </c>
      <c r="N10" s="53">
        <f>'Baseline System Analysis'!N10</f>
        <v>0.56680711827214547</v>
      </c>
      <c r="O10" s="53">
        <f>'Baseline System Analysis'!O10</f>
        <v>3.0445179689462347</v>
      </c>
      <c r="P10" s="53">
        <f>'Baseline System Analysis'!P10</f>
        <v>4.5886299372095039</v>
      </c>
      <c r="Q10" s="53">
        <f>'Baseline System Analysis'!Q10</f>
        <v>6.1327419054727734</v>
      </c>
      <c r="R10" s="53">
        <f>'Baseline System Analysis'!R10</f>
        <v>7.676853873736043</v>
      </c>
      <c r="S10" s="53">
        <f>'Baseline System Analysis'!S10</f>
        <v>9.2209658419993126</v>
      </c>
      <c r="T10" s="53">
        <f>'Baseline System Analysis'!T10</f>
        <v>10.765077810262582</v>
      </c>
      <c r="U10" s="53">
        <f>'Baseline System Analysis'!U10</f>
        <v>11.285969377257926</v>
      </c>
      <c r="V10" s="53">
        <f>'Baseline System Analysis'!V10</f>
        <v>11.80686094425327</v>
      </c>
      <c r="W10" s="53">
        <f>'Baseline System Analysis'!W10</f>
        <v>12.327752511248613</v>
      </c>
      <c r="X10" s="53">
        <f>'Baseline System Analysis'!X10</f>
        <v>12.848644078243957</v>
      </c>
      <c r="Y10" s="53">
        <f>'Baseline System Analysis'!Y10</f>
        <v>13.369535645239303</v>
      </c>
      <c r="Z10" s="53">
        <f>'Baseline System Analysis'!Z10</f>
        <v>31.024884631077057</v>
      </c>
      <c r="AA10" s="53">
        <f>'Baseline System Analysis'!AA10</f>
        <v>48.680233616914812</v>
      </c>
      <c r="AB10" s="53">
        <f>'Baseline System Analysis'!AB10</f>
        <v>66.335582602752567</v>
      </c>
      <c r="AC10" s="53">
        <f>'Baseline System Analysis'!AC10</f>
        <v>83.990931588590314</v>
      </c>
      <c r="AD10" s="53">
        <f>'Baseline System Analysis'!AD10</f>
        <v>101.64628057442808</v>
      </c>
    </row>
    <row r="11" spans="1:30" x14ac:dyDescent="0.35">
      <c r="A11" s="72" t="s">
        <v>39</v>
      </c>
      <c r="B11" s="180"/>
      <c r="C11" s="72" t="s">
        <v>34</v>
      </c>
      <c r="D11" s="53">
        <f>'Baseline System Analysis'!D11</f>
        <v>2.3626764941950561E-2</v>
      </c>
      <c r="E11" s="53">
        <f>'Baseline System Analysis'!E11</f>
        <v>7.0028879872988448E-2</v>
      </c>
      <c r="F11" s="53">
        <f>'Baseline System Analysis'!F11</f>
        <v>0.10932167994761965</v>
      </c>
      <c r="G11" s="53">
        <f>'Baseline System Analysis'!G11</f>
        <v>0.14861448002225086</v>
      </c>
      <c r="H11" s="53">
        <f>'Baseline System Analysis'!H11</f>
        <v>0.18790728009688207</v>
      </c>
      <c r="I11" s="53">
        <f>'Baseline System Analysis'!I11</f>
        <v>0.22720008017151327</v>
      </c>
      <c r="J11" s="53">
        <f>'Baseline System Analysis'!J11</f>
        <v>0.26649288024614448</v>
      </c>
      <c r="K11" s="53">
        <f>'Baseline System Analysis'!K11</f>
        <v>0.23052059848767945</v>
      </c>
      <c r="L11" s="53">
        <f>'Baseline System Analysis'!L11</f>
        <v>0.19433546299099821</v>
      </c>
      <c r="M11" s="53">
        <f>'Baseline System Analysis'!M11</f>
        <v>0.16091742609112245</v>
      </c>
      <c r="N11" s="53">
        <f>'Baseline System Analysis'!N11</f>
        <v>4.2212624824281168E-2</v>
      </c>
      <c r="O11" s="53">
        <f>'Baseline System Analysis'!O11</f>
        <v>0.30677545020347896</v>
      </c>
      <c r="P11" s="53">
        <f>'Baseline System Analysis'!P11</f>
        <v>0.39920718602367722</v>
      </c>
      <c r="Q11" s="53">
        <f>'Baseline System Analysis'!Q11</f>
        <v>0.49163892184387548</v>
      </c>
      <c r="R11" s="53">
        <f>'Baseline System Analysis'!R11</f>
        <v>0.58407065766407373</v>
      </c>
      <c r="S11" s="53">
        <f>'Baseline System Analysis'!S11</f>
        <v>0.67650239348427199</v>
      </c>
      <c r="T11" s="53">
        <f>'Baseline System Analysis'!T11</f>
        <v>0.76893412930447014</v>
      </c>
      <c r="U11" s="53">
        <f>'Baseline System Analysis'!U11</f>
        <v>0.69278283231502535</v>
      </c>
      <c r="V11" s="53">
        <f>'Baseline System Analysis'!V11</f>
        <v>0.61663153532558057</v>
      </c>
      <c r="W11" s="53">
        <f>'Baseline System Analysis'!W11</f>
        <v>0.54048023833613579</v>
      </c>
      <c r="X11" s="53">
        <f>'Baseline System Analysis'!X11</f>
        <v>0.464328941346691</v>
      </c>
      <c r="Y11" s="53">
        <f>'Baseline System Analysis'!Y11</f>
        <v>0.38817764435724611</v>
      </c>
      <c r="Z11" s="53">
        <f>'Baseline System Analysis'!Z11</f>
        <v>0.85998146994216484</v>
      </c>
      <c r="AA11" s="53">
        <f>'Baseline System Analysis'!AA11</f>
        <v>1.3317852955270837</v>
      </c>
      <c r="AB11" s="53">
        <f>'Baseline System Analysis'!AB11</f>
        <v>1.8035891211120025</v>
      </c>
      <c r="AC11" s="53">
        <f>'Baseline System Analysis'!AC11</f>
        <v>2.2753929466969214</v>
      </c>
      <c r="AD11" s="53">
        <f>'Baseline System Analysis'!AD11</f>
        <v>2.74719677228184</v>
      </c>
    </row>
    <row r="12" spans="1:30" x14ac:dyDescent="0.35">
      <c r="A12" s="72" t="s">
        <v>39</v>
      </c>
      <c r="B12" s="180"/>
      <c r="C12" s="72" t="s">
        <v>35</v>
      </c>
      <c r="D12" s="53">
        <f>'Baseline System Analysis'!D12</f>
        <v>2</v>
      </c>
      <c r="E12" s="53">
        <f>'Baseline System Analysis'!E12</f>
        <v>4</v>
      </c>
      <c r="F12" s="53">
        <f>'Baseline System Analysis'!F12</f>
        <v>4.5999999999999996</v>
      </c>
      <c r="G12" s="53">
        <f>'Baseline System Analysis'!G12</f>
        <v>5.1999999999999993</v>
      </c>
      <c r="H12" s="53">
        <f>'Baseline System Analysis'!H12</f>
        <v>5.7999999999999989</v>
      </c>
      <c r="I12" s="53">
        <f>'Baseline System Analysis'!I12</f>
        <v>6.3999999999999986</v>
      </c>
      <c r="J12" s="53">
        <f>'Baseline System Analysis'!J12</f>
        <v>7</v>
      </c>
      <c r="K12" s="53">
        <f>'Baseline System Analysis'!K12</f>
        <v>7</v>
      </c>
      <c r="L12" s="53">
        <f>'Baseline System Analysis'!L12</f>
        <v>6</v>
      </c>
      <c r="M12" s="53">
        <f>'Baseline System Analysis'!M12</f>
        <v>5</v>
      </c>
      <c r="N12" s="53">
        <f>'Baseline System Analysis'!N12</f>
        <v>7</v>
      </c>
      <c r="O12" s="53">
        <f>'Baseline System Analysis'!O12</f>
        <v>8.1666666666666661</v>
      </c>
      <c r="P12" s="53">
        <f>'Baseline System Analysis'!P12</f>
        <v>9.3333333333333321</v>
      </c>
      <c r="Q12" s="53">
        <f>'Baseline System Analysis'!Q12</f>
        <v>10.499999999999998</v>
      </c>
      <c r="R12" s="53">
        <f>'Baseline System Analysis'!R12</f>
        <v>11.666666666666664</v>
      </c>
      <c r="S12" s="53">
        <f>'Baseline System Analysis'!S12</f>
        <v>12.83333333333333</v>
      </c>
      <c r="T12" s="53">
        <f>'Baseline System Analysis'!T12</f>
        <v>14</v>
      </c>
      <c r="U12" s="53">
        <f>'Baseline System Analysis'!U12</f>
        <v>17</v>
      </c>
      <c r="V12" s="53">
        <f>'Baseline System Analysis'!V12</f>
        <v>20</v>
      </c>
      <c r="W12" s="53">
        <f>'Baseline System Analysis'!W12</f>
        <v>23</v>
      </c>
      <c r="X12" s="53">
        <f>'Baseline System Analysis'!X12</f>
        <v>26</v>
      </c>
      <c r="Y12" s="53">
        <f>'Baseline System Analysis'!Y12</f>
        <v>29</v>
      </c>
      <c r="Z12" s="53">
        <f>'Baseline System Analysis'!Z12</f>
        <v>30.6</v>
      </c>
      <c r="AA12" s="53">
        <f>'Baseline System Analysis'!AA12</f>
        <v>32.200000000000003</v>
      </c>
      <c r="AB12" s="53">
        <f>'Baseline System Analysis'!AB12</f>
        <v>33.800000000000004</v>
      </c>
      <c r="AC12" s="53">
        <f>'Baseline System Analysis'!AC12</f>
        <v>35.400000000000006</v>
      </c>
      <c r="AD12" s="53">
        <f>'Baseline System Analysis'!AD12</f>
        <v>37</v>
      </c>
    </row>
    <row r="13" spans="1:30" s="52" customFormat="1" x14ac:dyDescent="0.35">
      <c r="A13" s="72" t="s">
        <v>30</v>
      </c>
      <c r="B13" s="180"/>
      <c r="C13" s="72" t="s">
        <v>108</v>
      </c>
      <c r="D13" s="53">
        <f>'Baseline System Analysis'!D13</f>
        <v>5445.825674993449</v>
      </c>
      <c r="E13" s="53">
        <f>'Baseline System Analysis'!E13</f>
        <v>7241.293555071361</v>
      </c>
      <c r="F13" s="53">
        <f>'Baseline System Analysis'!F13</f>
        <v>9036.7614351492721</v>
      </c>
      <c r="G13" s="53">
        <f>'Baseline System Analysis'!G13</f>
        <v>10832.229315227183</v>
      </c>
      <c r="H13" s="53">
        <f>'Baseline System Analysis'!H13</f>
        <v>12627.697195305094</v>
      </c>
      <c r="I13" s="53">
        <f>'Baseline System Analysis'!I13</f>
        <v>14423.165075383005</v>
      </c>
      <c r="J13" s="53">
        <f>'Baseline System Analysis'!J13</f>
        <v>16218.632955460916</v>
      </c>
      <c r="K13" s="53">
        <f>'Baseline System Analysis'!K13</f>
        <v>15620.143662101613</v>
      </c>
      <c r="L13" s="53">
        <f>'Baseline System Analysis'!L13</f>
        <v>15021.654368742309</v>
      </c>
      <c r="M13" s="53">
        <f>'Baseline System Analysis'!M13</f>
        <v>13525.43113534405</v>
      </c>
      <c r="N13" s="53">
        <f>'Baseline System Analysis'!N13</f>
        <v>14423.165075383005</v>
      </c>
      <c r="O13" s="53">
        <f>'Baseline System Analysis'!O13</f>
        <v>16913.232955460899</v>
      </c>
      <c r="P13" s="53">
        <f>'Baseline System Analysis'!P13</f>
        <v>17831.369243247562</v>
      </c>
      <c r="Q13" s="53">
        <f>'Baseline System Analysis'!Q13</f>
        <v>18749.505531034225</v>
      </c>
      <c r="R13" s="53">
        <f>'Baseline System Analysis'!R13</f>
        <v>19667.641818820888</v>
      </c>
      <c r="S13" s="53">
        <f>'Baseline System Analysis'!S13</f>
        <v>20585.778106607551</v>
      </c>
      <c r="T13" s="53">
        <f>'Baseline System Analysis'!T13</f>
        <v>21503.914394394214</v>
      </c>
      <c r="U13" s="53">
        <f>'Baseline System Analysis'!U13</f>
        <v>22422.050682180878</v>
      </c>
      <c r="V13" s="53">
        <f>'Baseline System Analysis'!V13</f>
        <v>23340.186969967541</v>
      </c>
      <c r="W13" s="53">
        <f>'Baseline System Analysis'!W13</f>
        <v>24258.323257754204</v>
      </c>
      <c r="X13" s="53">
        <f>'Baseline System Analysis'!X13</f>
        <v>25176.459545540867</v>
      </c>
      <c r="Y13" s="53">
        <f>'Baseline System Analysis'!Y13</f>
        <v>26094.59583332753</v>
      </c>
      <c r="Z13" s="53">
        <f>'Baseline System Analysis'!Z13</f>
        <v>27012.732121114193</v>
      </c>
      <c r="AA13" s="53">
        <f>'Baseline System Analysis'!AA13</f>
        <v>27930.868408900857</v>
      </c>
      <c r="AB13" s="53">
        <f>'Baseline System Analysis'!AB13</f>
        <v>28849.00469668752</v>
      </c>
      <c r="AC13" s="53">
        <f>'Baseline System Analysis'!AC13</f>
        <v>29767.140984474183</v>
      </c>
      <c r="AD13" s="53">
        <f>'Baseline System Analysis'!AD13</f>
        <v>30685.277272260842</v>
      </c>
    </row>
    <row r="14" spans="1:30" s="52" customFormat="1" x14ac:dyDescent="0.35">
      <c r="A14" s="72" t="s">
        <v>30</v>
      </c>
      <c r="B14" s="180"/>
      <c r="C14" s="72" t="s">
        <v>109</v>
      </c>
      <c r="D14" s="53">
        <f>'Baseline System Analysis'!D14</f>
        <v>192864.66620394157</v>
      </c>
      <c r="E14" s="53">
        <f>'Baseline System Analysis'!E14</f>
        <v>195239.2419650236</v>
      </c>
      <c r="F14" s="53">
        <f>'Baseline System Analysis'!F14</f>
        <v>196366.76544203321</v>
      </c>
      <c r="G14" s="53">
        <f>'Baseline System Analysis'!G14</f>
        <v>197525.37556068008</v>
      </c>
      <c r="H14" s="53">
        <f>'Baseline System Analysis'!H14</f>
        <v>198743.92387830256</v>
      </c>
      <c r="I14" s="53">
        <f>'Baseline System Analysis'!I14</f>
        <v>200140.93841202525</v>
      </c>
      <c r="J14" s="53">
        <f>'Baseline System Analysis'!J14</f>
        <v>201537.7102617296</v>
      </c>
      <c r="K14" s="53">
        <f>'Baseline System Analysis'!K14</f>
        <v>200616.89493678272</v>
      </c>
      <c r="L14" s="53">
        <f>'Baseline System Analysis'!L14</f>
        <v>199696.14928779242</v>
      </c>
      <c r="M14" s="53">
        <f>'Baseline System Analysis'!M14</f>
        <v>198775.23322502323</v>
      </c>
      <c r="N14" s="53">
        <f>'Baseline System Analysis'!N14</f>
        <v>200250.33489773443</v>
      </c>
      <c r="O14" s="53">
        <f>'Baseline System Analysis'!O14</f>
        <v>201766.1654636735</v>
      </c>
      <c r="P14" s="53">
        <f>'Baseline System Analysis'!P14</f>
        <v>203325.96278464468</v>
      </c>
      <c r="Q14" s="53">
        <f>'Baseline System Analysis'!Q14</f>
        <v>204856.96017693213</v>
      </c>
      <c r="R14" s="53">
        <f>'Baseline System Analysis'!R14</f>
        <v>206421.18825616254</v>
      </c>
      <c r="S14" s="53">
        <f>'Baseline System Analysis'!S14</f>
        <v>208013.70502273936</v>
      </c>
      <c r="T14" s="53">
        <f>'Baseline System Analysis'!T14</f>
        <v>209643.37199318074</v>
      </c>
      <c r="U14" s="53">
        <f>'Baseline System Analysis'!U14</f>
        <v>211125.2902170599</v>
      </c>
      <c r="V14" s="53">
        <f>'Baseline System Analysis'!V14</f>
        <v>212613.854578328</v>
      </c>
      <c r="W14" s="53">
        <f>'Baseline System Analysis'!W14</f>
        <v>214101.90769825791</v>
      </c>
      <c r="X14" s="53">
        <f>'Baseline System Analysis'!X14</f>
        <v>215599.50398982322</v>
      </c>
      <c r="Y14" s="53">
        <f>'Baseline System Analysis'!Y14</f>
        <v>216849.14823265999</v>
      </c>
      <c r="Z14" s="53">
        <f>'Baseline System Analysis'!Z14</f>
        <v>218069.3108916957</v>
      </c>
      <c r="AA14" s="53">
        <f>'Baseline System Analysis'!AA14</f>
        <v>219248.74465750376</v>
      </c>
      <c r="AB14" s="53">
        <f>'Baseline System Analysis'!AB14</f>
        <v>220395.79980526475</v>
      </c>
      <c r="AC14" s="53">
        <f>'Baseline System Analysis'!AC14</f>
        <v>221214.46760051764</v>
      </c>
      <c r="AD14" s="53">
        <f>'Baseline System Analysis'!AD14</f>
        <v>221946.05395460132</v>
      </c>
    </row>
    <row r="15" spans="1:30" s="52" customFormat="1" x14ac:dyDescent="0.35">
      <c r="A15" s="72" t="s">
        <v>30</v>
      </c>
      <c r="B15" s="180"/>
      <c r="C15" s="72" t="s">
        <v>110</v>
      </c>
      <c r="D15" s="53">
        <f>'Baseline System Analysis'!D15</f>
        <v>57814.1637958055</v>
      </c>
      <c r="E15" s="53">
        <f>'Baseline System Analysis'!E15</f>
        <v>62191.746894023359</v>
      </c>
      <c r="F15" s="53">
        <f>'Baseline System Analysis'!F15</f>
        <v>64361.105239567863</v>
      </c>
      <c r="G15" s="53">
        <f>'Baseline System Analysis'!G15</f>
        <v>66628.501001105484</v>
      </c>
      <c r="H15" s="53">
        <f>'Baseline System Analysis'!H15</f>
        <v>69068.22672153436</v>
      </c>
      <c r="I15" s="53">
        <f>'Baseline System Analysis'!I15</f>
        <v>71918.961016641551</v>
      </c>
      <c r="J15" s="53">
        <f>'Baseline System Analysis'!J15</f>
        <v>74820.679205256296</v>
      </c>
      <c r="K15" s="53">
        <f>'Baseline System Analysis'!K15</f>
        <v>72899.28225345345</v>
      </c>
      <c r="L15" s="53">
        <f>'Baseline System Analysis'!L15</f>
        <v>71006.352594376862</v>
      </c>
      <c r="M15" s="53">
        <f>'Baseline System Analysis'!M15</f>
        <v>69131.616141376318</v>
      </c>
      <c r="N15" s="53">
        <f>'Baseline System Analysis'!N15</f>
        <v>72143.764963991809</v>
      </c>
      <c r="O15" s="53">
        <f>'Baseline System Analysis'!O15</f>
        <v>75301.925896232133</v>
      </c>
      <c r="P15" s="53">
        <f>'Baseline System Analysis'!P15</f>
        <v>78629.627518656707</v>
      </c>
      <c r="Q15" s="53">
        <f>'Baseline System Analysis'!Q15</f>
        <v>81951.057574073071</v>
      </c>
      <c r="R15" s="53">
        <f>'Baseline System Analysis'!R15</f>
        <v>85383.424638269789</v>
      </c>
      <c r="S15" s="53">
        <f>'Baseline System Analysis'!S15</f>
        <v>88945.971119594135</v>
      </c>
      <c r="T15" s="53">
        <f>'Baseline System Analysis'!T15</f>
        <v>92676.895920951385</v>
      </c>
      <c r="U15" s="53">
        <f>'Baseline System Analysis'!U15</f>
        <v>96145.729908431153</v>
      </c>
      <c r="V15" s="53">
        <f>'Baseline System Analysis'!V15</f>
        <v>99700.858162341799</v>
      </c>
      <c r="W15" s="53">
        <f>'Baseline System Analysis'!W15</f>
        <v>103340.20977892888</v>
      </c>
      <c r="X15" s="53">
        <f>'Baseline System Analysis'!X15</f>
        <v>107065.51818072386</v>
      </c>
      <c r="Y15" s="53">
        <f>'Baseline System Analysis'!Y15</f>
        <v>110237.64392344528</v>
      </c>
      <c r="Z15" s="53">
        <f>'Baseline System Analysis'!Z15</f>
        <v>113355.67104643886</v>
      </c>
      <c r="AA15" s="53">
        <f>'Baseline System Analysis'!AA15</f>
        <v>116394.79841235251</v>
      </c>
      <c r="AB15" s="53">
        <f>'Baseline System Analysis'!AB15</f>
        <v>119393.94598127359</v>
      </c>
      <c r="AC15" s="53">
        <f>'Baseline System Analysis'!AC15</f>
        <v>121552.79504833522</v>
      </c>
      <c r="AD15" s="53">
        <f>'Baseline System Analysis'!AD15</f>
        <v>123501.36707164065</v>
      </c>
    </row>
    <row r="17" spans="1:30" ht="20" thickBot="1" x14ac:dyDescent="0.5">
      <c r="A17" s="113"/>
      <c r="B17" s="122"/>
      <c r="C17" s="113" t="s">
        <v>105</v>
      </c>
      <c r="D17" s="113">
        <v>2022</v>
      </c>
      <c r="E17" s="113">
        <v>2023</v>
      </c>
      <c r="F17" s="113">
        <v>2024</v>
      </c>
      <c r="G17" s="113">
        <v>2025</v>
      </c>
      <c r="H17" s="113">
        <v>2026</v>
      </c>
      <c r="I17" s="113">
        <v>2027</v>
      </c>
      <c r="J17" s="113">
        <v>2028</v>
      </c>
      <c r="K17" s="113">
        <v>2029</v>
      </c>
      <c r="L17" s="113">
        <v>2030</v>
      </c>
      <c r="M17" s="113">
        <v>2031</v>
      </c>
      <c r="N17" s="113">
        <v>2032</v>
      </c>
      <c r="O17" s="113">
        <v>2033</v>
      </c>
      <c r="P17" s="113">
        <v>2034</v>
      </c>
      <c r="Q17" s="113">
        <v>2035</v>
      </c>
      <c r="R17" s="113">
        <v>2036</v>
      </c>
      <c r="S17" s="113">
        <v>2037</v>
      </c>
      <c r="T17" s="113">
        <v>2038</v>
      </c>
      <c r="U17" s="113">
        <v>2039</v>
      </c>
      <c r="V17" s="113">
        <v>2040</v>
      </c>
      <c r="W17" s="113">
        <v>2041</v>
      </c>
      <c r="X17" s="113">
        <v>2042</v>
      </c>
      <c r="Y17" s="113">
        <v>2043</v>
      </c>
      <c r="Z17" s="113">
        <v>2044</v>
      </c>
      <c r="AA17" s="113">
        <v>2045</v>
      </c>
      <c r="AB17" s="113">
        <v>2046</v>
      </c>
      <c r="AC17" s="113">
        <v>2047</v>
      </c>
      <c r="AD17" s="113">
        <v>2048</v>
      </c>
    </row>
    <row r="18" spans="1:30" ht="49.75" customHeight="1" thickTop="1" x14ac:dyDescent="0.35">
      <c r="A18" s="72"/>
      <c r="B18" s="179" t="s">
        <v>157</v>
      </c>
      <c r="C18" s="72" t="s">
        <v>107</v>
      </c>
      <c r="D18" s="53">
        <v>49328.200000000405</v>
      </c>
      <c r="E18" s="53">
        <v>49736.291346154219</v>
      </c>
      <c r="F18" s="53">
        <v>50144.382692308034</v>
      </c>
      <c r="G18" s="53">
        <v>50552.474038461849</v>
      </c>
      <c r="H18" s="53">
        <v>50960.565384615664</v>
      </c>
      <c r="I18" s="53">
        <v>51368.656730769479</v>
      </c>
      <c r="J18" s="53">
        <v>51776.748076923293</v>
      </c>
      <c r="K18" s="53">
        <v>51088.999999999942</v>
      </c>
      <c r="L18" s="53">
        <v>50877.450000000033</v>
      </c>
      <c r="M18" s="53">
        <v>50664.200000000375</v>
      </c>
      <c r="N18" s="53">
        <v>51004.824999999888</v>
      </c>
      <c r="O18" s="53">
        <v>51341.95156249986</v>
      </c>
      <c r="P18" s="53">
        <v>51679.078124999833</v>
      </c>
      <c r="Q18" s="53">
        <v>52016.204687499805</v>
      </c>
      <c r="R18" s="53">
        <v>52353.331249999777</v>
      </c>
      <c r="S18" s="53">
        <v>52690.45781249975</v>
      </c>
      <c r="T18" s="53">
        <v>53027.584374999722</v>
      </c>
      <c r="U18" s="53">
        <v>53364.710937499694</v>
      </c>
      <c r="V18" s="53">
        <v>53701.837499999667</v>
      </c>
      <c r="W18" s="53">
        <v>54038.964062499639</v>
      </c>
      <c r="X18" s="53">
        <v>54376.090624999611</v>
      </c>
      <c r="Y18" s="53">
        <v>54713.217187499584</v>
      </c>
      <c r="Z18" s="53">
        <v>55050.343749999556</v>
      </c>
      <c r="AA18" s="53">
        <v>55387.470312499529</v>
      </c>
      <c r="AB18" s="53">
        <v>55724.596874999501</v>
      </c>
      <c r="AC18" s="53">
        <v>56061.723437499473</v>
      </c>
      <c r="AD18" s="53">
        <v>56398.849999999438</v>
      </c>
    </row>
    <row r="19" spans="1:30" x14ac:dyDescent="0.35">
      <c r="A19" s="72" t="s">
        <v>30</v>
      </c>
      <c r="B19" s="180"/>
      <c r="C19" s="72" t="s">
        <v>31</v>
      </c>
      <c r="D19" s="53">
        <v>5.7999999999999829</v>
      </c>
      <c r="E19" s="53">
        <v>14.48333333333332</v>
      </c>
      <c r="F19" s="53">
        <v>23.166666666666657</v>
      </c>
      <c r="G19" s="53">
        <v>31.849999999999994</v>
      </c>
      <c r="H19" s="53">
        <v>40.533333333333331</v>
      </c>
      <c r="I19" s="53">
        <v>49.216666666666669</v>
      </c>
      <c r="J19" s="53">
        <v>57.900000000000006</v>
      </c>
      <c r="K19" s="53">
        <v>52.5</v>
      </c>
      <c r="L19" s="53">
        <v>44.099999999999966</v>
      </c>
      <c r="M19" s="53">
        <v>35.900000000000006</v>
      </c>
      <c r="N19" s="53">
        <v>48.499999999999972</v>
      </c>
      <c r="O19" s="53">
        <v>61.10000000000008</v>
      </c>
      <c r="P19" s="53">
        <v>82.380000000000067</v>
      </c>
      <c r="Q19" s="53">
        <v>103.66000000000005</v>
      </c>
      <c r="R19" s="53">
        <v>124.94000000000004</v>
      </c>
      <c r="S19" s="53">
        <v>146.22000000000003</v>
      </c>
      <c r="T19" s="53">
        <v>167.5</v>
      </c>
      <c r="U19" s="53">
        <v>220.02</v>
      </c>
      <c r="V19" s="53">
        <v>272.54000000000002</v>
      </c>
      <c r="W19" s="53">
        <v>325.06</v>
      </c>
      <c r="X19" s="53">
        <v>377.58</v>
      </c>
      <c r="Y19" s="53">
        <v>430.1</v>
      </c>
      <c r="Z19" s="53">
        <v>490.70000000000005</v>
      </c>
      <c r="AA19" s="53">
        <v>551.30000000000007</v>
      </c>
      <c r="AB19" s="53">
        <v>611.90000000000009</v>
      </c>
      <c r="AC19" s="53">
        <v>672.50000000000011</v>
      </c>
      <c r="AD19" s="53">
        <v>733.1</v>
      </c>
    </row>
    <row r="20" spans="1:30" x14ac:dyDescent="0.35">
      <c r="A20" s="72" t="s">
        <v>30</v>
      </c>
      <c r="B20" s="180"/>
      <c r="C20" s="72" t="s">
        <v>32</v>
      </c>
      <c r="D20" s="53">
        <v>3</v>
      </c>
      <c r="E20" s="53">
        <v>4.916666666666667</v>
      </c>
      <c r="F20" s="53">
        <v>6.8333333333333339</v>
      </c>
      <c r="G20" s="53">
        <v>8.75</v>
      </c>
      <c r="H20" s="53">
        <v>10.666666666666666</v>
      </c>
      <c r="I20" s="53">
        <v>12.583333333333332</v>
      </c>
      <c r="J20" s="53">
        <v>14.5</v>
      </c>
      <c r="K20" s="53">
        <v>13.5</v>
      </c>
      <c r="L20" s="53">
        <v>11.800000000000011</v>
      </c>
      <c r="M20" s="53">
        <v>10.100000000000023</v>
      </c>
      <c r="N20" s="53">
        <v>12.899999999999977</v>
      </c>
      <c r="O20" s="53">
        <v>15.100000000000023</v>
      </c>
      <c r="P20" s="53">
        <v>17.260000000000012</v>
      </c>
      <c r="Q20" s="53">
        <v>19.420000000000002</v>
      </c>
      <c r="R20" s="53">
        <v>21.579999999999991</v>
      </c>
      <c r="S20" s="53">
        <v>23.739999999999981</v>
      </c>
      <c r="T20" s="53">
        <v>25.899999999999977</v>
      </c>
      <c r="U20" s="53">
        <v>27.819999999999983</v>
      </c>
      <c r="V20" s="53">
        <v>29.739999999999988</v>
      </c>
      <c r="W20" s="53">
        <v>31.659999999999993</v>
      </c>
      <c r="X20" s="53">
        <v>33.58</v>
      </c>
      <c r="Y20" s="53">
        <v>35.5</v>
      </c>
      <c r="Z20" s="53">
        <v>36.58</v>
      </c>
      <c r="AA20" s="53">
        <v>37.659999999999997</v>
      </c>
      <c r="AB20" s="53">
        <v>38.739999999999995</v>
      </c>
      <c r="AC20" s="53">
        <v>39.819999999999993</v>
      </c>
      <c r="AD20" s="53">
        <v>40.899999999999977</v>
      </c>
    </row>
    <row r="21" spans="1:30" x14ac:dyDescent="0.35">
      <c r="A21" s="72" t="s">
        <v>30</v>
      </c>
      <c r="B21" s="180"/>
      <c r="C21" s="72" t="s">
        <v>33</v>
      </c>
      <c r="D21" s="53">
        <v>1.589413014335395E-2</v>
      </c>
      <c r="E21" s="53">
        <v>8.3763892766986259E-2</v>
      </c>
      <c r="F21" s="53">
        <v>0.15163365539061857</v>
      </c>
      <c r="G21" s="53">
        <v>0.21950341801425088</v>
      </c>
      <c r="H21" s="53">
        <v>0.2873731806378832</v>
      </c>
      <c r="I21" s="53">
        <v>0.35524294326151551</v>
      </c>
      <c r="J21" s="53">
        <v>0.42311270588514782</v>
      </c>
      <c r="K21" s="53">
        <v>0.33569499009670084</v>
      </c>
      <c r="L21" s="53">
        <v>0.28198379168122845</v>
      </c>
      <c r="M21" s="53">
        <v>0.19675836970565813</v>
      </c>
      <c r="N21" s="53">
        <v>0.31011822894647584</v>
      </c>
      <c r="O21" s="53">
        <v>0.44649717322249682</v>
      </c>
      <c r="P21" s="53">
        <v>0.87624427563870033</v>
      </c>
      <c r="Q21" s="53">
        <v>1.305991378054904</v>
      </c>
      <c r="R21" s="53">
        <v>1.7357384804711073</v>
      </c>
      <c r="S21" s="53">
        <v>2.1654855828873107</v>
      </c>
      <c r="T21" s="53">
        <v>2.5952326853035141</v>
      </c>
      <c r="U21" s="53">
        <v>4.3787527413114233</v>
      </c>
      <c r="V21" s="53">
        <v>6.162272797319333</v>
      </c>
      <c r="W21" s="53">
        <v>7.9457928533272426</v>
      </c>
      <c r="X21" s="53">
        <v>9.7293129093351514</v>
      </c>
      <c r="Y21" s="53">
        <v>11.512832965343062</v>
      </c>
      <c r="Z21" s="53">
        <v>14.811529356203364</v>
      </c>
      <c r="AA21" s="53">
        <v>18.110225747063666</v>
      </c>
      <c r="AB21" s="53">
        <v>21.408922137923966</v>
      </c>
      <c r="AC21" s="53">
        <v>24.707618528784266</v>
      </c>
      <c r="AD21" s="53">
        <v>28.00631491964457</v>
      </c>
    </row>
    <row r="22" spans="1:30" x14ac:dyDescent="0.35">
      <c r="A22" s="72" t="s">
        <v>30</v>
      </c>
      <c r="B22" s="180"/>
      <c r="C22" s="72" t="s">
        <v>34</v>
      </c>
      <c r="D22" s="53">
        <v>5.2980433811179832E-3</v>
      </c>
      <c r="E22" s="53">
        <v>1.3229884190205566E-2</v>
      </c>
      <c r="F22" s="53">
        <v>2.1161724999293148E-2</v>
      </c>
      <c r="G22" s="53">
        <v>2.9093565808380732E-2</v>
      </c>
      <c r="H22" s="53">
        <v>3.7025406617468316E-2</v>
      </c>
      <c r="I22" s="53">
        <v>4.4957247426555901E-2</v>
      </c>
      <c r="J22" s="53">
        <v>5.2889088235643478E-2</v>
      </c>
      <c r="K22" s="53">
        <v>4.7956427156671547E-2</v>
      </c>
      <c r="L22" s="53">
        <v>4.0283398811604067E-2</v>
      </c>
      <c r="M22" s="53">
        <v>3.2793061617609691E-2</v>
      </c>
      <c r="N22" s="53">
        <v>4.4302604135210831E-2</v>
      </c>
      <c r="O22" s="53">
        <v>5.5812146652812103E-2</v>
      </c>
      <c r="P22" s="53">
        <v>7.5253192874087688E-2</v>
      </c>
      <c r="Q22" s="53">
        <v>9.4694239095363286E-2</v>
      </c>
      <c r="R22" s="53">
        <v>0.11413528531663888</v>
      </c>
      <c r="S22" s="53">
        <v>0.13357633153791448</v>
      </c>
      <c r="T22" s="53">
        <v>0.15301737775919005</v>
      </c>
      <c r="U22" s="53">
        <v>0.20155147472899532</v>
      </c>
      <c r="V22" s="53">
        <v>0.25008557169880058</v>
      </c>
      <c r="W22" s="53">
        <v>0.29861966866860584</v>
      </c>
      <c r="X22" s="53">
        <v>0.3471537656384111</v>
      </c>
      <c r="Y22" s="53">
        <v>0.39568786260821631</v>
      </c>
      <c r="Z22" s="53">
        <v>0.45221430727952383</v>
      </c>
      <c r="AA22" s="53">
        <v>0.50874075195083135</v>
      </c>
      <c r="AB22" s="53">
        <v>0.56526719662213887</v>
      </c>
      <c r="AC22" s="53">
        <v>0.62179364129344639</v>
      </c>
      <c r="AD22" s="53">
        <v>0.67832008596475402</v>
      </c>
    </row>
    <row r="23" spans="1:30" x14ac:dyDescent="0.35">
      <c r="A23" s="72" t="s">
        <v>30</v>
      </c>
      <c r="B23" s="180"/>
      <c r="C23" s="72" t="s">
        <v>35</v>
      </c>
      <c r="D23" s="53">
        <v>3</v>
      </c>
      <c r="E23" s="53">
        <v>3.8333333333333335</v>
      </c>
      <c r="F23" s="53">
        <v>4.666666666666667</v>
      </c>
      <c r="G23" s="53">
        <v>5.5</v>
      </c>
      <c r="H23" s="53">
        <v>6.333333333333333</v>
      </c>
      <c r="I23" s="53">
        <v>7.1666666666666661</v>
      </c>
      <c r="J23" s="53">
        <v>8</v>
      </c>
      <c r="K23" s="53">
        <v>7</v>
      </c>
      <c r="L23" s="53">
        <v>6.9999999999999991</v>
      </c>
      <c r="M23" s="53">
        <v>6</v>
      </c>
      <c r="N23" s="53">
        <v>7</v>
      </c>
      <c r="O23" s="53">
        <v>8</v>
      </c>
      <c r="P23" s="53">
        <v>9.8000000000000007</v>
      </c>
      <c r="Q23" s="53">
        <v>11.600000000000001</v>
      </c>
      <c r="R23" s="53">
        <v>13.400000000000002</v>
      </c>
      <c r="S23" s="53">
        <v>15.200000000000003</v>
      </c>
      <c r="T23" s="53">
        <v>17</v>
      </c>
      <c r="U23" s="53">
        <v>19.600000000000001</v>
      </c>
      <c r="V23" s="53">
        <v>22.200000000000003</v>
      </c>
      <c r="W23" s="53">
        <v>24.800000000000004</v>
      </c>
      <c r="X23" s="53">
        <v>27.400000000000006</v>
      </c>
      <c r="Y23" s="53">
        <v>30</v>
      </c>
      <c r="Z23" s="53">
        <v>32.799999999999997</v>
      </c>
      <c r="AA23" s="53">
        <v>35.599999999999994</v>
      </c>
      <c r="AB23" s="53">
        <v>38.399999999999991</v>
      </c>
      <c r="AC23" s="53">
        <v>41.199999999999989</v>
      </c>
      <c r="AD23" s="53">
        <v>44</v>
      </c>
    </row>
    <row r="24" spans="1:30" x14ac:dyDescent="0.35">
      <c r="A24" s="72" t="s">
        <v>30</v>
      </c>
      <c r="B24" s="180"/>
      <c r="C24" s="72" t="s">
        <v>108</v>
      </c>
      <c r="D24" s="53">
        <v>3808.3606649666053</v>
      </c>
      <c r="E24" s="53">
        <v>5063.9625989576198</v>
      </c>
      <c r="F24" s="53">
        <v>6319.5645329486342</v>
      </c>
      <c r="G24" s="53">
        <v>7575.1664669396487</v>
      </c>
      <c r="H24" s="53">
        <v>8830.7684009306613</v>
      </c>
      <c r="I24" s="53">
        <v>10086.370334921676</v>
      </c>
      <c r="J24" s="53">
        <v>11341.97226891269</v>
      </c>
      <c r="K24" s="53">
        <v>10868.455604166578</v>
      </c>
      <c r="L24" s="53">
        <v>10394.938939420466</v>
      </c>
      <c r="M24" s="53">
        <v>9921.4222746743526</v>
      </c>
      <c r="N24" s="53">
        <v>10158.180607047409</v>
      </c>
      <c r="O24" s="53">
        <v>11732.447696763189</v>
      </c>
      <c r="P24" s="53">
        <v>12452.819245108331</v>
      </c>
      <c r="Q24" s="53">
        <v>13173.190793453474</v>
      </c>
      <c r="R24" s="53">
        <v>13893.562341798617</v>
      </c>
      <c r="S24" s="53">
        <v>14613.933890143759</v>
      </c>
      <c r="T24" s="53">
        <v>15334.3054384889</v>
      </c>
      <c r="U24" s="53">
        <v>16054.676986834043</v>
      </c>
      <c r="V24" s="53">
        <v>16775.048535179187</v>
      </c>
      <c r="W24" s="53">
        <v>17495.420083524328</v>
      </c>
      <c r="X24" s="53">
        <v>18215.79163186947</v>
      </c>
      <c r="Y24" s="53">
        <v>18936.163180214615</v>
      </c>
      <c r="Z24" s="53">
        <v>19656.534728559756</v>
      </c>
      <c r="AA24" s="53">
        <v>20376.906276904898</v>
      </c>
      <c r="AB24" s="53">
        <v>21097.277825250039</v>
      </c>
      <c r="AC24" s="53">
        <v>21817.649373595181</v>
      </c>
      <c r="AD24" s="53">
        <v>22538.02092194033</v>
      </c>
    </row>
    <row r="25" spans="1:30" x14ac:dyDescent="0.35">
      <c r="A25" s="72" t="s">
        <v>30</v>
      </c>
      <c r="B25" s="180"/>
      <c r="C25" s="72" t="s">
        <v>109</v>
      </c>
      <c r="D25" s="53">
        <v>192864.66620394157</v>
      </c>
      <c r="E25" s="53">
        <v>195239.2419650236</v>
      </c>
      <c r="F25" s="53">
        <v>196366.76544203321</v>
      </c>
      <c r="G25" s="53">
        <v>197525.37556068008</v>
      </c>
      <c r="H25" s="53">
        <v>198743.92387830256</v>
      </c>
      <c r="I25" s="53">
        <v>200140.93841202525</v>
      </c>
      <c r="J25" s="53">
        <v>201537.7102617296</v>
      </c>
      <c r="K25" s="53">
        <v>200616.89493678272</v>
      </c>
      <c r="L25" s="53">
        <v>199696.14928779242</v>
      </c>
      <c r="M25" s="53">
        <v>198775.23322502323</v>
      </c>
      <c r="N25" s="53">
        <v>200250.33489773443</v>
      </c>
      <c r="O25" s="53">
        <v>201766.1654636735</v>
      </c>
      <c r="P25" s="53">
        <v>203325.96278464468</v>
      </c>
      <c r="Q25" s="53">
        <v>204856.96017693213</v>
      </c>
      <c r="R25" s="53">
        <v>206421.18825616254</v>
      </c>
      <c r="S25" s="53">
        <v>208013.70502273936</v>
      </c>
      <c r="T25" s="53">
        <v>209643.37199318074</v>
      </c>
      <c r="U25" s="53">
        <v>211125.2902170599</v>
      </c>
      <c r="V25" s="53">
        <v>212613.854578328</v>
      </c>
      <c r="W25" s="53">
        <v>214101.90769825791</v>
      </c>
      <c r="X25" s="53">
        <v>215599.50398982322</v>
      </c>
      <c r="Y25" s="53">
        <v>216849.14823265999</v>
      </c>
      <c r="Z25" s="53">
        <v>218069.3108916957</v>
      </c>
      <c r="AA25" s="53">
        <v>219248.74465750376</v>
      </c>
      <c r="AB25" s="53">
        <v>220395.79980526475</v>
      </c>
      <c r="AC25" s="53">
        <v>221214.46760051764</v>
      </c>
      <c r="AD25" s="53">
        <v>221946.05395460132</v>
      </c>
    </row>
    <row r="26" spans="1:30" s="66" customFormat="1" x14ac:dyDescent="0.35">
      <c r="A26" s="72" t="s">
        <v>30</v>
      </c>
      <c r="B26" s="180"/>
      <c r="C26" s="72" t="s">
        <v>110</v>
      </c>
      <c r="D26" s="53">
        <v>15863.846476217259</v>
      </c>
      <c r="E26" s="53">
        <v>17648.293767042403</v>
      </c>
      <c r="F26" s="53">
        <v>18532.244523148096</v>
      </c>
      <c r="G26" s="53">
        <v>19475.148233995918</v>
      </c>
      <c r="H26" s="53">
        <v>20493.678762344603</v>
      </c>
      <c r="I26" s="53">
        <v>21703.196239143919</v>
      </c>
      <c r="J26" s="53">
        <v>22945.987241384046</v>
      </c>
      <c r="K26" s="53">
        <v>22121.167384204149</v>
      </c>
      <c r="L26" s="53">
        <v>21313.216847513409</v>
      </c>
      <c r="M26" s="53">
        <v>20520.343055199748</v>
      </c>
      <c r="N26" s="53">
        <v>21799.181944671545</v>
      </c>
      <c r="O26" s="53">
        <v>23155.160797144639</v>
      </c>
      <c r="P26" s="53">
        <v>24606.212858334246</v>
      </c>
      <c r="Q26" s="53">
        <v>26062.534655766136</v>
      </c>
      <c r="R26" s="53">
        <v>27614.352629039277</v>
      </c>
      <c r="S26" s="53">
        <v>29256.497034562006</v>
      </c>
      <c r="T26" s="53">
        <v>30979.052125443355</v>
      </c>
      <c r="U26" s="53">
        <v>32583.371772255432</v>
      </c>
      <c r="V26" s="53">
        <v>34238.68977756815</v>
      </c>
      <c r="W26" s="53">
        <v>35926.36101064668</v>
      </c>
      <c r="X26" s="53">
        <v>37681.745153968404</v>
      </c>
      <c r="Y26" s="53">
        <v>39178.670783861744</v>
      </c>
      <c r="Z26" s="53">
        <v>40662.761386946149</v>
      </c>
      <c r="AA26" s="53">
        <v>42131.111721124595</v>
      </c>
      <c r="AB26" s="53">
        <v>43588.039918084593</v>
      </c>
      <c r="AC26" s="53">
        <v>44646.029972745077</v>
      </c>
      <c r="AD26" s="53">
        <v>45597.096228981674</v>
      </c>
    </row>
    <row r="27" spans="1:30" s="66" customFormat="1" x14ac:dyDescent="0.35">
      <c r="A27" s="72"/>
      <c r="B27" s="180"/>
      <c r="C27" s="72" t="s">
        <v>153</v>
      </c>
      <c r="D27" s="53">
        <v>0</v>
      </c>
      <c r="E27" s="53">
        <v>0</v>
      </c>
      <c r="F27" s="53">
        <v>0</v>
      </c>
      <c r="G27" s="53">
        <v>0</v>
      </c>
      <c r="H27" s="53">
        <v>0</v>
      </c>
      <c r="I27" s="53">
        <v>0</v>
      </c>
      <c r="J27" s="53">
        <v>0</v>
      </c>
      <c r="K27" s="53">
        <v>0</v>
      </c>
      <c r="L27" s="53">
        <v>0</v>
      </c>
      <c r="M27" s="53">
        <v>0</v>
      </c>
      <c r="N27" s="53">
        <v>0</v>
      </c>
      <c r="O27" s="53">
        <v>0</v>
      </c>
      <c r="P27" s="53">
        <v>0</v>
      </c>
      <c r="Q27" s="53">
        <v>0</v>
      </c>
      <c r="R27" s="53">
        <v>0</v>
      </c>
      <c r="S27" s="53">
        <v>0</v>
      </c>
      <c r="T27" s="53">
        <v>0</v>
      </c>
      <c r="U27" s="53">
        <v>0</v>
      </c>
      <c r="V27" s="53">
        <v>0</v>
      </c>
      <c r="W27" s="53">
        <v>0</v>
      </c>
      <c r="X27" s="51">
        <v>0</v>
      </c>
      <c r="Y27" s="53">
        <v>0</v>
      </c>
      <c r="Z27" s="51">
        <v>0</v>
      </c>
      <c r="AA27" s="51">
        <v>0</v>
      </c>
      <c r="AB27" s="51">
        <v>0</v>
      </c>
      <c r="AC27" s="51">
        <v>0</v>
      </c>
      <c r="AD27" s="53">
        <v>0</v>
      </c>
    </row>
    <row r="28" spans="1:30" x14ac:dyDescent="0.35">
      <c r="A28" s="72" t="s">
        <v>39</v>
      </c>
      <c r="B28" s="180"/>
      <c r="C28" s="72" t="s">
        <v>154</v>
      </c>
      <c r="D28" s="53">
        <v>0</v>
      </c>
      <c r="E28" s="53">
        <v>0</v>
      </c>
      <c r="F28" s="53">
        <v>0</v>
      </c>
      <c r="G28" s="53">
        <v>0</v>
      </c>
      <c r="H28" s="53">
        <v>0</v>
      </c>
      <c r="I28" s="53">
        <v>0</v>
      </c>
      <c r="J28" s="53">
        <v>0</v>
      </c>
      <c r="K28" s="53">
        <v>0</v>
      </c>
      <c r="L28" s="53">
        <v>0</v>
      </c>
      <c r="M28" s="53">
        <v>0</v>
      </c>
      <c r="N28" s="53">
        <v>0</v>
      </c>
      <c r="O28" s="53">
        <v>0</v>
      </c>
      <c r="P28" s="53">
        <v>0</v>
      </c>
      <c r="Q28" s="53">
        <v>0</v>
      </c>
      <c r="R28" s="53">
        <v>0</v>
      </c>
      <c r="S28" s="53">
        <v>0</v>
      </c>
      <c r="T28" s="53">
        <v>0</v>
      </c>
      <c r="U28" s="53">
        <v>0</v>
      </c>
      <c r="V28" s="53">
        <v>0</v>
      </c>
      <c r="W28" s="53">
        <v>0</v>
      </c>
      <c r="X28" s="51">
        <v>0</v>
      </c>
      <c r="Y28" s="53">
        <v>0</v>
      </c>
      <c r="Z28" s="51">
        <v>0</v>
      </c>
      <c r="AA28" s="51">
        <v>0</v>
      </c>
      <c r="AB28" s="51">
        <v>0</v>
      </c>
      <c r="AC28" s="51">
        <v>0</v>
      </c>
      <c r="AD28" s="53">
        <v>0</v>
      </c>
    </row>
    <row r="29" spans="1:30" x14ac:dyDescent="0.35">
      <c r="A29" s="72" t="s">
        <v>39</v>
      </c>
      <c r="B29" s="180"/>
      <c r="C29" s="72" t="s">
        <v>32</v>
      </c>
      <c r="D29" s="53">
        <v>0</v>
      </c>
      <c r="E29" s="53">
        <v>0</v>
      </c>
      <c r="F29" s="53">
        <v>0</v>
      </c>
      <c r="G29" s="53">
        <v>0</v>
      </c>
      <c r="H29" s="53">
        <v>0</v>
      </c>
      <c r="I29" s="53">
        <v>0</v>
      </c>
      <c r="J29" s="53">
        <v>0</v>
      </c>
      <c r="K29" s="53">
        <v>0</v>
      </c>
      <c r="L29" s="53">
        <v>0</v>
      </c>
      <c r="M29" s="53">
        <v>0</v>
      </c>
      <c r="N29" s="53">
        <v>0</v>
      </c>
      <c r="O29" s="53">
        <v>0</v>
      </c>
      <c r="P29" s="53">
        <v>0</v>
      </c>
      <c r="Q29" s="53">
        <v>0</v>
      </c>
      <c r="R29" s="53">
        <v>0</v>
      </c>
      <c r="S29" s="53">
        <v>0</v>
      </c>
      <c r="T29" s="53">
        <v>0</v>
      </c>
      <c r="U29" s="53">
        <v>0</v>
      </c>
      <c r="V29" s="53">
        <v>0</v>
      </c>
      <c r="W29" s="53">
        <v>0</v>
      </c>
      <c r="X29" s="51">
        <v>0</v>
      </c>
      <c r="Y29" s="53">
        <v>0</v>
      </c>
      <c r="Z29" s="51">
        <v>0</v>
      </c>
      <c r="AA29" s="51">
        <v>0</v>
      </c>
      <c r="AB29" s="51">
        <v>0</v>
      </c>
      <c r="AC29" s="51">
        <v>0</v>
      </c>
      <c r="AD29" s="53">
        <v>0</v>
      </c>
    </row>
    <row r="30" spans="1:30" x14ac:dyDescent="0.35">
      <c r="A30" s="72" t="s">
        <v>39</v>
      </c>
      <c r="B30" s="180"/>
      <c r="C30" s="72" t="s">
        <v>33</v>
      </c>
      <c r="D30" s="53">
        <v>0</v>
      </c>
      <c r="E30" s="53">
        <v>0</v>
      </c>
      <c r="F30" s="53">
        <v>0</v>
      </c>
      <c r="G30" s="53">
        <v>0</v>
      </c>
      <c r="H30" s="53">
        <v>0</v>
      </c>
      <c r="I30" s="53">
        <v>0</v>
      </c>
      <c r="J30" s="53">
        <v>0</v>
      </c>
      <c r="K30" s="53">
        <v>0</v>
      </c>
      <c r="L30" s="53">
        <v>0</v>
      </c>
      <c r="M30" s="53">
        <v>0</v>
      </c>
      <c r="N30" s="53">
        <v>0</v>
      </c>
      <c r="O30" s="53">
        <v>0</v>
      </c>
      <c r="P30" s="53">
        <v>0</v>
      </c>
      <c r="Q30" s="53">
        <v>0</v>
      </c>
      <c r="R30" s="53">
        <v>0</v>
      </c>
      <c r="S30" s="53">
        <v>0</v>
      </c>
      <c r="T30" s="53">
        <v>0</v>
      </c>
      <c r="U30" s="53">
        <v>0</v>
      </c>
      <c r="V30" s="53">
        <v>0</v>
      </c>
      <c r="W30" s="53">
        <v>0</v>
      </c>
      <c r="X30" s="51">
        <v>0</v>
      </c>
      <c r="Y30" s="53">
        <v>0</v>
      </c>
      <c r="Z30" s="51">
        <v>0</v>
      </c>
      <c r="AA30" s="51">
        <v>0</v>
      </c>
      <c r="AB30" s="51">
        <v>0</v>
      </c>
      <c r="AC30" s="51">
        <v>0</v>
      </c>
      <c r="AD30" s="53">
        <v>0</v>
      </c>
    </row>
    <row r="31" spans="1:30" x14ac:dyDescent="0.35">
      <c r="A31" s="72" t="s">
        <v>39</v>
      </c>
      <c r="B31" s="180"/>
      <c r="C31" s="72" t="s">
        <v>34</v>
      </c>
      <c r="D31" s="53">
        <v>0</v>
      </c>
      <c r="E31" s="53">
        <v>0</v>
      </c>
      <c r="F31" s="53">
        <v>0</v>
      </c>
      <c r="G31" s="53">
        <v>0</v>
      </c>
      <c r="H31" s="53">
        <v>0</v>
      </c>
      <c r="I31" s="53">
        <v>0</v>
      </c>
      <c r="J31" s="53">
        <v>0</v>
      </c>
      <c r="K31" s="53">
        <v>0</v>
      </c>
      <c r="L31" s="53">
        <v>0</v>
      </c>
      <c r="M31" s="53">
        <v>0</v>
      </c>
      <c r="N31" s="53">
        <v>0</v>
      </c>
      <c r="O31" s="53">
        <v>0</v>
      </c>
      <c r="P31" s="53">
        <v>0</v>
      </c>
      <c r="Q31" s="53">
        <v>0</v>
      </c>
      <c r="R31" s="53">
        <v>0</v>
      </c>
      <c r="S31" s="53">
        <v>0</v>
      </c>
      <c r="T31" s="53">
        <v>0</v>
      </c>
      <c r="U31" s="53">
        <v>0</v>
      </c>
      <c r="V31" s="53">
        <v>0</v>
      </c>
      <c r="W31" s="53">
        <v>0</v>
      </c>
      <c r="X31" s="51">
        <v>0</v>
      </c>
      <c r="Y31" s="53">
        <v>0</v>
      </c>
      <c r="Z31" s="51">
        <v>0</v>
      </c>
      <c r="AA31" s="51">
        <v>0</v>
      </c>
      <c r="AB31" s="51">
        <v>0</v>
      </c>
      <c r="AC31" s="51">
        <v>0</v>
      </c>
      <c r="AD31" s="53">
        <v>0</v>
      </c>
    </row>
    <row r="32" spans="1:30" x14ac:dyDescent="0.35">
      <c r="A32" s="72" t="s">
        <v>39</v>
      </c>
      <c r="B32" s="180"/>
      <c r="C32" s="72" t="s">
        <v>35</v>
      </c>
      <c r="D32" s="53">
        <v>0</v>
      </c>
      <c r="E32" s="53">
        <v>0</v>
      </c>
      <c r="F32" s="53">
        <v>0</v>
      </c>
      <c r="G32" s="53">
        <v>0</v>
      </c>
      <c r="H32" s="53">
        <v>0</v>
      </c>
      <c r="I32" s="53">
        <v>0</v>
      </c>
      <c r="J32" s="53">
        <v>0</v>
      </c>
      <c r="K32" s="53">
        <v>0</v>
      </c>
      <c r="L32" s="53">
        <v>0</v>
      </c>
      <c r="M32" s="53">
        <v>0</v>
      </c>
      <c r="N32" s="53">
        <v>0</v>
      </c>
      <c r="O32" s="53">
        <v>0</v>
      </c>
      <c r="P32" s="53">
        <v>0</v>
      </c>
      <c r="Q32" s="53">
        <v>0</v>
      </c>
      <c r="R32" s="53">
        <v>0</v>
      </c>
      <c r="S32" s="53">
        <v>0</v>
      </c>
      <c r="T32" s="53">
        <v>0</v>
      </c>
      <c r="U32" s="53">
        <v>0</v>
      </c>
      <c r="V32" s="53">
        <v>0</v>
      </c>
      <c r="W32" s="53">
        <v>0</v>
      </c>
      <c r="X32" s="51">
        <v>0</v>
      </c>
      <c r="Y32" s="53">
        <v>0</v>
      </c>
      <c r="Z32" s="51">
        <v>0</v>
      </c>
      <c r="AA32" s="51">
        <v>0</v>
      </c>
      <c r="AB32" s="51">
        <v>0</v>
      </c>
      <c r="AC32" s="51">
        <v>0</v>
      </c>
      <c r="AD32" s="53">
        <v>0</v>
      </c>
    </row>
    <row r="33" spans="1:30" x14ac:dyDescent="0.35">
      <c r="A33" s="72" t="s">
        <v>130</v>
      </c>
      <c r="B33" s="72" t="s">
        <v>111</v>
      </c>
      <c r="C33" s="72" t="s">
        <v>131</v>
      </c>
      <c r="D33" s="53">
        <v>0</v>
      </c>
      <c r="E33" s="53">
        <v>0</v>
      </c>
      <c r="F33" s="53">
        <v>0</v>
      </c>
      <c r="G33" s="53">
        <v>0</v>
      </c>
      <c r="H33" s="53">
        <v>0</v>
      </c>
      <c r="I33" s="53">
        <v>0</v>
      </c>
      <c r="J33" s="53">
        <v>0</v>
      </c>
      <c r="K33" s="53">
        <v>0</v>
      </c>
      <c r="L33" s="53">
        <v>0</v>
      </c>
      <c r="M33" s="53">
        <v>0</v>
      </c>
      <c r="N33" s="53">
        <v>0</v>
      </c>
      <c r="O33" s="53">
        <v>0</v>
      </c>
      <c r="P33" s="53">
        <v>0</v>
      </c>
      <c r="Q33" s="53">
        <v>0</v>
      </c>
      <c r="R33" s="53">
        <v>0</v>
      </c>
      <c r="S33" s="53">
        <v>0</v>
      </c>
      <c r="T33" s="53">
        <v>0</v>
      </c>
      <c r="U33" s="53">
        <v>0</v>
      </c>
      <c r="V33" s="53">
        <v>0</v>
      </c>
      <c r="W33" s="53">
        <v>0</v>
      </c>
      <c r="X33" s="53">
        <v>0</v>
      </c>
      <c r="Y33" s="53">
        <v>0</v>
      </c>
      <c r="Z33" s="53">
        <v>0</v>
      </c>
      <c r="AA33" s="53">
        <v>0</v>
      </c>
      <c r="AB33" s="53">
        <v>0</v>
      </c>
      <c r="AC33" s="53">
        <v>0</v>
      </c>
      <c r="AD33" s="53">
        <v>0</v>
      </c>
    </row>
    <row r="34" spans="1:30" x14ac:dyDescent="0.35">
      <c r="A34" s="72" t="s">
        <v>130</v>
      </c>
      <c r="B34" s="72" t="s">
        <v>132</v>
      </c>
      <c r="C34" s="72" t="s">
        <v>131</v>
      </c>
      <c r="D34" s="53">
        <v>0</v>
      </c>
      <c r="E34" s="53">
        <v>0</v>
      </c>
      <c r="F34" s="53">
        <v>0</v>
      </c>
      <c r="G34" s="53">
        <v>0</v>
      </c>
      <c r="H34" s="53">
        <v>0</v>
      </c>
      <c r="I34" s="53">
        <v>0</v>
      </c>
      <c r="J34" s="53">
        <v>0</v>
      </c>
      <c r="K34" s="53">
        <v>0</v>
      </c>
      <c r="L34" s="53">
        <v>0</v>
      </c>
      <c r="M34" s="53">
        <v>0</v>
      </c>
      <c r="N34" s="53">
        <v>0</v>
      </c>
      <c r="O34" s="53">
        <v>0</v>
      </c>
      <c r="P34" s="53">
        <v>0</v>
      </c>
      <c r="Q34" s="53">
        <v>0</v>
      </c>
      <c r="R34" s="53">
        <v>0</v>
      </c>
      <c r="S34" s="53">
        <v>0</v>
      </c>
      <c r="T34" s="53">
        <v>0</v>
      </c>
      <c r="U34" s="53">
        <v>0</v>
      </c>
      <c r="V34" s="53">
        <v>0</v>
      </c>
      <c r="W34" s="53">
        <v>0</v>
      </c>
      <c r="X34" s="53">
        <v>0</v>
      </c>
      <c r="Y34" s="53">
        <v>0</v>
      </c>
      <c r="Z34" s="53">
        <v>0</v>
      </c>
      <c r="AA34" s="53">
        <v>0</v>
      </c>
      <c r="AB34" s="53">
        <v>0</v>
      </c>
      <c r="AC34" s="53">
        <v>0</v>
      </c>
      <c r="AD34" s="53">
        <v>0</v>
      </c>
    </row>
    <row r="35" spans="1:30" s="52" customFormat="1" x14ac:dyDescent="0.35">
      <c r="A35" s="72" t="s">
        <v>133</v>
      </c>
      <c r="B35" s="72" t="s">
        <v>111</v>
      </c>
      <c r="C35" s="72" t="s">
        <v>131</v>
      </c>
      <c r="D35" s="53">
        <v>1269.4984609921005</v>
      </c>
      <c r="E35" s="51">
        <v>3507.3998571021511</v>
      </c>
      <c r="F35" s="51">
        <v>5745.301253212202</v>
      </c>
      <c r="G35" s="51">
        <v>7983.2026493222529</v>
      </c>
      <c r="H35" s="51">
        <v>10221.104045432305</v>
      </c>
      <c r="I35" s="51">
        <v>12459.005441542355</v>
      </c>
      <c r="J35" s="53">
        <v>14696.906837652406</v>
      </c>
      <c r="K35" s="51">
        <v>13659.366134735234</v>
      </c>
      <c r="L35" s="51">
        <v>11760.714242007025</v>
      </c>
      <c r="M35" s="51">
        <v>9813.2626376474818</v>
      </c>
      <c r="N35" s="53">
        <v>13588.908603733982</v>
      </c>
      <c r="O35" s="51">
        <v>17547.203578976321</v>
      </c>
      <c r="P35" s="51">
        <v>24911.682783246899</v>
      </c>
      <c r="Q35" s="51">
        <v>32276.161987517477</v>
      </c>
      <c r="R35" s="51">
        <v>39640.641191788054</v>
      </c>
      <c r="S35" s="51">
        <v>47005.120396058635</v>
      </c>
      <c r="T35" s="53">
        <v>54369.599600329217</v>
      </c>
      <c r="U35" s="51">
        <v>77256.78591830263</v>
      </c>
      <c r="V35" s="51">
        <v>100143.97223627605</v>
      </c>
      <c r="W35" s="51">
        <v>123031.15855424947</v>
      </c>
      <c r="X35" s="51">
        <v>145918.34487222289</v>
      </c>
      <c r="Y35" s="53">
        <v>168805.53119019631</v>
      </c>
      <c r="Z35" s="51">
        <v>204593.57758659072</v>
      </c>
      <c r="AA35" s="51">
        <v>240381.62398298515</v>
      </c>
      <c r="AB35" s="51">
        <v>276169.67037937959</v>
      </c>
      <c r="AC35" s="51">
        <v>311957.71677577402</v>
      </c>
      <c r="AD35" s="53">
        <v>347745.7631721684</v>
      </c>
    </row>
    <row r="36" spans="1:30" s="52" customFormat="1" x14ac:dyDescent="0.35">
      <c r="A36" s="72" t="s">
        <v>133</v>
      </c>
      <c r="B36" s="72" t="s">
        <v>132</v>
      </c>
      <c r="C36" s="72" t="s">
        <v>131</v>
      </c>
      <c r="D36" s="53">
        <v>5267.7658737530246</v>
      </c>
      <c r="E36" s="51">
        <v>14553.906003485823</v>
      </c>
      <c r="F36" s="51">
        <v>23840.046133218624</v>
      </c>
      <c r="G36" s="51">
        <v>33126.186262951422</v>
      </c>
      <c r="H36" s="51">
        <v>42412.326392684219</v>
      </c>
      <c r="I36" s="51">
        <v>51698.466522417017</v>
      </c>
      <c r="J36" s="53">
        <v>60984.606652149814</v>
      </c>
      <c r="K36" s="51">
        <v>56679.346208442345</v>
      </c>
      <c r="L36" s="51">
        <v>48800.91708546882</v>
      </c>
      <c r="M36" s="51">
        <v>40719.994250624492</v>
      </c>
      <c r="N36" s="53">
        <v>56386.983682010279</v>
      </c>
      <c r="O36" s="51">
        <v>72811.872588558865</v>
      </c>
      <c r="P36" s="51">
        <v>103370.67468423292</v>
      </c>
      <c r="Q36" s="51">
        <v>133929.47677990695</v>
      </c>
      <c r="R36" s="51">
        <v>164488.27887558099</v>
      </c>
      <c r="S36" s="51">
        <v>195047.08097125503</v>
      </c>
      <c r="T36" s="53">
        <v>225605.88306692912</v>
      </c>
      <c r="U36" s="51">
        <v>320575.93835776235</v>
      </c>
      <c r="V36" s="51">
        <v>415545.99364859558</v>
      </c>
      <c r="W36" s="51">
        <v>510516.04893942882</v>
      </c>
      <c r="X36" s="51">
        <v>605486.10423026211</v>
      </c>
      <c r="Y36" s="53">
        <v>700456.15952109534</v>
      </c>
      <c r="Z36" s="51">
        <v>848958.1508885267</v>
      </c>
      <c r="AA36" s="51">
        <v>997460.14225595805</v>
      </c>
      <c r="AB36" s="51">
        <v>1145962.1336233895</v>
      </c>
      <c r="AC36" s="51">
        <v>1294464.1249908209</v>
      </c>
      <c r="AD36" s="53">
        <v>1442966.1163582522</v>
      </c>
    </row>
    <row r="37" spans="1:30" s="52" customFormat="1" ht="29" x14ac:dyDescent="0.35">
      <c r="A37" s="3" t="s">
        <v>134</v>
      </c>
      <c r="B37" s="3" t="s">
        <v>135</v>
      </c>
      <c r="C37" s="72" t="s">
        <v>131</v>
      </c>
      <c r="D37" s="53">
        <v>4851883.8074179851</v>
      </c>
      <c r="E37" s="53">
        <v>5548866.4783700239</v>
      </c>
      <c r="F37" s="53">
        <v>5954619.7490993757</v>
      </c>
      <c r="G37" s="53">
        <v>6363793.177570492</v>
      </c>
      <c r="H37" s="53">
        <v>6862681.5291777924</v>
      </c>
      <c r="I37" s="53">
        <v>7430776.4174247123</v>
      </c>
      <c r="J37" s="53">
        <v>7958064.5940639684</v>
      </c>
      <c r="K37" s="53">
        <v>7957168.0490261456</v>
      </c>
      <c r="L37" s="53">
        <v>7874171.1774361301</v>
      </c>
      <c r="M37" s="53">
        <v>7776287.7266217675</v>
      </c>
      <c r="N37" s="53">
        <v>8450702.8694002908</v>
      </c>
      <c r="O37" s="53">
        <v>9080603.7963677123</v>
      </c>
      <c r="P37" s="53">
        <v>9916810.7160479799</v>
      </c>
      <c r="Q37" s="53">
        <v>10742147.081796253</v>
      </c>
      <c r="R37" s="53">
        <v>11532452.826251276</v>
      </c>
      <c r="S37" s="53">
        <v>12410650.170190752</v>
      </c>
      <c r="T37" s="53">
        <v>13427370.439666543</v>
      </c>
      <c r="U37" s="53">
        <v>14508754.442283049</v>
      </c>
      <c r="V37" s="53">
        <v>15576671.591655424</v>
      </c>
      <c r="W37" s="53">
        <v>16678510.376912402</v>
      </c>
      <c r="X37" s="53">
        <v>17727086.423294671</v>
      </c>
      <c r="Y37" s="53">
        <v>18931202.45624445</v>
      </c>
      <c r="Z37" s="53">
        <v>20126360.67314858</v>
      </c>
      <c r="AA37" s="53">
        <v>21277070.972831454</v>
      </c>
      <c r="AB37" s="53">
        <v>22513024.658740595</v>
      </c>
      <c r="AC37" s="53">
        <v>23603677.486926477</v>
      </c>
      <c r="AD37" s="53">
        <v>24710377.8005694</v>
      </c>
    </row>
    <row r="38" spans="1:30" x14ac:dyDescent="0.35">
      <c r="A38" s="72"/>
      <c r="B38" s="72"/>
      <c r="C38" s="72"/>
      <c r="D38" s="53">
        <v>0</v>
      </c>
      <c r="E38" s="53">
        <v>0</v>
      </c>
      <c r="F38" s="53">
        <v>0</v>
      </c>
      <c r="G38" s="53">
        <v>0</v>
      </c>
      <c r="H38" s="53">
        <v>0</v>
      </c>
      <c r="I38" s="53">
        <v>0</v>
      </c>
      <c r="J38" s="53">
        <v>0</v>
      </c>
      <c r="K38" s="53">
        <v>0</v>
      </c>
      <c r="L38" s="53">
        <v>0</v>
      </c>
      <c r="M38" s="53">
        <v>0</v>
      </c>
      <c r="N38" s="53">
        <v>0</v>
      </c>
      <c r="O38" s="53">
        <v>0</v>
      </c>
      <c r="P38" s="53">
        <v>0</v>
      </c>
      <c r="Q38" s="53">
        <v>0</v>
      </c>
      <c r="R38" s="53">
        <v>0</v>
      </c>
      <c r="S38" s="53">
        <v>0</v>
      </c>
      <c r="T38" s="53">
        <v>0</v>
      </c>
      <c r="U38" s="53">
        <v>0</v>
      </c>
      <c r="V38" s="53">
        <v>0</v>
      </c>
      <c r="W38" s="53">
        <v>0</v>
      </c>
      <c r="X38" s="53">
        <v>0</v>
      </c>
      <c r="Y38" s="53">
        <v>0</v>
      </c>
      <c r="Z38" s="53">
        <v>0</v>
      </c>
      <c r="AA38" s="53">
        <v>0</v>
      </c>
      <c r="AB38" s="53">
        <v>0</v>
      </c>
      <c r="AC38" s="53">
        <v>0</v>
      </c>
      <c r="AD38" s="53"/>
    </row>
    <row r="39" spans="1:30" x14ac:dyDescent="0.35">
      <c r="A39" s="72"/>
      <c r="B39" s="72"/>
      <c r="C39" s="72" t="s">
        <v>136</v>
      </c>
      <c r="D39" s="53">
        <f>'Cost Assumptions'!$B$4</f>
        <v>40</v>
      </c>
      <c r="E39" s="53">
        <f>D39*'Cost Assumptions'!$B$5</f>
        <v>41</v>
      </c>
      <c r="F39" s="53">
        <f>E39*'Cost Assumptions'!$B$5</f>
        <v>42.024999999999999</v>
      </c>
      <c r="G39" s="53">
        <f>F39*'Cost Assumptions'!$B$5</f>
        <v>43.075624999999995</v>
      </c>
      <c r="H39" s="9">
        <f>G39*'Cost Assumptions'!$B$5</f>
        <v>44.152515624999992</v>
      </c>
      <c r="I39" s="9">
        <f>H39*'Cost Assumptions'!$B$5</f>
        <v>45.256328515624986</v>
      </c>
      <c r="J39" s="9">
        <f>I39*'Cost Assumptions'!$B$5</f>
        <v>46.387736728515605</v>
      </c>
      <c r="K39" s="9">
        <f>J39*'Cost Assumptions'!$B$5</f>
        <v>47.547430146728495</v>
      </c>
      <c r="L39" s="9">
        <f>K39*'Cost Assumptions'!$B$5</f>
        <v>48.736115900396705</v>
      </c>
      <c r="M39" s="9">
        <f>L39*'Cost Assumptions'!$B$5</f>
        <v>49.954518797906616</v>
      </c>
      <c r="N39" s="9">
        <f>M39*'Cost Assumptions'!$B$5</f>
        <v>51.203381767854275</v>
      </c>
      <c r="O39" s="9">
        <f>N39*'Cost Assumptions'!$B$5</f>
        <v>52.483466312050624</v>
      </c>
      <c r="P39" s="9">
        <f>O39*'Cost Assumptions'!$B$5</f>
        <v>53.795552969851883</v>
      </c>
      <c r="Q39" s="9">
        <f>P39*'Cost Assumptions'!$B$5</f>
        <v>55.140441794098173</v>
      </c>
      <c r="R39" s="9">
        <f>Q39*'Cost Assumptions'!$B$5</f>
        <v>56.518952838950625</v>
      </c>
      <c r="S39" s="9">
        <f>R39*'Cost Assumptions'!$B$5</f>
        <v>57.931926659924386</v>
      </c>
      <c r="T39" s="9">
        <f>S39*'Cost Assumptions'!$B$5</f>
        <v>59.380224826422491</v>
      </c>
      <c r="U39" s="9">
        <f>T39*'Cost Assumptions'!$B$5</f>
        <v>60.864730447083048</v>
      </c>
      <c r="V39" s="9">
        <f>U39*'Cost Assumptions'!$B$5</f>
        <v>62.386348708260115</v>
      </c>
      <c r="W39" s="9">
        <f>V39*'Cost Assumptions'!$B$5</f>
        <v>63.946007425966613</v>
      </c>
      <c r="X39" s="9">
        <f>W39*'Cost Assumptions'!$B$5</f>
        <v>65.544657611615776</v>
      </c>
      <c r="Y39" s="9">
        <f>X39*'Cost Assumptions'!$B$5</f>
        <v>67.183274051906167</v>
      </c>
      <c r="Z39" s="9">
        <f>Y39*'Cost Assumptions'!$B$5</f>
        <v>68.862855903203823</v>
      </c>
      <c r="AA39" s="9">
        <f>Z39*'Cost Assumptions'!$B$5</f>
        <v>70.584427300783915</v>
      </c>
      <c r="AB39" s="9">
        <f>AA39*'Cost Assumptions'!$B$5</f>
        <v>72.349037983303504</v>
      </c>
      <c r="AC39" s="9">
        <f>AB39*'Cost Assumptions'!$B$5</f>
        <v>74.157763932886084</v>
      </c>
      <c r="AD39" s="9">
        <f>AC39*'Cost Assumptions'!$B$5</f>
        <v>76.011708031208229</v>
      </c>
    </row>
    <row r="40" spans="1:30" x14ac:dyDescent="0.35">
      <c r="A40" s="72"/>
      <c r="B40" s="72"/>
      <c r="C40" s="72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</row>
    <row r="41" spans="1:30" x14ac:dyDescent="0.35">
      <c r="A41" s="72"/>
      <c r="B41" s="72"/>
      <c r="C41" s="72"/>
      <c r="D41" s="72"/>
      <c r="E41" s="72"/>
      <c r="F41" s="72"/>
      <c r="G41" s="53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</row>
    <row r="42" spans="1:30" ht="20" thickBot="1" x14ac:dyDescent="0.5">
      <c r="A42" s="113"/>
      <c r="B42" s="122" t="s">
        <v>138</v>
      </c>
      <c r="C42" s="113" t="s">
        <v>105</v>
      </c>
      <c r="D42" s="113">
        <v>2022</v>
      </c>
      <c r="E42" s="113">
        <v>2023</v>
      </c>
      <c r="F42" s="113">
        <v>2024</v>
      </c>
      <c r="G42" s="113">
        <v>2025</v>
      </c>
      <c r="H42" s="113">
        <v>2026</v>
      </c>
      <c r="I42" s="113">
        <v>2027</v>
      </c>
      <c r="J42" s="113">
        <v>2028</v>
      </c>
      <c r="K42" s="113">
        <v>2029</v>
      </c>
      <c r="L42" s="113">
        <v>2030</v>
      </c>
      <c r="M42" s="113">
        <v>2031</v>
      </c>
      <c r="N42" s="113">
        <v>2032</v>
      </c>
      <c r="O42" s="113">
        <v>2033</v>
      </c>
      <c r="P42" s="113">
        <v>2034</v>
      </c>
      <c r="Q42" s="113">
        <v>2035</v>
      </c>
      <c r="R42" s="113">
        <v>2036</v>
      </c>
      <c r="S42" s="113">
        <v>2037</v>
      </c>
      <c r="T42" s="113">
        <v>2038</v>
      </c>
      <c r="U42" s="113">
        <v>2039</v>
      </c>
      <c r="V42" s="113">
        <v>2040</v>
      </c>
      <c r="W42" s="113">
        <v>2041</v>
      </c>
      <c r="X42" s="113">
        <v>2042</v>
      </c>
      <c r="Y42" s="113">
        <v>2043</v>
      </c>
      <c r="Z42" s="113">
        <v>2044</v>
      </c>
      <c r="AA42" s="113">
        <v>2045</v>
      </c>
      <c r="AB42" s="113">
        <v>2046</v>
      </c>
      <c r="AC42" s="113">
        <v>2047</v>
      </c>
      <c r="AD42" s="113">
        <v>2048</v>
      </c>
    </row>
    <row r="43" spans="1:30" ht="15" thickTop="1" x14ac:dyDescent="0.35">
      <c r="A43" s="72"/>
      <c r="B43" s="10">
        <f>NPV('Cost Assumptions'!$B$3,'VS to VN &amp; Central BESS VS VN '!D43:'VS to VN &amp; Central BESS VS VN '!AD43)</f>
        <v>7386.6021281514886</v>
      </c>
      <c r="C43" s="72" t="s">
        <v>107</v>
      </c>
      <c r="D43" s="53">
        <f t="shared" ref="D43:AD43" si="0">D2-D18</f>
        <v>338.7999999991298</v>
      </c>
      <c r="E43" s="53">
        <f t="shared" si="0"/>
        <v>367.49903846071538</v>
      </c>
      <c r="F43" s="53">
        <f t="shared" si="0"/>
        <v>396.19807692230097</v>
      </c>
      <c r="G43" s="53">
        <f t="shared" si="0"/>
        <v>424.89711538388656</v>
      </c>
      <c r="H43" s="53">
        <f t="shared" si="0"/>
        <v>453.59615384547214</v>
      </c>
      <c r="I43" s="53">
        <f t="shared" si="0"/>
        <v>482.29519230705773</v>
      </c>
      <c r="J43" s="53">
        <f t="shared" si="0"/>
        <v>510.99423076864332</v>
      </c>
      <c r="K43" s="53">
        <f t="shared" si="0"/>
        <v>609.18461538424162</v>
      </c>
      <c r="L43" s="53">
        <f t="shared" si="0"/>
        <v>1110.9038461533855</v>
      </c>
      <c r="M43" s="53">
        <f t="shared" si="0"/>
        <v>1614.3230769222791</v>
      </c>
      <c r="N43" s="53">
        <f t="shared" si="0"/>
        <v>1563.8673076920022</v>
      </c>
      <c r="O43" s="53">
        <f t="shared" si="0"/>
        <v>1516.9099759612654</v>
      </c>
      <c r="P43" s="53">
        <f t="shared" si="0"/>
        <v>1469.9526442305287</v>
      </c>
      <c r="Q43" s="53">
        <f t="shared" si="0"/>
        <v>1422.9953124997919</v>
      </c>
      <c r="R43" s="53">
        <f t="shared" si="0"/>
        <v>1376.0379807690551</v>
      </c>
      <c r="S43" s="53">
        <f t="shared" si="0"/>
        <v>1329.0806490383184</v>
      </c>
      <c r="T43" s="53">
        <f t="shared" si="0"/>
        <v>1282.1233173075816</v>
      </c>
      <c r="U43" s="53">
        <f t="shared" si="0"/>
        <v>1235.1659855768448</v>
      </c>
      <c r="V43" s="53">
        <f t="shared" si="0"/>
        <v>1188.2086538461081</v>
      </c>
      <c r="W43" s="53">
        <f t="shared" si="0"/>
        <v>1141.2513221153713</v>
      </c>
      <c r="X43" s="53">
        <f t="shared" si="0"/>
        <v>1094.2939903846345</v>
      </c>
      <c r="Y43" s="53">
        <f t="shared" si="0"/>
        <v>1047.3366586538978</v>
      </c>
      <c r="Z43" s="53">
        <f t="shared" si="0"/>
        <v>1000.379326923161</v>
      </c>
      <c r="AA43" s="53">
        <f t="shared" si="0"/>
        <v>953.42199519242422</v>
      </c>
      <c r="AB43" s="53">
        <f t="shared" si="0"/>
        <v>906.46466346168745</v>
      </c>
      <c r="AC43" s="53">
        <f t="shared" si="0"/>
        <v>859.50733173095068</v>
      </c>
      <c r="AD43" s="53">
        <f t="shared" si="0"/>
        <v>812.55000000019936</v>
      </c>
    </row>
    <row r="44" spans="1:30" x14ac:dyDescent="0.35">
      <c r="A44" s="72"/>
      <c r="B44" s="10">
        <f>NPV('Cost Assumptions'!$B$3,'VS to VN &amp; Central BESS VS VN '!D44:'VS to VN &amp; Central BESS VS VN '!AD44)</f>
        <v>387169.66315450199</v>
      </c>
      <c r="C44" s="72" t="s">
        <v>139</v>
      </c>
      <c r="D44" s="53">
        <f t="shared" ref="D44:AD44" si="1">D43*D39</f>
        <v>13551.999999965192</v>
      </c>
      <c r="E44" s="53">
        <f t="shared" si="1"/>
        <v>15067.460576889331</v>
      </c>
      <c r="F44" s="53">
        <f t="shared" si="1"/>
        <v>16650.224182659698</v>
      </c>
      <c r="G44" s="53">
        <f t="shared" si="1"/>
        <v>18302.708805858027</v>
      </c>
      <c r="H44" s="53">
        <f t="shared" si="1"/>
        <v>20027.411270102108</v>
      </c>
      <c r="I44" s="53">
        <f t="shared" si="1"/>
        <v>21826.909664554732</v>
      </c>
      <c r="J44" s="53">
        <f t="shared" si="1"/>
        <v>23703.865846686174</v>
      </c>
      <c r="K44" s="53">
        <f t="shared" si="1"/>
        <v>28965.162946443892</v>
      </c>
      <c r="L44" s="53">
        <f t="shared" si="1"/>
        <v>54141.138600327868</v>
      </c>
      <c r="M44" s="53">
        <f t="shared" si="1"/>
        <v>80642.732492008436</v>
      </c>
      <c r="N44" s="53">
        <f t="shared" si="1"/>
        <v>80075.294790020023</v>
      </c>
      <c r="O44" s="53">
        <f t="shared" si="1"/>
        <v>79612.693621776591</v>
      </c>
      <c r="P44" s="53">
        <f t="shared" si="1"/>
        <v>79076.915335877246</v>
      </c>
      <c r="Q44" s="53">
        <f t="shared" si="1"/>
        <v>78464.590202169318</v>
      </c>
      <c r="R44" s="53">
        <f t="shared" si="1"/>
        <v>77772.225739691072</v>
      </c>
      <c r="S44" s="53">
        <f t="shared" si="1"/>
        <v>76996.202685212556</v>
      </c>
      <c r="T44" s="53">
        <f t="shared" si="1"/>
        <v>76132.77083692282</v>
      </c>
      <c r="U44" s="53">
        <f t="shared" si="1"/>
        <v>75178.044769540327</v>
      </c>
      <c r="V44" s="53">
        <f t="shared" si="1"/>
        <v>74127.999417015628</v>
      </c>
      <c r="W44" s="53">
        <f t="shared" si="1"/>
        <v>72978.46551888375</v>
      </c>
      <c r="X44" s="53">
        <f t="shared" si="1"/>
        <v>71725.124926209639</v>
      </c>
      <c r="Y44" s="53">
        <f t="shared" si="1"/>
        <v>70363.505762952511</v>
      </c>
      <c r="Z44" s="53">
        <f t="shared" si="1"/>
        <v>68888.977438453658</v>
      </c>
      <c r="AA44" s="53">
        <f t="shared" si="1"/>
        <v>67296.745506628024</v>
      </c>
      <c r="AB44" s="53">
        <f t="shared" si="1"/>
        <v>65581.846367312057</v>
      </c>
      <c r="AC44" s="53">
        <f t="shared" si="1"/>
        <v>63739.14180508865</v>
      </c>
      <c r="AD44" s="53">
        <f t="shared" si="1"/>
        <v>61763.313360773398</v>
      </c>
    </row>
    <row r="45" spans="1:30" x14ac:dyDescent="0.35">
      <c r="A45" s="72" t="s">
        <v>30</v>
      </c>
      <c r="B45" s="10">
        <f>NPV('Cost Assumptions'!$B$3,'VS to VN &amp; Central BESS VS VN '!D45:'VS to VN &amp; Central BESS VS VN '!AD45)</f>
        <v>114.42912412587738</v>
      </c>
      <c r="C45" s="72" t="s">
        <v>31</v>
      </c>
      <c r="D45" s="53">
        <f t="shared" ref="D45:AD45" si="2">D3-D19</f>
        <v>4.2000000000000171</v>
      </c>
      <c r="E45" s="53">
        <f t="shared" si="2"/>
        <v>6.0166666666666799</v>
      </c>
      <c r="F45" s="53">
        <f t="shared" si="2"/>
        <v>6.7133333333333383</v>
      </c>
      <c r="G45" s="53">
        <f t="shared" si="2"/>
        <v>7.4099999999999966</v>
      </c>
      <c r="H45" s="53">
        <f t="shared" si="2"/>
        <v>8.1066666666666549</v>
      </c>
      <c r="I45" s="53">
        <f t="shared" si="2"/>
        <v>8.8033333333333132</v>
      </c>
      <c r="J45" s="53">
        <f t="shared" si="2"/>
        <v>9.4999999999999716</v>
      </c>
      <c r="K45" s="53">
        <f t="shared" si="2"/>
        <v>5.0999999999999659</v>
      </c>
      <c r="L45" s="53">
        <f t="shared" si="2"/>
        <v>5.7000000000000455</v>
      </c>
      <c r="M45" s="53">
        <f t="shared" si="2"/>
        <v>5.5999999999999943</v>
      </c>
      <c r="N45" s="53">
        <f t="shared" si="2"/>
        <v>5.2000000000000455</v>
      </c>
      <c r="O45" s="53">
        <f t="shared" si="2"/>
        <v>13.966666666666612</v>
      </c>
      <c r="P45" s="53">
        <f t="shared" si="2"/>
        <v>14.053333333333299</v>
      </c>
      <c r="Q45" s="53">
        <f t="shared" si="2"/>
        <v>14.139999999999986</v>
      </c>
      <c r="R45" s="53">
        <f t="shared" si="2"/>
        <v>14.226666666666674</v>
      </c>
      <c r="S45" s="53">
        <f t="shared" si="2"/>
        <v>14.313333333333361</v>
      </c>
      <c r="T45" s="53">
        <f t="shared" si="2"/>
        <v>14.400000000000034</v>
      </c>
      <c r="U45" s="53">
        <f t="shared" si="2"/>
        <v>24.210000000000008</v>
      </c>
      <c r="V45" s="53">
        <f t="shared" si="2"/>
        <v>34.019999999999982</v>
      </c>
      <c r="W45" s="53">
        <f t="shared" si="2"/>
        <v>43.829999999999984</v>
      </c>
      <c r="X45" s="53">
        <f t="shared" si="2"/>
        <v>53.639999999999986</v>
      </c>
      <c r="Y45" s="53">
        <f t="shared" si="2"/>
        <v>23.60000000000008</v>
      </c>
      <c r="Z45" s="53">
        <f t="shared" si="2"/>
        <v>33.300000000000068</v>
      </c>
      <c r="AA45" s="53">
        <f t="shared" si="2"/>
        <v>43</v>
      </c>
      <c r="AB45" s="53">
        <f t="shared" si="2"/>
        <v>52.699999999999932</v>
      </c>
      <c r="AC45" s="53">
        <f t="shared" si="2"/>
        <v>62.399999999999864</v>
      </c>
      <c r="AD45" s="53">
        <f t="shared" si="2"/>
        <v>72.100000000000023</v>
      </c>
    </row>
    <row r="46" spans="1:30" x14ac:dyDescent="0.35">
      <c r="A46" s="72" t="s">
        <v>30</v>
      </c>
      <c r="B46" s="10">
        <f>NPV('Cost Assumptions'!$B$3,'VS to VN &amp; Central BESS VS VN '!D46:'VS to VN &amp; Central BESS VS VN '!AD46)</f>
        <v>-30.412621955669433</v>
      </c>
      <c r="C46" s="72" t="s">
        <v>32</v>
      </c>
      <c r="D46" s="53">
        <f t="shared" ref="D46:AD46" si="3">D4-D20</f>
        <v>-1</v>
      </c>
      <c r="E46" s="53">
        <f t="shared" si="3"/>
        <v>-1.916666666666667</v>
      </c>
      <c r="F46" s="53">
        <f t="shared" si="3"/>
        <v>-2.1533333333333387</v>
      </c>
      <c r="G46" s="53">
        <f t="shared" si="3"/>
        <v>-2.3900000000000095</v>
      </c>
      <c r="H46" s="53">
        <f t="shared" si="3"/>
        <v>-2.6266666666666794</v>
      </c>
      <c r="I46" s="53">
        <f t="shared" si="3"/>
        <v>-2.8633333333333493</v>
      </c>
      <c r="J46" s="53">
        <f t="shared" si="3"/>
        <v>-3.1000000000000227</v>
      </c>
      <c r="K46" s="53">
        <f t="shared" si="3"/>
        <v>-3.3000000000000114</v>
      </c>
      <c r="L46" s="53">
        <f t="shared" si="3"/>
        <v>-3.2000000000000171</v>
      </c>
      <c r="M46" s="53">
        <f t="shared" si="3"/>
        <v>-3.3000000000000114</v>
      </c>
      <c r="N46" s="53">
        <f t="shared" si="3"/>
        <v>-3.2999999999999545</v>
      </c>
      <c r="O46" s="53">
        <f t="shared" si="3"/>
        <v>-3.766666666666671</v>
      </c>
      <c r="P46" s="53">
        <f t="shared" si="3"/>
        <v>-4.1933333333333316</v>
      </c>
      <c r="Q46" s="53">
        <f t="shared" si="3"/>
        <v>-4.6199999999999921</v>
      </c>
      <c r="R46" s="53">
        <f t="shared" si="3"/>
        <v>-5.0466666666666526</v>
      </c>
      <c r="S46" s="53">
        <f t="shared" si="3"/>
        <v>-5.4733333333333114</v>
      </c>
      <c r="T46" s="53">
        <f t="shared" si="3"/>
        <v>-5.8999999999999773</v>
      </c>
      <c r="U46" s="53">
        <f t="shared" si="3"/>
        <v>-5.9599999999999795</v>
      </c>
      <c r="V46" s="53">
        <f t="shared" si="3"/>
        <v>-6.0199999999999818</v>
      </c>
      <c r="W46" s="53">
        <f t="shared" si="3"/>
        <v>-6.0799999999999841</v>
      </c>
      <c r="X46" s="53">
        <f t="shared" si="3"/>
        <v>-6.1399999999999864</v>
      </c>
      <c r="Y46" s="53">
        <f t="shared" si="3"/>
        <v>-6.1999999999999886</v>
      </c>
      <c r="Z46" s="53">
        <f t="shared" si="3"/>
        <v>-6.0999999999999908</v>
      </c>
      <c r="AA46" s="53">
        <f t="shared" si="3"/>
        <v>-5.9999999999999929</v>
      </c>
      <c r="AB46" s="53">
        <f t="shared" si="3"/>
        <v>-5.8999999999999986</v>
      </c>
      <c r="AC46" s="53">
        <f t="shared" si="3"/>
        <v>-5.8000000000000043</v>
      </c>
      <c r="AD46" s="53">
        <f t="shared" si="3"/>
        <v>-5.6999999999999886</v>
      </c>
    </row>
    <row r="47" spans="1:30" x14ac:dyDescent="0.35">
      <c r="A47" s="72" t="s">
        <v>30</v>
      </c>
      <c r="B47" s="10">
        <f>NPV('Cost Assumptions'!$B$3,'VS to VN &amp; Central BESS VS VN '!D47:'VS to VN &amp; Central BESS VS VN '!AD47)</f>
        <v>54.408682117250308</v>
      </c>
      <c r="C47" s="72" t="s">
        <v>33</v>
      </c>
      <c r="D47" s="53">
        <f t="shared" ref="D47:AD47" si="4">D5-D21</f>
        <v>6.8917982049977566E-2</v>
      </c>
      <c r="E47" s="53">
        <f t="shared" si="4"/>
        <v>0.15906981935651673</v>
      </c>
      <c r="F47" s="53">
        <f t="shared" si="4"/>
        <v>0.18882910507601286</v>
      </c>
      <c r="G47" s="53">
        <f t="shared" si="4"/>
        <v>0.21858839079550896</v>
      </c>
      <c r="H47" s="53">
        <f t="shared" si="4"/>
        <v>0.24834767651500511</v>
      </c>
      <c r="I47" s="53">
        <f t="shared" si="4"/>
        <v>0.27810696223450126</v>
      </c>
      <c r="J47" s="53">
        <f t="shared" si="4"/>
        <v>0.30786624795399731</v>
      </c>
      <c r="K47" s="53">
        <f t="shared" si="4"/>
        <v>0.28195331487555592</v>
      </c>
      <c r="L47" s="53">
        <f t="shared" si="4"/>
        <v>0.24759433463986247</v>
      </c>
      <c r="M47" s="53">
        <f t="shared" si="4"/>
        <v>0.28509284700382959</v>
      </c>
      <c r="N47" s="53">
        <f t="shared" si="4"/>
        <v>0.25668888932566963</v>
      </c>
      <c r="O47" s="53">
        <f t="shared" si="4"/>
        <v>0.52330631477244116</v>
      </c>
      <c r="P47" s="53">
        <f t="shared" si="4"/>
        <v>0.49655558207903017</v>
      </c>
      <c r="Q47" s="53">
        <f t="shared" si="4"/>
        <v>0.46980484938561906</v>
      </c>
      <c r="R47" s="53">
        <f t="shared" si="4"/>
        <v>0.44305411669220796</v>
      </c>
      <c r="S47" s="53">
        <f t="shared" si="4"/>
        <v>0.41630338399879685</v>
      </c>
      <c r="T47" s="53">
        <f t="shared" si="4"/>
        <v>0.38955265130538619</v>
      </c>
      <c r="U47" s="53">
        <f t="shared" si="4"/>
        <v>16.691773167103541</v>
      </c>
      <c r="V47" s="53">
        <f t="shared" si="4"/>
        <v>32.993993682901696</v>
      </c>
      <c r="W47" s="53">
        <f t="shared" si="4"/>
        <v>49.29621419869985</v>
      </c>
      <c r="X47" s="53">
        <f t="shared" si="4"/>
        <v>65.598434714497998</v>
      </c>
      <c r="Y47" s="53">
        <f t="shared" si="4"/>
        <v>81.900655230296152</v>
      </c>
      <c r="Z47" s="53">
        <f t="shared" si="4"/>
        <v>66.250682664889567</v>
      </c>
      <c r="AA47" s="53">
        <f t="shared" si="4"/>
        <v>50.600710099482981</v>
      </c>
      <c r="AB47" s="53">
        <f t="shared" si="4"/>
        <v>34.950737534076396</v>
      </c>
      <c r="AC47" s="53">
        <f t="shared" si="4"/>
        <v>19.30076496866981</v>
      </c>
      <c r="AD47" s="53">
        <f t="shared" si="4"/>
        <v>3.6507924032632211</v>
      </c>
    </row>
    <row r="48" spans="1:30" x14ac:dyDescent="0.35">
      <c r="A48" s="72" t="s">
        <v>30</v>
      </c>
      <c r="B48" s="10">
        <f>NPV('Cost Assumptions'!$B$3,'VS to VN &amp; Central BESS VS VN '!D48:'VS to VN &amp; Central BESS VS VN '!AD48)</f>
        <v>0.65104463482712971</v>
      </c>
      <c r="C48" s="72" t="s">
        <v>34</v>
      </c>
      <c r="D48" s="53">
        <f t="shared" ref="D48:AD48" si="5">D6-D22</f>
        <v>7.5996463269141067E-4</v>
      </c>
      <c r="E48" s="53">
        <f t="shared" si="5"/>
        <v>4.541872046191173E-3</v>
      </c>
      <c r="F48" s="53">
        <f t="shared" si="5"/>
        <v>3.8850528478319817E-3</v>
      </c>
      <c r="G48" s="53">
        <f t="shared" si="5"/>
        <v>3.2282336494727851E-3</v>
      </c>
      <c r="H48" s="53">
        <f t="shared" si="5"/>
        <v>2.571414451113592E-3</v>
      </c>
      <c r="I48" s="53">
        <f t="shared" si="5"/>
        <v>1.9145952527543988E-3</v>
      </c>
      <c r="J48" s="53">
        <f t="shared" si="5"/>
        <v>1.2577760543952127E-3</v>
      </c>
      <c r="K48" s="53">
        <f t="shared" si="5"/>
        <v>-2.2393738075584466E-3</v>
      </c>
      <c r="L48" s="53">
        <f t="shared" si="5"/>
        <v>-1.2916028075159111E-3</v>
      </c>
      <c r="M48" s="53">
        <f t="shared" si="5"/>
        <v>-1.0001742556337428E-3</v>
      </c>
      <c r="N48" s="53">
        <f t="shared" si="5"/>
        <v>-2.0899793109296627E-3</v>
      </c>
      <c r="O48" s="53">
        <f t="shared" si="5"/>
        <v>3.9542679857833413E-3</v>
      </c>
      <c r="P48" s="53">
        <f t="shared" si="5"/>
        <v>2.0670115788220395E-3</v>
      </c>
      <c r="Q48" s="53">
        <f t="shared" si="5"/>
        <v>1.7975517186072376E-4</v>
      </c>
      <c r="R48" s="53">
        <f t="shared" si="5"/>
        <v>-1.7075012351005919E-3</v>
      </c>
      <c r="S48" s="53">
        <f t="shared" si="5"/>
        <v>-3.5947576420619076E-3</v>
      </c>
      <c r="T48" s="53">
        <f t="shared" si="5"/>
        <v>-5.4820140490232094E-3</v>
      </c>
      <c r="U48" s="53">
        <f t="shared" si="5"/>
        <v>0.19895940009878027</v>
      </c>
      <c r="V48" s="53">
        <f t="shared" si="5"/>
        <v>0.40340081424658375</v>
      </c>
      <c r="W48" s="53">
        <f t="shared" si="5"/>
        <v>0.60784222839438717</v>
      </c>
      <c r="X48" s="53">
        <f t="shared" si="5"/>
        <v>0.81228364254219065</v>
      </c>
      <c r="Y48" s="53">
        <f t="shared" si="5"/>
        <v>1.0167250566899941</v>
      </c>
      <c r="Z48" s="53">
        <f t="shared" si="5"/>
        <v>0.81880901262046424</v>
      </c>
      <c r="AA48" s="53">
        <f t="shared" si="5"/>
        <v>0.62089296855093434</v>
      </c>
      <c r="AB48" s="53">
        <f t="shared" si="5"/>
        <v>0.42297692448140445</v>
      </c>
      <c r="AC48" s="53">
        <f t="shared" si="5"/>
        <v>0.22506088041187455</v>
      </c>
      <c r="AD48" s="53">
        <f t="shared" si="5"/>
        <v>2.7144836342344214E-2</v>
      </c>
    </row>
    <row r="49" spans="1:30" x14ac:dyDescent="0.35">
      <c r="A49" s="72" t="s">
        <v>30</v>
      </c>
      <c r="B49" s="10">
        <f>NPV('Cost Assumptions'!$B$3,'VS to VN &amp; Central BESS VS VN '!D49:'VS to VN &amp; Central BESS VS VN '!AD49)</f>
        <v>225.53030430590292</v>
      </c>
      <c r="C49" s="72" t="s">
        <v>35</v>
      </c>
      <c r="D49" s="53">
        <f t="shared" ref="D49:AD49" si="6">D7-D23</f>
        <v>11</v>
      </c>
      <c r="E49" s="53">
        <f t="shared" si="6"/>
        <v>17.166666666666668</v>
      </c>
      <c r="F49" s="53">
        <f t="shared" si="6"/>
        <v>18.533333333333331</v>
      </c>
      <c r="G49" s="53">
        <f t="shared" si="6"/>
        <v>19.899999999999999</v>
      </c>
      <c r="H49" s="53">
        <f t="shared" si="6"/>
        <v>21.266666666666666</v>
      </c>
      <c r="I49" s="53">
        <f t="shared" si="6"/>
        <v>22.633333333333333</v>
      </c>
      <c r="J49" s="53">
        <f t="shared" si="6"/>
        <v>24</v>
      </c>
      <c r="K49" s="53">
        <f t="shared" si="6"/>
        <v>23</v>
      </c>
      <c r="L49" s="53">
        <f t="shared" si="6"/>
        <v>22</v>
      </c>
      <c r="M49" s="53">
        <f t="shared" si="6"/>
        <v>23</v>
      </c>
      <c r="N49" s="53">
        <f t="shared" si="6"/>
        <v>22</v>
      </c>
      <c r="O49" s="53">
        <f t="shared" si="6"/>
        <v>24.666666666666664</v>
      </c>
      <c r="P49" s="53">
        <f t="shared" si="6"/>
        <v>26.533333333333328</v>
      </c>
      <c r="Q49" s="53">
        <f t="shared" si="6"/>
        <v>28.399999999999991</v>
      </c>
      <c r="R49" s="53">
        <f t="shared" si="6"/>
        <v>30.266666666666655</v>
      </c>
      <c r="S49" s="53">
        <f t="shared" si="6"/>
        <v>32.133333333333319</v>
      </c>
      <c r="T49" s="53">
        <f t="shared" si="6"/>
        <v>34</v>
      </c>
      <c r="U49" s="53">
        <f t="shared" si="6"/>
        <v>37</v>
      </c>
      <c r="V49" s="53">
        <f t="shared" si="6"/>
        <v>40</v>
      </c>
      <c r="W49" s="53">
        <f t="shared" si="6"/>
        <v>42.999999999999993</v>
      </c>
      <c r="X49" s="53">
        <f t="shared" si="6"/>
        <v>45.999999999999986</v>
      </c>
      <c r="Y49" s="53">
        <f t="shared" si="6"/>
        <v>49</v>
      </c>
      <c r="Z49" s="53">
        <f t="shared" si="6"/>
        <v>49.2</v>
      </c>
      <c r="AA49" s="53">
        <f t="shared" si="6"/>
        <v>49.400000000000006</v>
      </c>
      <c r="AB49" s="53">
        <f t="shared" si="6"/>
        <v>49.600000000000009</v>
      </c>
      <c r="AC49" s="53">
        <f t="shared" si="6"/>
        <v>49.800000000000011</v>
      </c>
      <c r="AD49" s="53">
        <f t="shared" si="6"/>
        <v>50</v>
      </c>
    </row>
    <row r="50" spans="1:30" s="52" customFormat="1" x14ac:dyDescent="0.35">
      <c r="A50" s="72" t="s">
        <v>30</v>
      </c>
      <c r="B50" s="10">
        <f>NPV('Cost Assumptions'!$B$3,'VS to VN &amp; Central BESS VS VN '!D50:'VS to VN &amp; Central BESS VS VN '!AD50)</f>
        <v>39141.445534236278</v>
      </c>
      <c r="C50" s="70" t="s">
        <v>140</v>
      </c>
      <c r="D50" s="53">
        <f>D13-D24</f>
        <v>1637.4650100268436</v>
      </c>
      <c r="E50" s="53">
        <f t="shared" ref="E50:AD50" si="7">E13-E24</f>
        <v>2177.3309561137412</v>
      </c>
      <c r="F50" s="53">
        <f t="shared" si="7"/>
        <v>2717.1969022006379</v>
      </c>
      <c r="G50" s="53">
        <f t="shared" si="7"/>
        <v>3257.0628482875345</v>
      </c>
      <c r="H50" s="53">
        <f t="shared" si="7"/>
        <v>3796.928794374433</v>
      </c>
      <c r="I50" s="53">
        <f t="shared" si="7"/>
        <v>4336.7947404613296</v>
      </c>
      <c r="J50" s="53">
        <f t="shared" si="7"/>
        <v>4876.6606865482263</v>
      </c>
      <c r="K50" s="53">
        <f t="shared" si="7"/>
        <v>4751.6880579350345</v>
      </c>
      <c r="L50" s="53">
        <f t="shared" si="7"/>
        <v>4626.7154293218427</v>
      </c>
      <c r="M50" s="53">
        <f t="shared" si="7"/>
        <v>3604.0088606696972</v>
      </c>
      <c r="N50" s="53">
        <f t="shared" si="7"/>
        <v>4264.9844683355968</v>
      </c>
      <c r="O50" s="53">
        <f t="shared" si="7"/>
        <v>5180.7852586977097</v>
      </c>
      <c r="P50" s="53">
        <f t="shared" si="7"/>
        <v>5378.5499981392313</v>
      </c>
      <c r="Q50" s="53">
        <f t="shared" si="7"/>
        <v>5576.3147375807512</v>
      </c>
      <c r="R50" s="53">
        <f t="shared" si="7"/>
        <v>5774.079477022271</v>
      </c>
      <c r="S50" s="53">
        <f t="shared" si="7"/>
        <v>5971.8442164637927</v>
      </c>
      <c r="T50" s="53">
        <f t="shared" si="7"/>
        <v>6169.6089559053144</v>
      </c>
      <c r="U50" s="53">
        <f t="shared" si="7"/>
        <v>6367.3736953468342</v>
      </c>
      <c r="V50" s="53">
        <f t="shared" si="7"/>
        <v>6565.1384347883541</v>
      </c>
      <c r="W50" s="53">
        <f t="shared" si="7"/>
        <v>6762.9031742298757</v>
      </c>
      <c r="X50" s="53">
        <f t="shared" si="7"/>
        <v>6960.6679136713974</v>
      </c>
      <c r="Y50" s="53">
        <f t="shared" si="7"/>
        <v>7158.4326531129154</v>
      </c>
      <c r="Z50" s="53">
        <f t="shared" si="7"/>
        <v>7356.1973925544371</v>
      </c>
      <c r="AA50" s="53">
        <f t="shared" si="7"/>
        <v>7553.9621319959588</v>
      </c>
      <c r="AB50" s="53">
        <f t="shared" si="7"/>
        <v>7751.7268714374804</v>
      </c>
      <c r="AC50" s="53">
        <f t="shared" si="7"/>
        <v>7949.4916108790021</v>
      </c>
      <c r="AD50" s="53">
        <f t="shared" si="7"/>
        <v>8147.2563503205129</v>
      </c>
    </row>
    <row r="51" spans="1:30" s="52" customFormat="1" x14ac:dyDescent="0.35">
      <c r="A51" s="72" t="s">
        <v>30</v>
      </c>
      <c r="B51" s="10">
        <f>NPV('Cost Assumptions'!$B$3,'VS to VN &amp; Central BESS VS VN '!D51:'VS to VN &amp; Central BESS VS VN '!AD51)</f>
        <v>0</v>
      </c>
      <c r="C51" s="70" t="s">
        <v>141</v>
      </c>
      <c r="D51" s="53">
        <f>D14-D25</f>
        <v>0</v>
      </c>
      <c r="E51" s="53">
        <f t="shared" ref="E51:AD51" si="8">E14-E25</f>
        <v>0</v>
      </c>
      <c r="F51" s="53">
        <f t="shared" si="8"/>
        <v>0</v>
      </c>
      <c r="G51" s="53">
        <f t="shared" si="8"/>
        <v>0</v>
      </c>
      <c r="H51" s="53">
        <f t="shared" si="8"/>
        <v>0</v>
      </c>
      <c r="I51" s="53">
        <f t="shared" si="8"/>
        <v>0</v>
      </c>
      <c r="J51" s="53">
        <f t="shared" si="8"/>
        <v>0</v>
      </c>
      <c r="K51" s="53">
        <f t="shared" si="8"/>
        <v>0</v>
      </c>
      <c r="L51" s="53">
        <f t="shared" si="8"/>
        <v>0</v>
      </c>
      <c r="M51" s="53">
        <f t="shared" si="8"/>
        <v>0</v>
      </c>
      <c r="N51" s="53">
        <f t="shared" si="8"/>
        <v>0</v>
      </c>
      <c r="O51" s="53">
        <f t="shared" si="8"/>
        <v>0</v>
      </c>
      <c r="P51" s="53">
        <f t="shared" si="8"/>
        <v>0</v>
      </c>
      <c r="Q51" s="53">
        <f t="shared" si="8"/>
        <v>0</v>
      </c>
      <c r="R51" s="53">
        <f t="shared" si="8"/>
        <v>0</v>
      </c>
      <c r="S51" s="53">
        <f t="shared" si="8"/>
        <v>0</v>
      </c>
      <c r="T51" s="53">
        <f t="shared" si="8"/>
        <v>0</v>
      </c>
      <c r="U51" s="53">
        <f t="shared" si="8"/>
        <v>0</v>
      </c>
      <c r="V51" s="53">
        <f t="shared" si="8"/>
        <v>0</v>
      </c>
      <c r="W51" s="53">
        <f t="shared" si="8"/>
        <v>0</v>
      </c>
      <c r="X51" s="53">
        <f t="shared" si="8"/>
        <v>0</v>
      </c>
      <c r="Y51" s="53">
        <f t="shared" si="8"/>
        <v>0</v>
      </c>
      <c r="Z51" s="53">
        <f t="shared" si="8"/>
        <v>0</v>
      </c>
      <c r="AA51" s="53">
        <f t="shared" si="8"/>
        <v>0</v>
      </c>
      <c r="AB51" s="53">
        <f t="shared" si="8"/>
        <v>0</v>
      </c>
      <c r="AC51" s="53">
        <f t="shared" si="8"/>
        <v>0</v>
      </c>
      <c r="AD51" s="53">
        <f t="shared" si="8"/>
        <v>0</v>
      </c>
    </row>
    <row r="52" spans="1:30" s="66" customFormat="1" x14ac:dyDescent="0.35">
      <c r="A52" s="72" t="s">
        <v>30</v>
      </c>
      <c r="B52" s="10">
        <f>NPV('Cost Assumptions'!$B$3,'VS to VN &amp; Central BESS VS VN '!D52:'VS to VN &amp; Central BESS VS VN '!AD52)</f>
        <v>479183.40573156968</v>
      </c>
      <c r="C52" s="70" t="s">
        <v>142</v>
      </c>
      <c r="D52" s="53">
        <f>D15-D26</f>
        <v>41950.317319588241</v>
      </c>
      <c r="E52" s="53">
        <f t="shared" ref="E52:AD52" si="9">E15-E26</f>
        <v>44543.453126980952</v>
      </c>
      <c r="F52" s="53">
        <f t="shared" si="9"/>
        <v>45828.860716419767</v>
      </c>
      <c r="G52" s="53">
        <f t="shared" si="9"/>
        <v>47153.352767109565</v>
      </c>
      <c r="H52" s="53">
        <f t="shared" si="9"/>
        <v>48574.54795918976</v>
      </c>
      <c r="I52" s="53">
        <f t="shared" si="9"/>
        <v>50215.764777497636</v>
      </c>
      <c r="J52" s="53">
        <f t="shared" si="9"/>
        <v>51874.691963872247</v>
      </c>
      <c r="K52" s="53">
        <f t="shared" si="9"/>
        <v>50778.114869249301</v>
      </c>
      <c r="L52" s="53">
        <f t="shared" si="9"/>
        <v>49693.135746863452</v>
      </c>
      <c r="M52" s="53">
        <f t="shared" si="9"/>
        <v>48611.273086176574</v>
      </c>
      <c r="N52" s="53">
        <f t="shared" si="9"/>
        <v>50344.583019320264</v>
      </c>
      <c r="O52" s="53">
        <f t="shared" si="9"/>
        <v>52146.765099087497</v>
      </c>
      <c r="P52" s="53">
        <f t="shared" si="9"/>
        <v>54023.414660322465</v>
      </c>
      <c r="Q52" s="53">
        <f t="shared" si="9"/>
        <v>55888.522918306931</v>
      </c>
      <c r="R52" s="53">
        <f t="shared" si="9"/>
        <v>57769.072009230513</v>
      </c>
      <c r="S52" s="53">
        <f t="shared" si="9"/>
        <v>59689.474085032125</v>
      </c>
      <c r="T52" s="53">
        <f t="shared" si="9"/>
        <v>61697.84379550803</v>
      </c>
      <c r="U52" s="53">
        <f t="shared" si="9"/>
        <v>63562.358136175724</v>
      </c>
      <c r="V52" s="53">
        <f t="shared" si="9"/>
        <v>65462.168384773649</v>
      </c>
      <c r="W52" s="53">
        <f t="shared" si="9"/>
        <v>67413.848768282201</v>
      </c>
      <c r="X52" s="53">
        <f t="shared" si="9"/>
        <v>69383.773026755458</v>
      </c>
      <c r="Y52" s="53">
        <f t="shared" si="9"/>
        <v>71058.973139583541</v>
      </c>
      <c r="Z52" s="53">
        <f t="shared" si="9"/>
        <v>72692.90965949271</v>
      </c>
      <c r="AA52" s="53">
        <f t="shared" si="9"/>
        <v>74263.686691227922</v>
      </c>
      <c r="AB52" s="53">
        <f t="shared" si="9"/>
        <v>75805.906063189002</v>
      </c>
      <c r="AC52" s="53">
        <f t="shared" si="9"/>
        <v>76906.765075590141</v>
      </c>
      <c r="AD52" s="53">
        <f t="shared" si="9"/>
        <v>77904.270842658967</v>
      </c>
    </row>
    <row r="53" spans="1:30" x14ac:dyDescent="0.35">
      <c r="A53" s="72" t="s">
        <v>39</v>
      </c>
      <c r="B53" s="10">
        <f>NPV('Cost Assumptions'!$B$3,'VS to VN &amp; Central BESS VS VN '!D53:'VS to VN &amp; Central BESS VS VN '!AD53)</f>
        <v>3662.4319152534908</v>
      </c>
      <c r="C53" s="72" t="s">
        <v>31</v>
      </c>
      <c r="D53" s="53">
        <f>D8-SUM(D28,D27)</f>
        <v>22.2</v>
      </c>
      <c r="E53" s="53">
        <f t="shared" ref="E53:AD53" si="10">E8-SUM(E28,E27)</f>
        <v>65.8</v>
      </c>
      <c r="F53" s="53">
        <f t="shared" si="10"/>
        <v>102.72</v>
      </c>
      <c r="G53" s="53">
        <f t="shared" si="10"/>
        <v>139.63999999999999</v>
      </c>
      <c r="H53" s="53">
        <f t="shared" si="10"/>
        <v>176.56</v>
      </c>
      <c r="I53" s="53">
        <f t="shared" si="10"/>
        <v>213.48000000000002</v>
      </c>
      <c r="J53" s="53">
        <f t="shared" si="10"/>
        <v>250.4</v>
      </c>
      <c r="K53" s="53">
        <f t="shared" si="10"/>
        <v>216.60000000000014</v>
      </c>
      <c r="L53" s="53">
        <f t="shared" si="10"/>
        <v>182.59999999999991</v>
      </c>
      <c r="M53" s="53">
        <f t="shared" si="10"/>
        <v>151.20000000000005</v>
      </c>
      <c r="N53" s="53">
        <f t="shared" si="10"/>
        <v>202.60000000000014</v>
      </c>
      <c r="O53" s="53">
        <f t="shared" si="10"/>
        <v>292.1666666666668</v>
      </c>
      <c r="P53" s="53">
        <f t="shared" si="10"/>
        <v>381.73333333333346</v>
      </c>
      <c r="Q53" s="53">
        <f t="shared" si="10"/>
        <v>471.30000000000013</v>
      </c>
      <c r="R53" s="53">
        <f t="shared" si="10"/>
        <v>560.86666666666679</v>
      </c>
      <c r="S53" s="53">
        <f t="shared" si="10"/>
        <v>650.43333333333339</v>
      </c>
      <c r="T53" s="53">
        <f t="shared" si="10"/>
        <v>740</v>
      </c>
      <c r="U53" s="53">
        <f t="shared" si="10"/>
        <v>930.87999999999988</v>
      </c>
      <c r="V53" s="53">
        <f t="shared" si="10"/>
        <v>1121.7599999999998</v>
      </c>
      <c r="W53" s="53">
        <f t="shared" si="10"/>
        <v>1312.6399999999996</v>
      </c>
      <c r="X53" s="53">
        <f t="shared" si="10"/>
        <v>1503.5199999999995</v>
      </c>
      <c r="Y53" s="53">
        <f t="shared" si="10"/>
        <v>1694.3999999999994</v>
      </c>
      <c r="Z53" s="53">
        <f t="shared" si="10"/>
        <v>1887.3999999999994</v>
      </c>
      <c r="AA53" s="53">
        <f t="shared" si="10"/>
        <v>2080.3999999999996</v>
      </c>
      <c r="AB53" s="53">
        <f t="shared" si="10"/>
        <v>2273.3999999999996</v>
      </c>
      <c r="AC53" s="53">
        <f t="shared" si="10"/>
        <v>2466.3999999999996</v>
      </c>
      <c r="AD53" s="53">
        <f t="shared" si="10"/>
        <v>2659.3999999999996</v>
      </c>
    </row>
    <row r="54" spans="1:30" x14ac:dyDescent="0.35">
      <c r="A54" s="72" t="s">
        <v>39</v>
      </c>
      <c r="B54" s="10">
        <f>NPV('Cost Assumptions'!$B$3,'VS to VN &amp; Central BESS VS VN '!D54:'VS to VN &amp; Central BESS VS VN '!AD54)</f>
        <v>603.3370677068466</v>
      </c>
      <c r="C54" s="72" t="s">
        <v>32</v>
      </c>
      <c r="D54" s="53">
        <f t="shared" ref="D54:AD54" si="11">D9-D29</f>
        <v>13</v>
      </c>
      <c r="E54" s="53">
        <f t="shared" si="11"/>
        <v>27</v>
      </c>
      <c r="F54" s="53">
        <f t="shared" si="11"/>
        <v>34.519999999999982</v>
      </c>
      <c r="G54" s="53">
        <f t="shared" si="11"/>
        <v>42.039999999999964</v>
      </c>
      <c r="H54" s="53">
        <f t="shared" si="11"/>
        <v>49.559999999999945</v>
      </c>
      <c r="I54" s="53">
        <f t="shared" si="11"/>
        <v>57.079999999999927</v>
      </c>
      <c r="J54" s="53">
        <f t="shared" si="11"/>
        <v>64.599999999999909</v>
      </c>
      <c r="K54" s="53">
        <f t="shared" si="11"/>
        <v>59.799999999999955</v>
      </c>
      <c r="L54" s="53">
        <f t="shared" si="11"/>
        <v>52.799999999999955</v>
      </c>
      <c r="M54" s="53">
        <f t="shared" si="11"/>
        <v>46</v>
      </c>
      <c r="N54" s="53">
        <f t="shared" si="11"/>
        <v>57.400000000000091</v>
      </c>
      <c r="O54" s="53">
        <f t="shared" si="11"/>
        <v>67.333333333333414</v>
      </c>
      <c r="P54" s="53">
        <f t="shared" si="11"/>
        <v>77.266666666666737</v>
      </c>
      <c r="Q54" s="53">
        <f t="shared" si="11"/>
        <v>87.20000000000006</v>
      </c>
      <c r="R54" s="53">
        <f t="shared" si="11"/>
        <v>97.133333333333383</v>
      </c>
      <c r="S54" s="53">
        <f t="shared" si="11"/>
        <v>107.06666666666671</v>
      </c>
      <c r="T54" s="53">
        <f t="shared" si="11"/>
        <v>117</v>
      </c>
      <c r="U54" s="53">
        <f t="shared" si="11"/>
        <v>126.6</v>
      </c>
      <c r="V54" s="53">
        <f t="shared" si="11"/>
        <v>136.19999999999999</v>
      </c>
      <c r="W54" s="53">
        <f t="shared" si="11"/>
        <v>145.79999999999998</v>
      </c>
      <c r="X54" s="53">
        <f t="shared" si="11"/>
        <v>155.39999999999998</v>
      </c>
      <c r="Y54" s="53">
        <f t="shared" si="11"/>
        <v>165</v>
      </c>
      <c r="Z54" s="53">
        <f t="shared" si="11"/>
        <v>171.84</v>
      </c>
      <c r="AA54" s="53">
        <f t="shared" si="11"/>
        <v>178.68</v>
      </c>
      <c r="AB54" s="53">
        <f t="shared" si="11"/>
        <v>185.52</v>
      </c>
      <c r="AC54" s="53">
        <f t="shared" si="11"/>
        <v>192.36</v>
      </c>
      <c r="AD54" s="53">
        <f t="shared" si="11"/>
        <v>199.20000000000005</v>
      </c>
    </row>
    <row r="55" spans="1:30" x14ac:dyDescent="0.35">
      <c r="A55" s="72" t="s">
        <v>39</v>
      </c>
      <c r="B55" s="10">
        <f>NPV('Cost Assumptions'!$B$3,'VS to VN &amp; Central BESS VS VN '!D55:'VS to VN &amp; Central BESS VS VN '!AD55)</f>
        <v>54.089806048569208</v>
      </c>
      <c r="C55" s="72" t="s">
        <v>33</v>
      </c>
      <c r="D55" s="53">
        <f t="shared" ref="D55:AD55" si="12">D10-D30</f>
        <v>4.7253529883901121E-2</v>
      </c>
      <c r="E55" s="53">
        <f t="shared" si="12"/>
        <v>0.28011551949195379</v>
      </c>
      <c r="F55" s="53">
        <f t="shared" si="12"/>
        <v>0.59718244793816533</v>
      </c>
      <c r="G55" s="53">
        <f t="shared" si="12"/>
        <v>0.91424937638437687</v>
      </c>
      <c r="H55" s="53">
        <f t="shared" si="12"/>
        <v>1.2313163048305884</v>
      </c>
      <c r="I55" s="53">
        <f t="shared" si="12"/>
        <v>1.5483832332767999</v>
      </c>
      <c r="J55" s="53">
        <f t="shared" si="12"/>
        <v>1.8654501617230115</v>
      </c>
      <c r="K55" s="53">
        <f t="shared" si="12"/>
        <v>1.6136441894137561</v>
      </c>
      <c r="L55" s="53">
        <f t="shared" si="12"/>
        <v>1.1660127779459895</v>
      </c>
      <c r="M55" s="53">
        <f t="shared" si="12"/>
        <v>0.80458713045561225</v>
      </c>
      <c r="N55" s="53">
        <f t="shared" si="12"/>
        <v>0.56680711827214547</v>
      </c>
      <c r="O55" s="53">
        <f t="shared" si="12"/>
        <v>3.0445179689462347</v>
      </c>
      <c r="P55" s="53">
        <f t="shared" si="12"/>
        <v>4.5886299372095039</v>
      </c>
      <c r="Q55" s="53">
        <f t="shared" si="12"/>
        <v>6.1327419054727734</v>
      </c>
      <c r="R55" s="53">
        <f t="shared" si="12"/>
        <v>7.676853873736043</v>
      </c>
      <c r="S55" s="53">
        <f t="shared" si="12"/>
        <v>9.2209658419993126</v>
      </c>
      <c r="T55" s="53">
        <f t="shared" si="12"/>
        <v>10.765077810262582</v>
      </c>
      <c r="U55" s="53">
        <f t="shared" si="12"/>
        <v>11.285969377257926</v>
      </c>
      <c r="V55" s="53">
        <f t="shared" si="12"/>
        <v>11.80686094425327</v>
      </c>
      <c r="W55" s="53">
        <f t="shared" si="12"/>
        <v>12.327752511248613</v>
      </c>
      <c r="X55" s="53">
        <f t="shared" si="12"/>
        <v>12.848644078243957</v>
      </c>
      <c r="Y55" s="53">
        <f t="shared" si="12"/>
        <v>13.369535645239303</v>
      </c>
      <c r="Z55" s="53">
        <f t="shared" si="12"/>
        <v>31.024884631077057</v>
      </c>
      <c r="AA55" s="53">
        <f t="shared" si="12"/>
        <v>48.680233616914812</v>
      </c>
      <c r="AB55" s="53">
        <f t="shared" si="12"/>
        <v>66.335582602752567</v>
      </c>
      <c r="AC55" s="53">
        <f t="shared" si="12"/>
        <v>83.990931588590314</v>
      </c>
      <c r="AD55" s="53">
        <f t="shared" si="12"/>
        <v>101.64628057442808</v>
      </c>
    </row>
    <row r="56" spans="1:30" x14ac:dyDescent="0.35">
      <c r="A56" s="72" t="s">
        <v>39</v>
      </c>
      <c r="B56" s="10">
        <f>NPV('Cost Assumptions'!$B$3,'VS to VN &amp; Central BESS VS VN '!D56:'VS to VN &amp; Central BESS VS VN '!AD56)</f>
        <v>2.9078711043982364</v>
      </c>
      <c r="C56" s="72" t="s">
        <v>34</v>
      </c>
      <c r="D56" s="53">
        <f t="shared" ref="D56:AD56" si="13">D11-D31</f>
        <v>2.3626764941950561E-2</v>
      </c>
      <c r="E56" s="53">
        <f t="shared" si="13"/>
        <v>7.0028879872988448E-2</v>
      </c>
      <c r="F56" s="53">
        <f t="shared" si="13"/>
        <v>0.10932167994761965</v>
      </c>
      <c r="G56" s="53">
        <f t="shared" si="13"/>
        <v>0.14861448002225086</v>
      </c>
      <c r="H56" s="53">
        <f t="shared" si="13"/>
        <v>0.18790728009688207</v>
      </c>
      <c r="I56" s="53">
        <f t="shared" si="13"/>
        <v>0.22720008017151327</v>
      </c>
      <c r="J56" s="53">
        <f t="shared" si="13"/>
        <v>0.26649288024614448</v>
      </c>
      <c r="K56" s="53">
        <f t="shared" si="13"/>
        <v>0.23052059848767945</v>
      </c>
      <c r="L56" s="53">
        <f t="shared" si="13"/>
        <v>0.19433546299099821</v>
      </c>
      <c r="M56" s="53">
        <f t="shared" si="13"/>
        <v>0.16091742609112245</v>
      </c>
      <c r="N56" s="53">
        <f t="shared" si="13"/>
        <v>4.2212624824281168E-2</v>
      </c>
      <c r="O56" s="53">
        <f t="shared" si="13"/>
        <v>0.30677545020347896</v>
      </c>
      <c r="P56" s="53">
        <f t="shared" si="13"/>
        <v>0.39920718602367722</v>
      </c>
      <c r="Q56" s="53">
        <f t="shared" si="13"/>
        <v>0.49163892184387548</v>
      </c>
      <c r="R56" s="53">
        <f t="shared" si="13"/>
        <v>0.58407065766407373</v>
      </c>
      <c r="S56" s="53">
        <f t="shared" si="13"/>
        <v>0.67650239348427199</v>
      </c>
      <c r="T56" s="53">
        <f t="shared" si="13"/>
        <v>0.76893412930447014</v>
      </c>
      <c r="U56" s="53">
        <f t="shared" si="13"/>
        <v>0.69278283231502535</v>
      </c>
      <c r="V56" s="53">
        <f t="shared" si="13"/>
        <v>0.61663153532558057</v>
      </c>
      <c r="W56" s="53">
        <f t="shared" si="13"/>
        <v>0.54048023833613579</v>
      </c>
      <c r="X56" s="53">
        <f t="shared" si="13"/>
        <v>0.464328941346691</v>
      </c>
      <c r="Y56" s="53">
        <f t="shared" si="13"/>
        <v>0.38817764435724611</v>
      </c>
      <c r="Z56" s="53">
        <f t="shared" si="13"/>
        <v>0.85998146994216484</v>
      </c>
      <c r="AA56" s="53">
        <f t="shared" si="13"/>
        <v>1.3317852955270837</v>
      </c>
      <c r="AB56" s="53">
        <f t="shared" si="13"/>
        <v>1.8035891211120025</v>
      </c>
      <c r="AC56" s="53">
        <f t="shared" si="13"/>
        <v>2.2753929466969214</v>
      </c>
      <c r="AD56" s="53">
        <f t="shared" si="13"/>
        <v>2.74719677228184</v>
      </c>
    </row>
    <row r="57" spans="1:30" x14ac:dyDescent="0.35">
      <c r="A57" s="72" t="s">
        <v>39</v>
      </c>
      <c r="B57" s="10">
        <f>NPV('Cost Assumptions'!$B$3,'VS to VN &amp; Central BESS VS VN '!D57:'VS to VN &amp; Central BESS VS VN '!AD57)</f>
        <v>81.976482418430209</v>
      </c>
      <c r="C57" s="72" t="s">
        <v>35</v>
      </c>
      <c r="D57" s="53">
        <f t="shared" ref="D57:AD57" si="14">D12-D32</f>
        <v>2</v>
      </c>
      <c r="E57" s="53">
        <f t="shared" si="14"/>
        <v>4</v>
      </c>
      <c r="F57" s="53">
        <f t="shared" si="14"/>
        <v>4.5999999999999996</v>
      </c>
      <c r="G57" s="53">
        <f t="shared" si="14"/>
        <v>5.1999999999999993</v>
      </c>
      <c r="H57" s="53">
        <f t="shared" si="14"/>
        <v>5.7999999999999989</v>
      </c>
      <c r="I57" s="53">
        <f t="shared" si="14"/>
        <v>6.3999999999999986</v>
      </c>
      <c r="J57" s="53">
        <f t="shared" si="14"/>
        <v>7</v>
      </c>
      <c r="K57" s="53">
        <f t="shared" si="14"/>
        <v>7</v>
      </c>
      <c r="L57" s="53">
        <f t="shared" si="14"/>
        <v>6</v>
      </c>
      <c r="M57" s="53">
        <f t="shared" si="14"/>
        <v>5</v>
      </c>
      <c r="N57" s="53">
        <f t="shared" si="14"/>
        <v>7</v>
      </c>
      <c r="O57" s="53">
        <f t="shared" si="14"/>
        <v>8.1666666666666661</v>
      </c>
      <c r="P57" s="53">
        <f t="shared" si="14"/>
        <v>9.3333333333333321</v>
      </c>
      <c r="Q57" s="53">
        <f t="shared" si="14"/>
        <v>10.499999999999998</v>
      </c>
      <c r="R57" s="53">
        <f t="shared" si="14"/>
        <v>11.666666666666664</v>
      </c>
      <c r="S57" s="53">
        <f t="shared" si="14"/>
        <v>12.83333333333333</v>
      </c>
      <c r="T57" s="53">
        <f t="shared" si="14"/>
        <v>14</v>
      </c>
      <c r="U57" s="53">
        <f t="shared" si="14"/>
        <v>17</v>
      </c>
      <c r="V57" s="53">
        <f t="shared" si="14"/>
        <v>20</v>
      </c>
      <c r="W57" s="53">
        <f t="shared" si="14"/>
        <v>23</v>
      </c>
      <c r="X57" s="53">
        <f t="shared" si="14"/>
        <v>26</v>
      </c>
      <c r="Y57" s="53">
        <f t="shared" si="14"/>
        <v>29</v>
      </c>
      <c r="Z57" s="53">
        <f t="shared" si="14"/>
        <v>30.6</v>
      </c>
      <c r="AA57" s="53">
        <f t="shared" si="14"/>
        <v>32.200000000000003</v>
      </c>
      <c r="AB57" s="53">
        <f t="shared" si="14"/>
        <v>33.800000000000004</v>
      </c>
      <c r="AC57" s="53">
        <f t="shared" si="14"/>
        <v>35.400000000000006</v>
      </c>
      <c r="AD57" s="53">
        <f t="shared" si="14"/>
        <v>37</v>
      </c>
    </row>
    <row r="59" spans="1:30" ht="15" thickBot="1" x14ac:dyDescent="0.4">
      <c r="A59" s="177" t="s">
        <v>143</v>
      </c>
      <c r="B59" s="177"/>
      <c r="C59" s="177"/>
      <c r="D59" s="177"/>
      <c r="E59" s="177"/>
      <c r="F59" s="177"/>
      <c r="G59" s="177"/>
      <c r="H59" s="177"/>
      <c r="I59" s="177"/>
      <c r="J59" s="177"/>
      <c r="K59" s="177"/>
      <c r="L59" s="177"/>
      <c r="M59" s="177"/>
      <c r="N59" s="177"/>
      <c r="O59" s="177"/>
      <c r="P59" s="177"/>
      <c r="Q59" s="177"/>
      <c r="R59" s="177"/>
      <c r="S59" s="177"/>
      <c r="T59" s="177"/>
      <c r="U59" s="177"/>
      <c r="V59" s="177"/>
      <c r="W59" s="177"/>
      <c r="X59" s="177"/>
      <c r="Y59" s="177"/>
      <c r="Z59" s="177"/>
      <c r="AA59" s="177"/>
      <c r="AB59" s="177"/>
      <c r="AC59" s="177"/>
      <c r="AD59" s="177"/>
    </row>
    <row r="60" spans="1:30" ht="15.5" thickTop="1" thickBot="1" x14ac:dyDescent="0.4">
      <c r="A60" s="177"/>
      <c r="B60" s="177"/>
      <c r="C60" s="177"/>
      <c r="D60" s="177"/>
      <c r="E60" s="177"/>
      <c r="F60" s="177"/>
      <c r="G60" s="177"/>
      <c r="H60" s="177"/>
      <c r="I60" s="177"/>
      <c r="J60" s="177"/>
      <c r="K60" s="177"/>
      <c r="L60" s="177"/>
      <c r="M60" s="177"/>
      <c r="N60" s="177"/>
      <c r="O60" s="177"/>
      <c r="P60" s="177"/>
      <c r="Q60" s="177"/>
      <c r="R60" s="177"/>
      <c r="S60" s="177"/>
      <c r="T60" s="177"/>
      <c r="U60" s="177"/>
      <c r="V60" s="177"/>
      <c r="W60" s="177"/>
      <c r="X60" s="177"/>
      <c r="Y60" s="177"/>
      <c r="Z60" s="177"/>
      <c r="AA60" s="177"/>
      <c r="AB60" s="177"/>
      <c r="AC60" s="177"/>
      <c r="AD60" s="177"/>
    </row>
    <row r="61" spans="1:30" ht="15" thickTop="1" x14ac:dyDescent="0.35">
      <c r="A61" s="72" t="str">
        <f>'Baseline System Analysis'!A17</f>
        <v>Residential</v>
      </c>
      <c r="B61" s="72" t="str">
        <f>'Baseline System Analysis'!B17</f>
        <v>Cost of Reliability (N-1)</v>
      </c>
      <c r="C61" s="72" t="str">
        <f>'Baseline System Analysis'!C17</f>
        <v>$/kWh</v>
      </c>
      <c r="D61" s="4">
        <f>'Baseline System Analysis'!D17</f>
        <v>4.4933261328125003</v>
      </c>
      <c r="E61" s="4">
        <f>'Baseline System Analysis'!E17</f>
        <v>4.6056592861328127</v>
      </c>
      <c r="F61" s="4">
        <f>'Baseline System Analysis'!F17</f>
        <v>4.720800768286133</v>
      </c>
      <c r="G61" s="4">
        <f>'Baseline System Analysis'!G17</f>
        <v>4.8388207874932858</v>
      </c>
      <c r="H61" s="4">
        <f>'Baseline System Analysis'!H17</f>
        <v>4.9597913071806179</v>
      </c>
      <c r="I61" s="4">
        <f>'Baseline System Analysis'!I17</f>
        <v>5.0837860898601326</v>
      </c>
      <c r="J61" s="4">
        <f>'Baseline System Analysis'!J17</f>
        <v>5.2108807421066352</v>
      </c>
      <c r="K61" s="4">
        <f>'Baseline System Analysis'!K17</f>
        <v>5.341152760659301</v>
      </c>
      <c r="L61" s="4">
        <f>'Baseline System Analysis'!L17</f>
        <v>5.4746815796757833</v>
      </c>
      <c r="M61" s="4">
        <f>'Baseline System Analysis'!M17</f>
        <v>5.6115486191676771</v>
      </c>
      <c r="N61" s="4">
        <f>'Baseline System Analysis'!N17</f>
        <v>5.7518373346468685</v>
      </c>
      <c r="O61" s="4">
        <f>'Baseline System Analysis'!O17</f>
        <v>5.8956332680130394</v>
      </c>
      <c r="P61" s="4">
        <f>'Baseline System Analysis'!P17</f>
        <v>6.0430240997133646</v>
      </c>
      <c r="Q61" s="4">
        <f>'Baseline System Analysis'!Q17</f>
        <v>6.1940997022061985</v>
      </c>
      <c r="R61" s="4">
        <f>'Baseline System Analysis'!R17</f>
        <v>6.3489521947613525</v>
      </c>
      <c r="S61" s="4">
        <f>'Baseline System Analysis'!S17</f>
        <v>6.5076759996303855</v>
      </c>
      <c r="T61" s="4">
        <f>'Baseline System Analysis'!T17</f>
        <v>6.6703678996211444</v>
      </c>
      <c r="U61" s="4">
        <f>'Baseline System Analysis'!U17</f>
        <v>6.8371270971116722</v>
      </c>
      <c r="V61" s="4">
        <f>'Baseline System Analysis'!V17</f>
        <v>7.0080552745394638</v>
      </c>
      <c r="W61" s="4">
        <f>'Baseline System Analysis'!W17</f>
        <v>7.1832566564029499</v>
      </c>
      <c r="X61" s="4">
        <f>'Baseline System Analysis'!X17</f>
        <v>7.3628380728130232</v>
      </c>
      <c r="Y61" s="4">
        <f>'Baseline System Analysis'!Y17</f>
        <v>7.5469090246333481</v>
      </c>
      <c r="Z61" s="4">
        <f>'Baseline System Analysis'!Z17</f>
        <v>7.7355817502491808</v>
      </c>
      <c r="AA61" s="4">
        <f>'Baseline System Analysis'!AA17</f>
        <v>7.92897129400541</v>
      </c>
      <c r="AB61" s="4">
        <f>'Baseline System Analysis'!AB17</f>
        <v>8.127195576355545</v>
      </c>
      <c r="AC61" s="4">
        <f>'Baseline System Analysis'!AC17</f>
        <v>8.3303754657644333</v>
      </c>
      <c r="AD61" s="4">
        <f>'Baseline System Analysis'!AD17</f>
        <v>8.5386348524085438</v>
      </c>
    </row>
    <row r="62" spans="1:30" x14ac:dyDescent="0.35">
      <c r="A62" s="72" t="str">
        <f>'Baseline System Analysis'!A18</f>
        <v>Residential</v>
      </c>
      <c r="B62" s="72" t="str">
        <f>'Baseline System Analysis'!B18</f>
        <v>Cost of Reliability (N-0)</v>
      </c>
      <c r="C62" s="72" t="str">
        <f>'Baseline System Analysis'!C18</f>
        <v>$/kWh</v>
      </c>
      <c r="D62" s="4">
        <f>'Baseline System Analysis'!D18</f>
        <v>3.7920011132812497</v>
      </c>
      <c r="E62" s="4">
        <f>'Baseline System Analysis'!E18</f>
        <v>3.8868011411132808</v>
      </c>
      <c r="F62" s="4">
        <f>'Baseline System Analysis'!F18</f>
        <v>3.9839711696411126</v>
      </c>
      <c r="G62" s="4">
        <f>'Baseline System Analysis'!G18</f>
        <v>4.0835704488821403</v>
      </c>
      <c r="H62" s="4">
        <f>'Baseline System Analysis'!H18</f>
        <v>4.1856597101041935</v>
      </c>
      <c r="I62" s="4">
        <f>'Baseline System Analysis'!I18</f>
        <v>4.2903012028567975</v>
      </c>
      <c r="J62" s="4">
        <f>'Baseline System Analysis'!J18</f>
        <v>4.3975587329282169</v>
      </c>
      <c r="K62" s="4">
        <f>'Baseline System Analysis'!K18</f>
        <v>4.5074977012514221</v>
      </c>
      <c r="L62" s="4">
        <f>'Baseline System Analysis'!L18</f>
        <v>4.6201851437827068</v>
      </c>
      <c r="M62" s="4">
        <f>'Baseline System Analysis'!M18</f>
        <v>4.735689772377274</v>
      </c>
      <c r="N62" s="4">
        <f>'Baseline System Analysis'!N18</f>
        <v>4.8540820166867054</v>
      </c>
      <c r="O62" s="4">
        <f>'Baseline System Analysis'!O18</f>
        <v>4.9754340671038726</v>
      </c>
      <c r="P62" s="4">
        <f>'Baseline System Analysis'!P18</f>
        <v>5.0998199187814688</v>
      </c>
      <c r="Q62" s="4">
        <f>'Baseline System Analysis'!Q18</f>
        <v>5.2273154167510052</v>
      </c>
      <c r="R62" s="4">
        <f>'Baseline System Analysis'!R18</f>
        <v>5.3579983021697801</v>
      </c>
      <c r="S62" s="4">
        <f>'Baseline System Analysis'!S18</f>
        <v>5.4919482597240243</v>
      </c>
      <c r="T62" s="4">
        <f>'Baseline System Analysis'!T18</f>
        <v>5.6292469662171243</v>
      </c>
      <c r="U62" s="4">
        <f>'Baseline System Analysis'!U18</f>
        <v>5.7699781403725519</v>
      </c>
      <c r="V62" s="4">
        <f>'Baseline System Analysis'!V18</f>
        <v>5.9142275938818649</v>
      </c>
      <c r="W62" s="4">
        <f>'Baseline System Analysis'!W18</f>
        <v>6.0620832837289109</v>
      </c>
      <c r="X62" s="4">
        <f>'Baseline System Analysis'!X18</f>
        <v>6.2136353658221335</v>
      </c>
      <c r="Y62" s="4">
        <f>'Baseline System Analysis'!Y18</f>
        <v>6.3689762499676865</v>
      </c>
      <c r="Z62" s="4">
        <f>'Baseline System Analysis'!Z18</f>
        <v>6.5282006562168782</v>
      </c>
      <c r="AA62" s="4">
        <f>'Baseline System Analysis'!AA18</f>
        <v>6.6914056726222997</v>
      </c>
      <c r="AB62" s="4">
        <f>'Baseline System Analysis'!AB18</f>
        <v>6.8586908144378569</v>
      </c>
      <c r="AC62" s="4">
        <f>'Baseline System Analysis'!AC18</f>
        <v>7.0301580847988028</v>
      </c>
      <c r="AD62" s="4">
        <f>'Baseline System Analysis'!AD18</f>
        <v>7.2059120369187726</v>
      </c>
    </row>
    <row r="63" spans="1:30" x14ac:dyDescent="0.35">
      <c r="A63" s="72" t="str">
        <f>'Baseline System Analysis'!A19</f>
        <v>Commerical</v>
      </c>
      <c r="B63" s="72" t="str">
        <f>'Baseline System Analysis'!B19</f>
        <v>Cost of Reliability (N-1)</v>
      </c>
      <c r="C63" s="72" t="str">
        <f>'Baseline System Analysis'!C19</f>
        <v>$/kWh</v>
      </c>
      <c r="D63" s="4">
        <f>'Baseline System Analysis'!D19</f>
        <v>166.59767191406246</v>
      </c>
      <c r="E63" s="4">
        <f>'Baseline System Analysis'!E19</f>
        <v>170.76261371191401</v>
      </c>
      <c r="F63" s="4">
        <f>'Baseline System Analysis'!F19</f>
        <v>175.03167905471184</v>
      </c>
      <c r="G63" s="4">
        <f>'Baseline System Analysis'!G19</f>
        <v>179.40747103107964</v>
      </c>
      <c r="H63" s="4">
        <f>'Baseline System Analysis'!H19</f>
        <v>183.89265780685662</v>
      </c>
      <c r="I63" s="4">
        <f>'Baseline System Analysis'!I19</f>
        <v>188.48997425202802</v>
      </c>
      <c r="J63" s="4">
        <f>'Baseline System Analysis'!J19</f>
        <v>193.20222360832869</v>
      </c>
      <c r="K63" s="4">
        <f>'Baseline System Analysis'!K19</f>
        <v>198.03227919853688</v>
      </c>
      <c r="L63" s="4">
        <f>'Baseline System Analysis'!L19</f>
        <v>202.98308617850029</v>
      </c>
      <c r="M63" s="4">
        <f>'Baseline System Analysis'!M19</f>
        <v>208.05766333296279</v>
      </c>
      <c r="N63" s="4">
        <f>'Baseline System Analysis'!N19</f>
        <v>213.25910491628684</v>
      </c>
      <c r="O63" s="4">
        <f>'Baseline System Analysis'!O19</f>
        <v>218.590582539194</v>
      </c>
      <c r="P63" s="4">
        <f>'Baseline System Analysis'!P19</f>
        <v>224.05534710267384</v>
      </c>
      <c r="Q63" s="4">
        <f>'Baseline System Analysis'!Q19</f>
        <v>229.65673078024065</v>
      </c>
      <c r="R63" s="4">
        <f>'Baseline System Analysis'!R19</f>
        <v>235.39814904974665</v>
      </c>
      <c r="S63" s="4">
        <f>'Baseline System Analysis'!S19</f>
        <v>241.2831027759903</v>
      </c>
      <c r="T63" s="4">
        <f>'Baseline System Analysis'!T19</f>
        <v>247.31518034539005</v>
      </c>
      <c r="U63" s="4">
        <f>'Baseline System Analysis'!U19</f>
        <v>253.49805985402477</v>
      </c>
      <c r="V63" s="4">
        <f>'Baseline System Analysis'!V19</f>
        <v>259.83551135037538</v>
      </c>
      <c r="W63" s="4">
        <f>'Baseline System Analysis'!W19</f>
        <v>266.33139913413476</v>
      </c>
      <c r="X63" s="4">
        <f>'Baseline System Analysis'!X19</f>
        <v>272.98968411248808</v>
      </c>
      <c r="Y63" s="4">
        <f>'Baseline System Analysis'!Y19</f>
        <v>279.81442621530027</v>
      </c>
      <c r="Z63" s="4">
        <f>'Baseline System Analysis'!Z19</f>
        <v>286.80978687068273</v>
      </c>
      <c r="AA63" s="4">
        <f>'Baseline System Analysis'!AA19</f>
        <v>293.98003154244975</v>
      </c>
      <c r="AB63" s="4">
        <f>'Baseline System Analysis'!AB19</f>
        <v>301.32953233101097</v>
      </c>
      <c r="AC63" s="4">
        <f>'Baseline System Analysis'!AC19</f>
        <v>308.86277063928623</v>
      </c>
      <c r="AD63" s="4">
        <f>'Baseline System Analysis'!AD19</f>
        <v>316.58433990526834</v>
      </c>
    </row>
    <row r="64" spans="1:30" x14ac:dyDescent="0.35">
      <c r="A64" s="72" t="str">
        <f>'Baseline System Analysis'!A20</f>
        <v>Commerical</v>
      </c>
      <c r="B64" s="72" t="str">
        <f>'Baseline System Analysis'!B20</f>
        <v>Cost of Reliability (N-0)</v>
      </c>
      <c r="C64" s="72" t="str">
        <f>'Baseline System Analysis'!C20</f>
        <v>$/kWh</v>
      </c>
      <c r="D64" s="4">
        <f>'Baseline System Analysis'!D20</f>
        <v>153.83719106445315</v>
      </c>
      <c r="E64" s="4">
        <f>'Baseline System Analysis'!E20</f>
        <v>157.68312084106446</v>
      </c>
      <c r="F64" s="4">
        <f>'Baseline System Analysis'!F20</f>
        <v>161.62519886209105</v>
      </c>
      <c r="G64" s="4">
        <f>'Baseline System Analysis'!G20</f>
        <v>165.6658288336433</v>
      </c>
      <c r="H64" s="4">
        <f>'Baseline System Analysis'!H20</f>
        <v>169.80747455448437</v>
      </c>
      <c r="I64" s="4">
        <f>'Baseline System Analysis'!I20</f>
        <v>174.05266141834647</v>
      </c>
      <c r="J64" s="4">
        <f>'Baseline System Analysis'!J20</f>
        <v>178.40397795380511</v>
      </c>
      <c r="K64" s="4">
        <f>'Baseline System Analysis'!K20</f>
        <v>182.86407740265022</v>
      </c>
      <c r="L64" s="4">
        <f>'Baseline System Analysis'!L20</f>
        <v>187.43567933771646</v>
      </c>
      <c r="M64" s="4">
        <f>'Baseline System Analysis'!M20</f>
        <v>192.12157132115937</v>
      </c>
      <c r="N64" s="4">
        <f>'Baseline System Analysis'!N20</f>
        <v>196.92461060418833</v>
      </c>
      <c r="O64" s="4">
        <f>'Baseline System Analysis'!O20</f>
        <v>201.84772586929301</v>
      </c>
      <c r="P64" s="4">
        <f>'Baseline System Analysis'!P20</f>
        <v>206.89391901602534</v>
      </c>
      <c r="Q64" s="4">
        <f>'Baseline System Analysis'!Q20</f>
        <v>212.06626699142595</v>
      </c>
      <c r="R64" s="4">
        <f>'Baseline System Analysis'!R20</f>
        <v>217.36792366621157</v>
      </c>
      <c r="S64" s="4">
        <f>'Baseline System Analysis'!S20</f>
        <v>222.80212175786684</v>
      </c>
      <c r="T64" s="4">
        <f>'Baseline System Analysis'!T20</f>
        <v>228.37217480181349</v>
      </c>
      <c r="U64" s="4">
        <f>'Baseline System Analysis'!U20</f>
        <v>234.0814791718588</v>
      </c>
      <c r="V64" s="4">
        <f>'Baseline System Analysis'!V20</f>
        <v>239.93351615115526</v>
      </c>
      <c r="W64" s="4">
        <f>'Baseline System Analysis'!W20</f>
        <v>245.93185405493412</v>
      </c>
      <c r="X64" s="4">
        <f>'Baseline System Analysis'!X20</f>
        <v>252.08015040630744</v>
      </c>
      <c r="Y64" s="4">
        <f>'Baseline System Analysis'!Y20</f>
        <v>258.38215416646511</v>
      </c>
      <c r="Z64" s="4">
        <f>'Baseline System Analysis'!Z20</f>
        <v>264.8417080206267</v>
      </c>
      <c r="AA64" s="4">
        <f>'Baseline System Analysis'!AA20</f>
        <v>271.46275072114236</v>
      </c>
      <c r="AB64" s="4">
        <f>'Baseline System Analysis'!AB20</f>
        <v>278.24931948917089</v>
      </c>
      <c r="AC64" s="4">
        <f>'Baseline System Analysis'!AC20</f>
        <v>285.20555247640016</v>
      </c>
      <c r="AD64" s="4">
        <f>'Baseline System Analysis'!AD20</f>
        <v>292.33569128831016</v>
      </c>
    </row>
    <row r="66" spans="1:30" x14ac:dyDescent="0.35">
      <c r="A66" s="72" t="s">
        <v>117</v>
      </c>
      <c r="B66" s="72" t="s">
        <v>31</v>
      </c>
      <c r="C66" s="18">
        <f>NPV('Cost Assumptions'!$B$3,D66:AD66)</f>
        <v>34143.207027077427</v>
      </c>
      <c r="D66" s="4">
        <f>'Baseline System Analysis'!D24-D35</f>
        <v>85.467055666139231</v>
      </c>
      <c r="E66" s="4">
        <f>'Baseline System Analysis'!E24-E35</f>
        <v>-38.570120586914072</v>
      </c>
      <c r="F66" s="4">
        <f>'Baseline System Analysis'!F24-F35</f>
        <v>-162.6072968399676</v>
      </c>
      <c r="G66" s="4">
        <f>'Baseline System Analysis'!G24-G35</f>
        <v>-286.64447309302159</v>
      </c>
      <c r="H66" s="4">
        <f>'Baseline System Analysis'!H24-H35</f>
        <v>-410.68164934607557</v>
      </c>
      <c r="I66" s="4">
        <f>'Baseline System Analysis'!I24-I35</f>
        <v>-534.71882559912774</v>
      </c>
      <c r="J66" s="4">
        <f>'Baseline System Analysis'!J24-J35</f>
        <v>-658.75600185218173</v>
      </c>
      <c r="K66" s="4">
        <f>'Baseline System Analysis'!K24-K35</f>
        <v>-1572.2209183654504</v>
      </c>
      <c r="L66" s="4">
        <f>'Baseline System Analysis'!L24-L35</f>
        <v>-1299.1265165287841</v>
      </c>
      <c r="M66" s="4">
        <f>'Baseline System Analysis'!M24-M35</f>
        <v>-1202.7397104637585</v>
      </c>
      <c r="N66" s="4">
        <f>'Baseline System Analysis'!N24-N35</f>
        <v>-1056.4556606256465</v>
      </c>
      <c r="O66" s="4">
        <f>'Baseline System Analysis'!O24-O35</f>
        <v>1671.6038953372336</v>
      </c>
      <c r="P66" s="4">
        <f>'Baseline System Analysis'!P24-P35</f>
        <v>993.47922227187519</v>
      </c>
      <c r="Q66" s="4">
        <f>'Baseline System Analysis'!Q24-Q35</f>
        <v>315.35454920651682</v>
      </c>
      <c r="R66" s="4">
        <f>'Baseline System Analysis'!R24-R35</f>
        <v>-362.77012385884154</v>
      </c>
      <c r="S66" s="4">
        <f>'Baseline System Analysis'!S24-S35</f>
        <v>-1040.8947969242072</v>
      </c>
      <c r="T66" s="4">
        <f>'Baseline System Analysis'!T24-T35</f>
        <v>-1719.0194699895728</v>
      </c>
      <c r="U66" s="4">
        <f>'Baseline System Analysis'!U24-U35</f>
        <v>4040.5971902026795</v>
      </c>
      <c r="V66" s="4">
        <f>'Baseline System Analysis'!V24-V35</f>
        <v>9800.21385039491</v>
      </c>
      <c r="W66" s="4">
        <f>'Baseline System Analysis'!W24-W35</f>
        <v>15559.83051058714</v>
      </c>
      <c r="X66" s="4">
        <f>'Baseline System Analysis'!X24-X35</f>
        <v>21319.447170779371</v>
      </c>
      <c r="Y66" s="4">
        <f>'Baseline System Analysis'!Y24-Y35</f>
        <v>27079.063830971601</v>
      </c>
      <c r="Z66" s="4">
        <f>'Baseline System Analysis'!Z24-Z35</f>
        <v>37562.495116897771</v>
      </c>
      <c r="AA66" s="4">
        <f>'Baseline System Analysis'!AA24-AA35</f>
        <v>48045.926402823883</v>
      </c>
      <c r="AB66" s="4">
        <f>'Baseline System Analysis'!AB24-AB35</f>
        <v>58529.357688750024</v>
      </c>
      <c r="AC66" s="4">
        <f>'Baseline System Analysis'!AC24-AC35</f>
        <v>69012.788974676165</v>
      </c>
      <c r="AD66" s="4">
        <f>'Baseline System Analysis'!AD24-AD35</f>
        <v>79496.220260602364</v>
      </c>
    </row>
    <row r="67" spans="1:30" x14ac:dyDescent="0.35">
      <c r="A67" s="72" t="s">
        <v>119</v>
      </c>
      <c r="B67" s="72" t="s">
        <v>31</v>
      </c>
      <c r="C67" s="18">
        <f>NPV('Cost Assumptions'!$B$3,D67:AD67)</f>
        <v>141676.75371356108</v>
      </c>
      <c r="D67" s="4">
        <f>'Baseline System Analysis'!D25-D36</f>
        <v>354.64433632821692</v>
      </c>
      <c r="E67" s="4">
        <f>'Baseline System Analysis'!E25-E36</f>
        <v>-160.04616879606328</v>
      </c>
      <c r="F67" s="4">
        <f>'Baseline System Analysis'!F25-F36</f>
        <v>-674.73667392034622</v>
      </c>
      <c r="G67" s="4">
        <f>'Baseline System Analysis'!G25-G36</f>
        <v>-1189.4271790446255</v>
      </c>
      <c r="H67" s="4">
        <f>'Baseline System Analysis'!H25-H36</f>
        <v>-1704.1176841689012</v>
      </c>
      <c r="I67" s="4">
        <f>'Baseline System Analysis'!I25-I36</f>
        <v>-2218.8081892931805</v>
      </c>
      <c r="J67" s="4">
        <f>'Baseline System Analysis'!J25-J36</f>
        <v>-2733.498694417467</v>
      </c>
      <c r="K67" s="4">
        <f>'Baseline System Analysis'!K25-K36</f>
        <v>-6523.9084207268679</v>
      </c>
      <c r="L67" s="4">
        <f>'Baseline System Analysis'!L25-L36</f>
        <v>-5390.7070703416684</v>
      </c>
      <c r="M67" s="4">
        <f>'Baseline System Analysis'!M25-M36</f>
        <v>-4990.7513844776477</v>
      </c>
      <c r="N67" s="4">
        <f>'Baseline System Analysis'!N25-N36</f>
        <v>-4383.7477926738648</v>
      </c>
      <c r="O67" s="4">
        <f>'Baseline System Analysis'!O25-O36</f>
        <v>6936.2966753095388</v>
      </c>
      <c r="P67" s="4">
        <f>'Baseline System Analysis'!P25-P36</f>
        <v>4122.4279541674769</v>
      </c>
      <c r="Q67" s="4">
        <f>'Baseline System Analysis'!Q25-Q36</f>
        <v>1308.5592330254149</v>
      </c>
      <c r="R67" s="4">
        <f>'Baseline System Analysis'!R25-R36</f>
        <v>-1505.3094881166471</v>
      </c>
      <c r="S67" s="4">
        <f>'Baseline System Analysis'!S25-S36</f>
        <v>-4319.1782092587091</v>
      </c>
      <c r="T67" s="4">
        <f>'Baseline System Analysis'!T25-T36</f>
        <v>-7133.0469304008002</v>
      </c>
      <c r="U67" s="4">
        <f>'Baseline System Analysis'!U25-U36</f>
        <v>16766.400781217089</v>
      </c>
      <c r="V67" s="4">
        <f>'Baseline System Analysis'!V25-V36</f>
        <v>40665.84849283495</v>
      </c>
      <c r="W67" s="4">
        <f>'Baseline System Analysis'!W25-W36</f>
        <v>64565.29620445281</v>
      </c>
      <c r="X67" s="4">
        <f>'Baseline System Analysis'!X25-X36</f>
        <v>88464.743916070671</v>
      </c>
      <c r="Y67" s="4">
        <f>'Baseline System Analysis'!Y25-Y36</f>
        <v>112364.19162768847</v>
      </c>
      <c r="Z67" s="4">
        <f>'Baseline System Analysis'!Z25-Z36</f>
        <v>155865.04118734784</v>
      </c>
      <c r="AA67" s="4">
        <f>'Baseline System Analysis'!AA25-AA36</f>
        <v>199365.89074700733</v>
      </c>
      <c r="AB67" s="4">
        <f>'Baseline System Analysis'!AB25-AB36</f>
        <v>242866.74030666659</v>
      </c>
      <c r="AC67" s="4">
        <f>'Baseline System Analysis'!AC25-AC36</f>
        <v>286367.58986632596</v>
      </c>
      <c r="AD67" s="4">
        <f>'Baseline System Analysis'!AD25-AD36</f>
        <v>329868.43942598533</v>
      </c>
    </row>
    <row r="68" spans="1:30" x14ac:dyDescent="0.35">
      <c r="A68" s="72" t="s">
        <v>24</v>
      </c>
      <c r="B68" s="72" t="s">
        <v>31</v>
      </c>
      <c r="C68" s="18">
        <f>NPV('Cost Assumptions'!$B$3,D68:AD68)</f>
        <v>175819.96074063852</v>
      </c>
      <c r="D68" s="4">
        <f>SUM(D66:D67)</f>
        <v>440.11139199435615</v>
      </c>
      <c r="E68" s="4">
        <f t="shared" ref="E68:AD68" si="15">SUM(E66:E67)</f>
        <v>-198.61628938297736</v>
      </c>
      <c r="F68" s="4">
        <f t="shared" si="15"/>
        <v>-837.34397076031382</v>
      </c>
      <c r="G68" s="4">
        <f t="shared" si="15"/>
        <v>-1476.0716521376471</v>
      </c>
      <c r="H68" s="4">
        <f t="shared" si="15"/>
        <v>-2114.7993335149768</v>
      </c>
      <c r="I68" s="4">
        <f t="shared" si="15"/>
        <v>-2753.5270148923082</v>
      </c>
      <c r="J68" s="4">
        <f t="shared" si="15"/>
        <v>-3392.2546962696488</v>
      </c>
      <c r="K68" s="4">
        <f t="shared" si="15"/>
        <v>-8096.1293390923183</v>
      </c>
      <c r="L68" s="4">
        <f t="shared" si="15"/>
        <v>-6689.8335868704526</v>
      </c>
      <c r="M68" s="4">
        <f t="shared" si="15"/>
        <v>-6193.4910949414061</v>
      </c>
      <c r="N68" s="4">
        <f t="shared" si="15"/>
        <v>-5440.2034532995112</v>
      </c>
      <c r="O68" s="4">
        <f t="shared" si="15"/>
        <v>8607.9005706467724</v>
      </c>
      <c r="P68" s="4">
        <f t="shared" si="15"/>
        <v>5115.907176439352</v>
      </c>
      <c r="Q68" s="4">
        <f t="shared" si="15"/>
        <v>1623.9137822319317</v>
      </c>
      <c r="R68" s="4">
        <f t="shared" si="15"/>
        <v>-1868.0796119754887</v>
      </c>
      <c r="S68" s="4">
        <f t="shared" si="15"/>
        <v>-5360.0730061829163</v>
      </c>
      <c r="T68" s="4">
        <f t="shared" si="15"/>
        <v>-8852.066400390373</v>
      </c>
      <c r="U68" s="4">
        <f t="shared" si="15"/>
        <v>20806.997971419769</v>
      </c>
      <c r="V68" s="4">
        <f t="shared" si="15"/>
        <v>50466.06234322986</v>
      </c>
      <c r="W68" s="4">
        <f t="shared" si="15"/>
        <v>80125.126715039951</v>
      </c>
      <c r="X68" s="4">
        <f t="shared" si="15"/>
        <v>109784.19108685004</v>
      </c>
      <c r="Y68" s="4">
        <f t="shared" si="15"/>
        <v>139443.25545866007</v>
      </c>
      <c r="Z68" s="4">
        <f t="shared" si="15"/>
        <v>193427.53630424562</v>
      </c>
      <c r="AA68" s="4">
        <f t="shared" si="15"/>
        <v>247411.81714983121</v>
      </c>
      <c r="AB68" s="4">
        <f t="shared" si="15"/>
        <v>301396.09799541661</v>
      </c>
      <c r="AC68" s="4">
        <f t="shared" si="15"/>
        <v>355380.37884100212</v>
      </c>
      <c r="AD68" s="4">
        <f t="shared" si="15"/>
        <v>409364.65968658769</v>
      </c>
    </row>
    <row r="69" spans="1:30" x14ac:dyDescent="0.35">
      <c r="A69" s="72"/>
      <c r="B69" s="72"/>
      <c r="C69" s="72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</row>
    <row r="70" spans="1:30" x14ac:dyDescent="0.35">
      <c r="A70" s="72" t="s">
        <v>120</v>
      </c>
      <c r="B70" s="72" t="s">
        <v>31</v>
      </c>
      <c r="C70" s="18">
        <f>NPV('Cost Assumptions'!$B$3,D70:AD70)</f>
        <v>24322736.867207415</v>
      </c>
      <c r="D70" s="4">
        <f>'Baseline System Analysis'!D28-D33</f>
        <v>160311.2620318876</v>
      </c>
      <c r="E70" s="4">
        <f>'Baseline System Analysis'!E28-E33</f>
        <v>426681.41358302307</v>
      </c>
      <c r="F70" s="4">
        <f>'Baseline System Analysis'!F28-F33</f>
        <v>622797.58403751405</v>
      </c>
      <c r="G70" s="4">
        <f>'Baseline System Analysis'!G28-G33</f>
        <v>833710.68965832237</v>
      </c>
      <c r="H70" s="4">
        <f>'Baseline System Analysis'!H28-H33</f>
        <v>1064544.9637495263</v>
      </c>
      <c r="I70" s="4">
        <f>'Baseline System Analysis'!I28-I33</f>
        <v>1155248.1483230039</v>
      </c>
      <c r="J70" s="4">
        <f>'Baseline System Analysis'!J28-J33</f>
        <v>1567795.6535710837</v>
      </c>
      <c r="K70" s="4">
        <f>'Baseline System Analysis'!K28-K33</f>
        <v>1347745.4554885479</v>
      </c>
      <c r="L70" s="4">
        <f>'Baseline System Analysis'!L28-L33</f>
        <v>1143199.8672408643</v>
      </c>
      <c r="M70" s="4">
        <f>'Baseline System Analysis'!M28-M33</f>
        <v>1340230.0479167867</v>
      </c>
      <c r="N70" s="4">
        <f>'Baseline System Analysis'!N28-N33</f>
        <v>1211871.2277846751</v>
      </c>
      <c r="O70" s="4">
        <f>'Baseline System Analysis'!O28-O33</f>
        <v>1844840.0090543826</v>
      </c>
      <c r="P70" s="4">
        <f>'Baseline System Analysis'!P28-P33</f>
        <v>2356895.0256503327</v>
      </c>
      <c r="Q70" s="4">
        <f>'Baseline System Analysis'!Q28-Q33</f>
        <v>2752240.7792296447</v>
      </c>
      <c r="R70" s="4">
        <f>'Baseline System Analysis'!R28-R33</f>
        <v>3112959.3920374792</v>
      </c>
      <c r="S70" s="4">
        <f>'Baseline System Analysis'!S28-S33</f>
        <v>3866030.048087935</v>
      </c>
      <c r="T70" s="4">
        <f>'Baseline System Analysis'!T28-T33</f>
        <v>4800043.3764840001</v>
      </c>
      <c r="U70" s="4">
        <f>'Baseline System Analysis'!U28-U33</f>
        <v>5605356.4974824116</v>
      </c>
      <c r="V70" s="4">
        <f>'Baseline System Analysis'!V28-V33</f>
        <v>6874181.4866932966</v>
      </c>
      <c r="W70" s="4">
        <f>'Baseline System Analysis'!W28-W33</f>
        <v>7999576.6636784412</v>
      </c>
      <c r="X70" s="4">
        <f>'Baseline System Analysis'!X28-X33</f>
        <v>9754283.3840660583</v>
      </c>
      <c r="Y70" s="4">
        <f>'Baseline System Analysis'!Y28-Y33</f>
        <v>11535617.976796627</v>
      </c>
      <c r="Z70" s="4">
        <f>'Baseline System Analysis'!Z28-Z33</f>
        <v>13419029.134060645</v>
      </c>
      <c r="AA70" s="4">
        <f>'Baseline System Analysis'!AA28-AA33</f>
        <v>15550241.498579893</v>
      </c>
      <c r="AB70" s="4">
        <f>'Baseline System Analysis'!AB28-AB33</f>
        <v>17751814.256896835</v>
      </c>
      <c r="AC70" s="4">
        <f>'Baseline System Analysis'!AC28-AC33</f>
        <v>19753092.153455924</v>
      </c>
      <c r="AD70" s="4">
        <f>'Baseline System Analysis'!AD28-AD33</f>
        <v>21673528.399512697</v>
      </c>
    </row>
    <row r="71" spans="1:30" x14ac:dyDescent="0.35">
      <c r="A71" s="72" t="s">
        <v>121</v>
      </c>
      <c r="B71" s="72" t="s">
        <v>31</v>
      </c>
      <c r="C71" s="18">
        <f>NPV('Cost Assumptions'!$B$3,D71:AD71)</f>
        <v>111616614.01387709</v>
      </c>
      <c r="D71" s="4">
        <f>'Baseline System Analysis'!D29-D34</f>
        <v>903346.68264248176</v>
      </c>
      <c r="E71" s="4">
        <f>'Baseline System Analysis'!E29-E34</f>
        <v>2253380.2014470203</v>
      </c>
      <c r="F71" s="4">
        <f>'Baseline System Analysis'!F29-F34</f>
        <v>3310518.2522157584</v>
      </c>
      <c r="G71" s="4">
        <f>'Baseline System Analysis'!G29-G34</f>
        <v>4447479.3478986584</v>
      </c>
      <c r="H71" s="4">
        <f>'Baseline System Analysis'!H29-H34</f>
        <v>5587189.795765399</v>
      </c>
      <c r="I71" s="4">
        <f>'Baseline System Analysis'!I29-I34</f>
        <v>5454549.1605001325</v>
      </c>
      <c r="J71" s="4">
        <f>'Baseline System Analysis'!J29-J34</f>
        <v>7543147.8061243081</v>
      </c>
      <c r="K71" s="4">
        <f>'Baseline System Analysis'!K29-K34</f>
        <v>6412592.364404032</v>
      </c>
      <c r="L71" s="4">
        <f>'Baseline System Analysis'!L29-L34</f>
        <v>5385232.8797742622</v>
      </c>
      <c r="M71" s="4">
        <f>'Baseline System Analysis'!M29-M34</f>
        <v>6340117.1212563487</v>
      </c>
      <c r="N71" s="4">
        <f>'Baseline System Analysis'!N29-N34</f>
        <v>6361112.9189538537</v>
      </c>
      <c r="O71" s="4">
        <f>'Baseline System Analysis'!O29-O34</f>
        <v>8895771.1264487375</v>
      </c>
      <c r="P71" s="4">
        <f>'Baseline System Analysis'!P29-P34</f>
        <v>11481103.835917845</v>
      </c>
      <c r="Q71" s="4">
        <f>'Baseline System Analysis'!Q29-Q34</f>
        <v>12843987.910857875</v>
      </c>
      <c r="R71" s="4">
        <f>'Baseline System Analysis'!R29-R34</f>
        <v>13698596.18827603</v>
      </c>
      <c r="S71" s="4">
        <f>'Baseline System Analysis'!S29-S34</f>
        <v>17199347.660875205</v>
      </c>
      <c r="T71" s="4">
        <f>'Baseline System Analysis'!T29-T34</f>
        <v>21372792.810114369</v>
      </c>
      <c r="U71" s="4">
        <f>'Baseline System Analysis'!U29-U34</f>
        <v>24257449.061312743</v>
      </c>
      <c r="V71" s="4">
        <f>'Baseline System Analysis'!V29-V34</f>
        <v>29703520.689742472</v>
      </c>
      <c r="W71" s="4">
        <f>'Baseline System Analysis'!W29-W34</f>
        <v>34774447.076135397</v>
      </c>
      <c r="X71" s="4">
        <f>'Baseline System Analysis'!X29-X34</f>
        <v>42273498.74532187</v>
      </c>
      <c r="Y71" s="4">
        <f>'Baseline System Analysis'!Y29-Y34</f>
        <v>50410415.488010727</v>
      </c>
      <c r="Z71" s="4">
        <f>'Baseline System Analysis'!Z29-Z34</f>
        <v>59093268.855131164</v>
      </c>
      <c r="AA71" s="4">
        <f>'Baseline System Analysis'!AA29-AA34</f>
        <v>69213486.158677086</v>
      </c>
      <c r="AB71" s="4">
        <f>'Baseline System Analysis'!AB29-AB34</f>
        <v>79553492.093079031</v>
      </c>
      <c r="AC71" s="4">
        <f>'Baseline System Analysis'!AC29-AC34</f>
        <v>89158920.062468082</v>
      </c>
      <c r="AD71" s="4">
        <f>'Baseline System Analysis'!AD29-AD34</f>
        <v>98364469.734937131</v>
      </c>
    </row>
    <row r="72" spans="1:30" x14ac:dyDescent="0.35">
      <c r="A72" s="72" t="s">
        <v>24</v>
      </c>
      <c r="B72" s="72" t="s">
        <v>31</v>
      </c>
      <c r="C72" s="18">
        <f>NPV('Cost Assumptions'!$B$3,D72:AD72)</f>
        <v>135939350.88108453</v>
      </c>
      <c r="D72" s="4">
        <f>SUM(D70:D71)</f>
        <v>1063657.9446743694</v>
      </c>
      <c r="E72" s="4">
        <f t="shared" ref="E72:AD72" si="16">SUM(E70:E71)</f>
        <v>2680061.6150300433</v>
      </c>
      <c r="F72" s="4">
        <f t="shared" si="16"/>
        <v>3933315.8362532724</v>
      </c>
      <c r="G72" s="4">
        <f t="shared" si="16"/>
        <v>5281190.0375569807</v>
      </c>
      <c r="H72" s="4">
        <f t="shared" si="16"/>
        <v>6651734.7595149251</v>
      </c>
      <c r="I72" s="4">
        <f t="shared" si="16"/>
        <v>6609797.3088231366</v>
      </c>
      <c r="J72" s="4">
        <f t="shared" si="16"/>
        <v>9110943.4596953914</v>
      </c>
      <c r="K72" s="4">
        <f t="shared" si="16"/>
        <v>7760337.8198925797</v>
      </c>
      <c r="L72" s="4">
        <f t="shared" si="16"/>
        <v>6528432.747015126</v>
      </c>
      <c r="M72" s="4">
        <f t="shared" si="16"/>
        <v>7680347.1691731354</v>
      </c>
      <c r="N72" s="4">
        <f t="shared" si="16"/>
        <v>7572984.1467385292</v>
      </c>
      <c r="O72" s="4">
        <f t="shared" si="16"/>
        <v>10740611.135503121</v>
      </c>
      <c r="P72" s="4">
        <f t="shared" si="16"/>
        <v>13837998.861568179</v>
      </c>
      <c r="Q72" s="4">
        <f t="shared" si="16"/>
        <v>15596228.69008752</v>
      </c>
      <c r="R72" s="4">
        <f t="shared" si="16"/>
        <v>16811555.580313511</v>
      </c>
      <c r="S72" s="4">
        <f t="shared" si="16"/>
        <v>21065377.708963141</v>
      </c>
      <c r="T72" s="4">
        <f t="shared" si="16"/>
        <v>26172836.186598368</v>
      </c>
      <c r="U72" s="4">
        <f t="shared" si="16"/>
        <v>29862805.558795154</v>
      </c>
      <c r="V72" s="4">
        <f t="shared" si="16"/>
        <v>36577702.176435769</v>
      </c>
      <c r="W72" s="4">
        <f t="shared" si="16"/>
        <v>42774023.739813834</v>
      </c>
      <c r="X72" s="4">
        <f t="shared" si="16"/>
        <v>52027782.12938793</v>
      </c>
      <c r="Y72" s="4">
        <f t="shared" si="16"/>
        <v>61946033.464807354</v>
      </c>
      <c r="Z72" s="4">
        <f t="shared" si="16"/>
        <v>72512297.989191815</v>
      </c>
      <c r="AA72" s="4">
        <f t="shared" si="16"/>
        <v>84763727.657256976</v>
      </c>
      <c r="AB72" s="4">
        <f t="shared" si="16"/>
        <v>97305306.349975869</v>
      </c>
      <c r="AC72" s="4">
        <f t="shared" si="16"/>
        <v>108912012.21592401</v>
      </c>
      <c r="AD72" s="4">
        <f t="shared" si="16"/>
        <v>120037998.13444982</v>
      </c>
    </row>
    <row r="74" spans="1:30" x14ac:dyDescent="0.35">
      <c r="A74" s="72" t="s">
        <v>117</v>
      </c>
      <c r="B74" s="72" t="s">
        <v>144</v>
      </c>
      <c r="C74" s="18">
        <f>NPV('Cost Assumptions'!$B$3,D74:AD74)</f>
        <v>207361752.67986608</v>
      </c>
      <c r="D74" s="53">
        <f>ABS((D50*D61*1000*'Cost Assumptions'!$B$6)/'Cost Assumptions'!$B$14)</f>
        <v>6621897.8890077285</v>
      </c>
      <c r="E74" s="53">
        <f>ABS((E50*E61*1000*'Cost Assumptions'!$B$6)/'Cost Assumptions'!$B$14)</f>
        <v>9025240.0833087191</v>
      </c>
      <c r="F74" s="53">
        <f>ABS((F50*F61*1000*'Cost Assumptions'!$B$6)/'Cost Assumptions'!$B$14)</f>
        <v>11544610.701144125</v>
      </c>
      <c r="G74" s="53">
        <f>ABS((G50*G61*1000*'Cost Assumptions'!$B$6)/'Cost Assumptions'!$B$14)</f>
        <v>14184309.074819231</v>
      </c>
      <c r="H74" s="53">
        <f>ABS((H50*H61*1000*'Cost Assumptions'!$B$6)/'Cost Assumptions'!$B$14)</f>
        <v>16948776.985489886</v>
      </c>
      <c r="I74" s="53">
        <f>ABS((I50*I61*1000*'Cost Assumptions'!$B$6)/'Cost Assumptions'!$B$14)</f>
        <v>19842603.098522302</v>
      </c>
      <c r="J74" s="53">
        <f>ABS((J50*J61*1000*'Cost Assumptions'!$B$6)/'Cost Assumptions'!$B$14)</f>
        <v>22870527.531590406</v>
      </c>
      <c r="K74" s="53">
        <f>ABS((K50*K61*1000*'Cost Assumptions'!$B$6)/'Cost Assumptions'!$B$14)</f>
        <v>22841542.609588388</v>
      </c>
      <c r="L74" s="53">
        <f>ABS((L50*L61*1000*'Cost Assumptions'!$B$6)/'Cost Assumptions'!$B$14)</f>
        <v>22796814.361779023</v>
      </c>
      <c r="M74" s="53">
        <f>ABS((M50*M61*1000*'Cost Assumptions'!$B$6)/'Cost Assumptions'!$B$14)</f>
        <v>18201663.851003204</v>
      </c>
      <c r="N74" s="53">
        <f>ABS((N50*N61*1000*'Cost Assumptions'!$B$6)/'Cost Assumptions'!$B$14)</f>
        <v>22078347.206995543</v>
      </c>
      <c r="O74" s="53">
        <f>ABS((O50*O61*1000*'Cost Assumptions'!$B$6)/'Cost Assumptions'!$B$14)</f>
        <v>27489608.933048781</v>
      </c>
      <c r="P74" s="53">
        <f>ABS((P50*P61*1000*'Cost Assumptions'!$B$6)/'Cost Assumptions'!$B$14)</f>
        <v>29252436.534241784</v>
      </c>
      <c r="Q74" s="53">
        <f>ABS((Q50*Q61*1000*'Cost Assumptions'!$B$6)/'Cost Assumptions'!$B$14)</f>
        <v>31086224.509911269</v>
      </c>
      <c r="R74" s="53">
        <f>ABS((R50*R61*1000*'Cost Assumptions'!$B$6)/'Cost Assumptions'!$B$14)</f>
        <v>32993419.11153033</v>
      </c>
      <c r="S74" s="53">
        <f>ABS((S50*S61*1000*'Cost Assumptions'!$B$6)/'Cost Assumptions'!$B$14)</f>
        <v>34976544.552911662</v>
      </c>
      <c r="T74" s="53">
        <f>ABS((T50*T61*1000*'Cost Assumptions'!$B$6)/'Cost Assumptions'!$B$14)</f>
        <v>37038205.379417345</v>
      </c>
      <c r="U74" s="53">
        <f>ABS((U50*U61*1000*'Cost Assumptions'!$B$6)/'Cost Assumptions'!$B$14)</f>
        <v>39181088.90690273</v>
      </c>
      <c r="V74" s="53">
        <f>ABS((V50*V61*1000*'Cost Assumptions'!$B$6)/'Cost Assumptions'!$B$14)</f>
        <v>41407967.732400253</v>
      </c>
      <c r="W74" s="53">
        <f>ABS((W50*W61*1000*'Cost Assumptions'!$B$6)/'Cost Assumptions'!$B$14)</f>
        <v>43721702.318605848</v>
      </c>
      <c r="X74" s="53">
        <f>ABS((X50*X61*1000*'Cost Assumptions'!$B$6)/'Cost Assumptions'!$B$14)</f>
        <v>46125243.654288985</v>
      </c>
      <c r="Y74" s="53">
        <f>ABS((Y50*Y61*1000*'Cost Assumptions'!$B$6)/'Cost Assumptions'!$B$14)</f>
        <v>48621635.992807105</v>
      </c>
      <c r="Z74" s="53">
        <f>ABS((Z50*Z61*1000*'Cost Assumptions'!$B$6)/'Cost Assumptions'!$B$14)</f>
        <v>51214019.670967244</v>
      </c>
      <c r="AA74" s="53">
        <f>ABS((AA50*AA61*1000*'Cost Assumptions'!$B$6)/'Cost Assumptions'!$B$14)</f>
        <v>53905634.010539882</v>
      </c>
      <c r="AB74" s="53">
        <f>ABS((AB50*AB61*1000*'Cost Assumptions'!$B$6)/'Cost Assumptions'!$B$14)</f>
        <v>56699820.304796793</v>
      </c>
      <c r="AC74" s="53">
        <f>ABS((AC50*AC61*1000*'Cost Assumptions'!$B$6)/'Cost Assumptions'!$B$14)</f>
        <v>59600024.892509967</v>
      </c>
      <c r="AD74" s="53">
        <f>ABS((AD50*AD61*1000*'Cost Assumptions'!$B$6)/'Cost Assumptions'!$B$14)</f>
        <v>62609802.321918212</v>
      </c>
    </row>
    <row r="75" spans="1:30" x14ac:dyDescent="0.35">
      <c r="A75" s="72" t="s">
        <v>119</v>
      </c>
      <c r="B75" s="72" t="s">
        <v>144</v>
      </c>
      <c r="C75" s="18">
        <f>NPV('Cost Assumptions'!$B$3,D75:AD75)</f>
        <v>854254218.59947979</v>
      </c>
      <c r="D75" s="53">
        <f>ABS((D50*D63*1000*'Cost Assumptions'!$B$7)/'Cost Assumptions'!$B$14)</f>
        <v>27279785.8511209</v>
      </c>
      <c r="E75" s="53">
        <f>ABS((E50*E63*1000*'Cost Assumptions'!$B$7)/'Cost Assumptions'!$B$14)</f>
        <v>37180672.498184308</v>
      </c>
      <c r="F75" s="53">
        <f>ABS((F50*F63*1000*'Cost Assumptions'!$B$7)/'Cost Assumptions'!$B$14)</f>
        <v>47559553.611443922</v>
      </c>
      <c r="G75" s="53">
        <f>ABS((G50*G63*1000*'Cost Assumptions'!$B$7)/'Cost Assumptions'!$B$14)</f>
        <v>58434140.860055134</v>
      </c>
      <c r="H75" s="53">
        <f>ABS((H50*H63*1000*'Cost Assumptions'!$B$7)/'Cost Assumptions'!$B$14)</f>
        <v>69822732.750089809</v>
      </c>
      <c r="I75" s="53">
        <f>ABS((I50*I63*1000*'Cost Assumptions'!$B$7)/'Cost Assumptions'!$B$14)</f>
        <v>81744232.896588638</v>
      </c>
      <c r="J75" s="53">
        <f>ABS((J50*J63*1000*'Cost Assumptions'!$B$7)/'Cost Assumptions'!$B$14)</f>
        <v>94218168.842443585</v>
      </c>
      <c r="K75" s="53">
        <f>ABS((K50*K63*1000*'Cost Assumptions'!$B$7)/'Cost Assumptions'!$B$14)</f>
        <v>94098761.615334406</v>
      </c>
      <c r="L75" s="53">
        <f>ABS((L50*L63*1000*'Cost Assumptions'!$B$7)/'Cost Assumptions'!$B$14)</f>
        <v>93914497.671343237</v>
      </c>
      <c r="M75" s="53">
        <f>ABS((M50*M63*1000*'Cost Assumptions'!$B$7)/'Cost Assumptions'!$B$14)</f>
        <v>74984166.218223035</v>
      </c>
      <c r="N75" s="53">
        <f>ABS((N50*N63*1000*'Cost Assumptions'!$B$7)/'Cost Assumptions'!$B$14)</f>
        <v>90954677.019911468</v>
      </c>
      <c r="O75" s="53">
        <f>ABS((O50*O63*1000*'Cost Assumptions'!$B$7)/'Cost Assumptions'!$B$14)</f>
        <v>113247086.77092011</v>
      </c>
      <c r="P75" s="53">
        <f>ABS((P50*P63*1000*'Cost Assumptions'!$B$7)/'Cost Assumptions'!$B$14)</f>
        <v>120509288.67421708</v>
      </c>
      <c r="Q75" s="53">
        <f>ABS((Q50*Q63*1000*'Cost Assumptions'!$B$7)/'Cost Assumptions'!$B$14)</f>
        <v>128063821.24344707</v>
      </c>
      <c r="R75" s="53">
        <f>ABS((R50*R63*1000*'Cost Assumptions'!$B$7)/'Cost Assumptions'!$B$14)</f>
        <v>135920762.13571715</v>
      </c>
      <c r="S75" s="53">
        <f>ABS((S50*S63*1000*'Cost Assumptions'!$B$7)/'Cost Assumptions'!$B$14)</f>
        <v>144090510.18432361</v>
      </c>
      <c r="T75" s="53">
        <f>ABS((T50*T63*1000*'Cost Assumptions'!$B$7)/'Cost Assumptions'!$B$14)</f>
        <v>152583795.15902558</v>
      </c>
      <c r="U75" s="53">
        <f>ABS((U50*U63*1000*'Cost Assumptions'!$B$7)/'Cost Assumptions'!$B$14)</f>
        <v>161411687.81359744</v>
      </c>
      <c r="V75" s="53">
        <f>ABS((V50*V63*1000*'Cost Assumptions'!$B$7)/'Cost Assumptions'!$B$14)</f>
        <v>170585610.22892344</v>
      </c>
      <c r="W75" s="53">
        <f>ABS((W50*W63*1000*'Cost Assumptions'!$B$7)/'Cost Assumptions'!$B$14)</f>
        <v>180117346.46013233</v>
      </c>
      <c r="X75" s="53">
        <f>ABS((X50*X63*1000*'Cost Assumptions'!$B$7)/'Cost Assumptions'!$B$14)</f>
        <v>190019053.49650857</v>
      </c>
      <c r="Y75" s="53">
        <f>ABS((Y50*Y63*1000*'Cost Assumptions'!$B$7)/'Cost Assumptions'!$B$14)</f>
        <v>200303272.54316595</v>
      </c>
      <c r="Z75" s="53">
        <f>ABS((Z50*Z63*1000*'Cost Assumptions'!$B$7)/'Cost Assumptions'!$B$14)</f>
        <v>210982940.63372093</v>
      </c>
      <c r="AA75" s="53">
        <f>ABS((AA50*AA63*1000*'Cost Assumptions'!$B$7)/'Cost Assumptions'!$B$14)</f>
        <v>222071402.58346424</v>
      </c>
      <c r="AB75" s="53">
        <f>ABS((AB50*AB63*1000*'Cost Assumptions'!$B$7)/'Cost Assumptions'!$B$14)</f>
        <v>233582423.29279867</v>
      </c>
      <c r="AC75" s="53">
        <f>ABS((AC50*AC63*1000*'Cost Assumptions'!$B$7)/'Cost Assumptions'!$B$14)</f>
        <v>245530200.41098502</v>
      </c>
      <c r="AD75" s="53">
        <f>ABS((AD50*AD63*1000*'Cost Assumptions'!$B$7)/'Cost Assumptions'!$B$14)</f>
        <v>257929377.3705225</v>
      </c>
    </row>
    <row r="76" spans="1:30" x14ac:dyDescent="0.35">
      <c r="A76" s="72" t="s">
        <v>24</v>
      </c>
      <c r="B76" s="72" t="s">
        <v>144</v>
      </c>
      <c r="C76" s="18">
        <f>NPV('Cost Assumptions'!$B$3,D76:AD76)</f>
        <v>1061615971.279346</v>
      </c>
      <c r="D76" s="53">
        <f>SUM(D74:D75)</f>
        <v>33901683.740128629</v>
      </c>
      <c r="E76" s="53">
        <f t="shared" ref="E76:AD76" si="17">SUM(E74:E75)</f>
        <v>46205912.581493028</v>
      </c>
      <c r="F76" s="53">
        <f t="shared" si="17"/>
        <v>59104164.312588051</v>
      </c>
      <c r="G76" s="53">
        <f t="shared" si="17"/>
        <v>72618449.934874371</v>
      </c>
      <c r="H76" s="53">
        <f t="shared" si="17"/>
        <v>86771509.735579699</v>
      </c>
      <c r="I76" s="53">
        <f t="shared" si="17"/>
        <v>101586835.99511094</v>
      </c>
      <c r="J76" s="53">
        <f t="shared" si="17"/>
        <v>117088696.37403399</v>
      </c>
      <c r="K76" s="53">
        <f t="shared" si="17"/>
        <v>116940304.22492279</v>
      </c>
      <c r="L76" s="53">
        <f t="shared" si="17"/>
        <v>116711312.03312226</v>
      </c>
      <c r="M76" s="53">
        <f t="shared" si="17"/>
        <v>93185830.069226235</v>
      </c>
      <c r="N76" s="53">
        <f t="shared" si="17"/>
        <v>113033024.22690701</v>
      </c>
      <c r="O76" s="53">
        <f t="shared" si="17"/>
        <v>140736695.70396888</v>
      </c>
      <c r="P76" s="53">
        <f t="shared" si="17"/>
        <v>149761725.20845887</v>
      </c>
      <c r="Q76" s="53">
        <f t="shared" si="17"/>
        <v>159150045.75335833</v>
      </c>
      <c r="R76" s="53">
        <f t="shared" si="17"/>
        <v>168914181.24724749</v>
      </c>
      <c r="S76" s="53">
        <f t="shared" si="17"/>
        <v>179067054.73723528</v>
      </c>
      <c r="T76" s="53">
        <f t="shared" si="17"/>
        <v>189622000.53844291</v>
      </c>
      <c r="U76" s="53">
        <f t="shared" si="17"/>
        <v>200592776.72050017</v>
      </c>
      <c r="V76" s="53">
        <f t="shared" si="17"/>
        <v>211993577.96132368</v>
      </c>
      <c r="W76" s="53">
        <f t="shared" si="17"/>
        <v>223839048.77873817</v>
      </c>
      <c r="X76" s="53">
        <f t="shared" si="17"/>
        <v>236144297.15079755</v>
      </c>
      <c r="Y76" s="53">
        <f t="shared" si="17"/>
        <v>248924908.53597307</v>
      </c>
      <c r="Z76" s="53">
        <f t="shared" si="17"/>
        <v>262196960.30468819</v>
      </c>
      <c r="AA76" s="53">
        <f t="shared" si="17"/>
        <v>275977036.59400409</v>
      </c>
      <c r="AB76" s="53">
        <f t="shared" si="17"/>
        <v>290282243.59759545</v>
      </c>
      <c r="AC76" s="53">
        <f t="shared" si="17"/>
        <v>305130225.30349499</v>
      </c>
      <c r="AD76" s="53">
        <f t="shared" si="17"/>
        <v>320539179.69244069</v>
      </c>
    </row>
    <row r="77" spans="1:30" x14ac:dyDescent="0.35">
      <c r="A77" s="72"/>
      <c r="B77" s="72"/>
      <c r="C77" s="18"/>
      <c r="D77" s="53"/>
      <c r="E77" s="53"/>
      <c r="F77" s="53"/>
      <c r="G77" s="53"/>
      <c r="H77" s="53"/>
      <c r="I77" s="53"/>
      <c r="J77" s="53"/>
      <c r="K77" s="53"/>
      <c r="L77" s="53"/>
      <c r="M77" s="53"/>
      <c r="N77" s="53"/>
      <c r="O77" s="53"/>
      <c r="P77" s="53"/>
      <c r="Q77" s="53"/>
      <c r="R77" s="53"/>
      <c r="S77" s="53"/>
      <c r="T77" s="53"/>
      <c r="U77" s="53"/>
      <c r="V77" s="53"/>
      <c r="W77" s="53"/>
      <c r="X77" s="53"/>
      <c r="Y77" s="53"/>
      <c r="Z77" s="53"/>
      <c r="AA77" s="53"/>
      <c r="AB77" s="53"/>
      <c r="AC77" s="53"/>
      <c r="AD77" s="53"/>
    </row>
    <row r="78" spans="1:30" x14ac:dyDescent="0.35">
      <c r="A78" s="72" t="s">
        <v>117</v>
      </c>
      <c r="B78" s="72" t="s">
        <v>152</v>
      </c>
      <c r="C78" s="18">
        <f>NPV('Cost Assumptions'!$B$3,D78:AD78)</f>
        <v>0</v>
      </c>
      <c r="D78" s="53">
        <f>ABS(((MIN(ABS(D51),'Baseline System Analysis'!D14)*D62*1000*'Cost Assumptions'!$B$6)*'Cost Assumptions'!$B$13))</f>
        <v>0</v>
      </c>
      <c r="E78" s="53">
        <f>ABS(((MIN(ABS(E51),'Baseline System Analysis'!E14)*E62*1000*'Cost Assumptions'!$B$6)*'Cost Assumptions'!$B$13))</f>
        <v>0</v>
      </c>
      <c r="F78" s="53">
        <f>ABS(((MIN(ABS(F51),'Baseline System Analysis'!F14)*F62*1000*'Cost Assumptions'!$B$6)*'Cost Assumptions'!$B$13))</f>
        <v>0</v>
      </c>
      <c r="G78" s="53">
        <f>ABS(((MIN(ABS(G51),'Baseline System Analysis'!G14)*G62*1000*'Cost Assumptions'!$B$6)*'Cost Assumptions'!$B$13))</f>
        <v>0</v>
      </c>
      <c r="H78" s="53">
        <f>ABS(((MIN(ABS(H51),'Baseline System Analysis'!H14)*H62*1000*'Cost Assumptions'!$B$6)*'Cost Assumptions'!$B$13))</f>
        <v>0</v>
      </c>
      <c r="I78" s="53">
        <f>ABS(((MIN(ABS(I51),'Baseline System Analysis'!I14)*I62*1000*'Cost Assumptions'!$B$6)*'Cost Assumptions'!$B$13))</f>
        <v>0</v>
      </c>
      <c r="J78" s="53">
        <f>ABS(((MIN(ABS(J51),'Baseline System Analysis'!J14)*J62*1000*'Cost Assumptions'!$B$6)*'Cost Assumptions'!$B$13))</f>
        <v>0</v>
      </c>
      <c r="K78" s="53">
        <f>ABS(((MIN(ABS(K51),'Baseline System Analysis'!K14)*K62*1000*'Cost Assumptions'!$B$6)*'Cost Assumptions'!$B$13))</f>
        <v>0</v>
      </c>
      <c r="L78" s="53">
        <f>ABS(((MIN(ABS(L51),'Baseline System Analysis'!L14)*L62*1000*'Cost Assumptions'!$B$6)*'Cost Assumptions'!$B$13))</f>
        <v>0</v>
      </c>
      <c r="M78" s="53">
        <f>ABS(((MIN(ABS(M51),'Baseline System Analysis'!M14)*M62*1000*'Cost Assumptions'!$B$6)*'Cost Assumptions'!$B$13))</f>
        <v>0</v>
      </c>
      <c r="N78" s="53">
        <f>ABS(((MIN(ABS(N51),'Baseline System Analysis'!N14)*N62*1000*'Cost Assumptions'!$B$6)*'Cost Assumptions'!$B$13))</f>
        <v>0</v>
      </c>
      <c r="O78" s="53">
        <f>ABS(((MIN(ABS(O51),'Baseline System Analysis'!O14)*O62*1000*'Cost Assumptions'!$B$6)*'Cost Assumptions'!$B$13))</f>
        <v>0</v>
      </c>
      <c r="P78" s="53">
        <f>ABS(((MIN(ABS(P51),'Baseline System Analysis'!P14)*P62*1000*'Cost Assumptions'!$B$6)*'Cost Assumptions'!$B$13))</f>
        <v>0</v>
      </c>
      <c r="Q78" s="53">
        <f>ABS(((MIN(ABS(Q51),'Baseline System Analysis'!Q14)*Q62*1000*'Cost Assumptions'!$B$6)*'Cost Assumptions'!$B$13))</f>
        <v>0</v>
      </c>
      <c r="R78" s="53">
        <f>ABS(((MIN(ABS(R51),'Baseline System Analysis'!R14)*R62*1000*'Cost Assumptions'!$B$6)*'Cost Assumptions'!$B$13))</f>
        <v>0</v>
      </c>
      <c r="S78" s="53">
        <f>ABS(((MIN(ABS(S51),'Baseline System Analysis'!S14)*S62*1000*'Cost Assumptions'!$B$6)*'Cost Assumptions'!$B$13))</f>
        <v>0</v>
      </c>
      <c r="T78" s="53">
        <f>ABS(((MIN(ABS(T51),'Baseline System Analysis'!T14)*T62*1000*'Cost Assumptions'!$B$6)*'Cost Assumptions'!$B$13))</f>
        <v>0</v>
      </c>
      <c r="U78" s="53">
        <f>ABS(((MIN(ABS(U51),'Baseline System Analysis'!U14)*U62*1000*'Cost Assumptions'!$B$6)*'Cost Assumptions'!$B$13))</f>
        <v>0</v>
      </c>
      <c r="V78" s="53">
        <f>ABS(((MIN(ABS(V51),'Baseline System Analysis'!V14)*V62*1000*'Cost Assumptions'!$B$6)*'Cost Assumptions'!$B$13))</f>
        <v>0</v>
      </c>
      <c r="W78" s="53">
        <f>ABS(((MIN(ABS(W51),'Baseline System Analysis'!W14)*W62*1000*'Cost Assumptions'!$B$6)*'Cost Assumptions'!$B$13))</f>
        <v>0</v>
      </c>
      <c r="X78" s="53">
        <f>ABS(((MIN(ABS(X51),'Baseline System Analysis'!X14)*X62*1000*'Cost Assumptions'!$B$6)*'Cost Assumptions'!$B$13))</f>
        <v>0</v>
      </c>
      <c r="Y78" s="53">
        <f>ABS(((MIN(ABS(Y51),'Baseline System Analysis'!Y14)*Y62*1000*'Cost Assumptions'!$B$6)*'Cost Assumptions'!$B$13))</f>
        <v>0</v>
      </c>
      <c r="Z78" s="53">
        <f>ABS(((MIN(ABS(Z51),'Baseline System Analysis'!Z14)*Z62*1000*'Cost Assumptions'!$B$6)*'Cost Assumptions'!$B$13))</f>
        <v>0</v>
      </c>
      <c r="AA78" s="53">
        <f>ABS(((MIN(ABS(AA51),'Baseline System Analysis'!AA14)*AA62*1000*'Cost Assumptions'!$B$6)*'Cost Assumptions'!$B$13))</f>
        <v>0</v>
      </c>
      <c r="AB78" s="53">
        <f>ABS(((MIN(ABS(AB51),'Baseline System Analysis'!AB14)*AB62*1000*'Cost Assumptions'!$B$6)*'Cost Assumptions'!$B$13))</f>
        <v>0</v>
      </c>
      <c r="AC78" s="53">
        <f>ABS(((MIN(ABS(AC51),'Baseline System Analysis'!AC14)*AC62*1000*'Cost Assumptions'!$B$6)*'Cost Assumptions'!$B$13))</f>
        <v>0</v>
      </c>
      <c r="AD78" s="53">
        <f>ABS(((MIN(ABS(AD51),'Baseline System Analysis'!AD14)*AD62*1000*'Cost Assumptions'!$B$6)*'Cost Assumptions'!$B$13))</f>
        <v>0</v>
      </c>
    </row>
    <row r="79" spans="1:30" x14ac:dyDescent="0.35">
      <c r="A79" s="72" t="s">
        <v>119</v>
      </c>
      <c r="B79" s="72" t="s">
        <v>152</v>
      </c>
      <c r="C79" s="18">
        <f>NPV('Cost Assumptions'!$B$3,D79:AD79)</f>
        <v>0</v>
      </c>
      <c r="D79" s="53">
        <f>ABS(((MIN(ABS(D51),'Baseline System Analysis'!D14)*D64*1000*'Cost Assumptions'!$B$6)*'Cost Assumptions'!$B$13))</f>
        <v>0</v>
      </c>
      <c r="E79" s="53">
        <f>ABS(((MIN(ABS(E51),'Baseline System Analysis'!E14)*E64*1000*'Cost Assumptions'!$B$6)*'Cost Assumptions'!$B$13))</f>
        <v>0</v>
      </c>
      <c r="F79" s="53">
        <f>ABS(((MIN(ABS(F51),'Baseline System Analysis'!F14)*F64*1000*'Cost Assumptions'!$B$6)*'Cost Assumptions'!$B$13))</f>
        <v>0</v>
      </c>
      <c r="G79" s="53">
        <f>ABS(((MIN(ABS(G51),'Baseline System Analysis'!G14)*G64*1000*'Cost Assumptions'!$B$6)*'Cost Assumptions'!$B$13))</f>
        <v>0</v>
      </c>
      <c r="H79" s="53">
        <f>ABS(((MIN(ABS(H51),'Baseline System Analysis'!H14)*H64*1000*'Cost Assumptions'!$B$6)*'Cost Assumptions'!$B$13))</f>
        <v>0</v>
      </c>
      <c r="I79" s="53">
        <f>ABS(((MIN(ABS(I51),'Baseline System Analysis'!I14)*I64*1000*'Cost Assumptions'!$B$6)*'Cost Assumptions'!$B$13))</f>
        <v>0</v>
      </c>
      <c r="J79" s="53">
        <f>ABS(((MIN(ABS(J51),'Baseline System Analysis'!J14)*J64*1000*'Cost Assumptions'!$B$6)*'Cost Assumptions'!$B$13))</f>
        <v>0</v>
      </c>
      <c r="K79" s="53">
        <f>ABS(((MIN(ABS(K51),'Baseline System Analysis'!K14)*K64*1000*'Cost Assumptions'!$B$6)*'Cost Assumptions'!$B$13))</f>
        <v>0</v>
      </c>
      <c r="L79" s="53">
        <f>ABS(((MIN(ABS(L51),'Baseline System Analysis'!L14)*L64*1000*'Cost Assumptions'!$B$6)*'Cost Assumptions'!$B$13))</f>
        <v>0</v>
      </c>
      <c r="M79" s="53">
        <f>ABS(((MIN(ABS(M51),'Baseline System Analysis'!M14)*M64*1000*'Cost Assumptions'!$B$6)*'Cost Assumptions'!$B$13))</f>
        <v>0</v>
      </c>
      <c r="N79" s="53">
        <f>ABS(((MIN(ABS(N51),'Baseline System Analysis'!N14)*N64*1000*'Cost Assumptions'!$B$6)*'Cost Assumptions'!$B$13))</f>
        <v>0</v>
      </c>
      <c r="O79" s="53">
        <f>ABS(((MIN(ABS(O51),'Baseline System Analysis'!O14)*O64*1000*'Cost Assumptions'!$B$6)*'Cost Assumptions'!$B$13))</f>
        <v>0</v>
      </c>
      <c r="P79" s="53">
        <f>ABS(((MIN(ABS(P51),'Baseline System Analysis'!P14)*P64*1000*'Cost Assumptions'!$B$6)*'Cost Assumptions'!$B$13))</f>
        <v>0</v>
      </c>
      <c r="Q79" s="53">
        <f>ABS(((MIN(ABS(Q51),'Baseline System Analysis'!Q14)*Q64*1000*'Cost Assumptions'!$B$6)*'Cost Assumptions'!$B$13))</f>
        <v>0</v>
      </c>
      <c r="R79" s="53">
        <f>ABS(((MIN(ABS(R51),'Baseline System Analysis'!R14)*R64*1000*'Cost Assumptions'!$B$6)*'Cost Assumptions'!$B$13))</f>
        <v>0</v>
      </c>
      <c r="S79" s="53">
        <f>ABS(((MIN(ABS(S51),'Baseline System Analysis'!S14)*S64*1000*'Cost Assumptions'!$B$6)*'Cost Assumptions'!$B$13))</f>
        <v>0</v>
      </c>
      <c r="T79" s="53">
        <f>ABS(((MIN(ABS(T51),'Baseline System Analysis'!T14)*T64*1000*'Cost Assumptions'!$B$6)*'Cost Assumptions'!$B$13))</f>
        <v>0</v>
      </c>
      <c r="U79" s="53">
        <f>ABS(((MIN(ABS(U51),'Baseline System Analysis'!U14)*U64*1000*'Cost Assumptions'!$B$6)*'Cost Assumptions'!$B$13))</f>
        <v>0</v>
      </c>
      <c r="V79" s="53">
        <f>ABS(((MIN(ABS(V51),'Baseline System Analysis'!V14)*V64*1000*'Cost Assumptions'!$B$6)*'Cost Assumptions'!$B$13))</f>
        <v>0</v>
      </c>
      <c r="W79" s="53">
        <f>ABS(((MIN(ABS(W51),'Baseline System Analysis'!W14)*W64*1000*'Cost Assumptions'!$B$6)*'Cost Assumptions'!$B$13))</f>
        <v>0</v>
      </c>
      <c r="X79" s="53">
        <f>ABS(((MIN(ABS(X51),'Baseline System Analysis'!X14)*X64*1000*'Cost Assumptions'!$B$6)*'Cost Assumptions'!$B$13))</f>
        <v>0</v>
      </c>
      <c r="Y79" s="53">
        <f>ABS(((MIN(ABS(Y51),'Baseline System Analysis'!Y14)*Y64*1000*'Cost Assumptions'!$B$6)*'Cost Assumptions'!$B$13))</f>
        <v>0</v>
      </c>
      <c r="Z79" s="53">
        <f>ABS(((MIN(ABS(Z51),'Baseline System Analysis'!Z14)*Z64*1000*'Cost Assumptions'!$B$6)*'Cost Assumptions'!$B$13))</f>
        <v>0</v>
      </c>
      <c r="AA79" s="53">
        <f>ABS(((MIN(ABS(AA51),'Baseline System Analysis'!AA14)*AA64*1000*'Cost Assumptions'!$B$6)*'Cost Assumptions'!$B$13))</f>
        <v>0</v>
      </c>
      <c r="AB79" s="53">
        <f>ABS(((MIN(ABS(AB51),'Baseline System Analysis'!AB14)*AB64*1000*'Cost Assumptions'!$B$6)*'Cost Assumptions'!$B$13))</f>
        <v>0</v>
      </c>
      <c r="AC79" s="53">
        <f>ABS(((MIN(ABS(AC51),'Baseline System Analysis'!AC14)*AC64*1000*'Cost Assumptions'!$B$6)*'Cost Assumptions'!$B$13))</f>
        <v>0</v>
      </c>
      <c r="AD79" s="53">
        <f>ABS(((MIN(ABS(AD51),'Baseline System Analysis'!AD14)*AD64*1000*'Cost Assumptions'!$B$6)*'Cost Assumptions'!$B$13))</f>
        <v>0</v>
      </c>
    </row>
    <row r="80" spans="1:30" s="52" customFormat="1" ht="29" x14ac:dyDescent="0.35">
      <c r="A80" s="3" t="s">
        <v>146</v>
      </c>
      <c r="B80" s="72" t="s">
        <v>152</v>
      </c>
      <c r="C80" s="18">
        <f>NPV('Cost Assumptions'!$B$3,D80:AD80)</f>
        <v>0</v>
      </c>
      <c r="D80" s="53">
        <f>SUM(D78:D79)</f>
        <v>0</v>
      </c>
      <c r="E80" s="53">
        <f t="shared" ref="E80:AD80" si="18">SUM(E78:E79)</f>
        <v>0</v>
      </c>
      <c r="F80" s="53">
        <f t="shared" si="18"/>
        <v>0</v>
      </c>
      <c r="G80" s="53">
        <f t="shared" si="18"/>
        <v>0</v>
      </c>
      <c r="H80" s="53">
        <f t="shared" si="18"/>
        <v>0</v>
      </c>
      <c r="I80" s="53">
        <f t="shared" si="18"/>
        <v>0</v>
      </c>
      <c r="J80" s="53">
        <f t="shared" si="18"/>
        <v>0</v>
      </c>
      <c r="K80" s="53">
        <f t="shared" si="18"/>
        <v>0</v>
      </c>
      <c r="L80" s="53">
        <f t="shared" si="18"/>
        <v>0</v>
      </c>
      <c r="M80" s="53">
        <f t="shared" si="18"/>
        <v>0</v>
      </c>
      <c r="N80" s="53">
        <f t="shared" si="18"/>
        <v>0</v>
      </c>
      <c r="O80" s="53">
        <f t="shared" si="18"/>
        <v>0</v>
      </c>
      <c r="P80" s="53">
        <f t="shared" si="18"/>
        <v>0</v>
      </c>
      <c r="Q80" s="53">
        <f t="shared" si="18"/>
        <v>0</v>
      </c>
      <c r="R80" s="53">
        <f t="shared" si="18"/>
        <v>0</v>
      </c>
      <c r="S80" s="53">
        <f t="shared" si="18"/>
        <v>0</v>
      </c>
      <c r="T80" s="53">
        <f t="shared" si="18"/>
        <v>0</v>
      </c>
      <c r="U80" s="53">
        <f t="shared" si="18"/>
        <v>0</v>
      </c>
      <c r="V80" s="53">
        <f t="shared" si="18"/>
        <v>0</v>
      </c>
      <c r="W80" s="53">
        <f t="shared" si="18"/>
        <v>0</v>
      </c>
      <c r="X80" s="53">
        <f t="shared" si="18"/>
        <v>0</v>
      </c>
      <c r="Y80" s="53">
        <f t="shared" si="18"/>
        <v>0</v>
      </c>
      <c r="Z80" s="53">
        <f t="shared" si="18"/>
        <v>0</v>
      </c>
      <c r="AA80" s="53">
        <f t="shared" si="18"/>
        <v>0</v>
      </c>
      <c r="AB80" s="53">
        <f t="shared" si="18"/>
        <v>0</v>
      </c>
      <c r="AC80" s="53">
        <f t="shared" si="18"/>
        <v>0</v>
      </c>
      <c r="AD80" s="53">
        <f t="shared" si="18"/>
        <v>0</v>
      </c>
    </row>
    <row r="81" spans="1:30" s="52" customFormat="1" x14ac:dyDescent="0.35">
      <c r="A81" s="3"/>
      <c r="B81" s="72"/>
      <c r="C81" s="18"/>
      <c r="D81" s="53"/>
      <c r="E81" s="53"/>
      <c r="F81" s="53"/>
      <c r="G81" s="53"/>
      <c r="H81" s="53"/>
      <c r="I81" s="53"/>
      <c r="J81" s="53"/>
      <c r="K81" s="53"/>
      <c r="L81" s="53"/>
      <c r="M81" s="53"/>
      <c r="N81" s="53"/>
      <c r="O81" s="53"/>
      <c r="P81" s="53"/>
      <c r="Q81" s="53"/>
      <c r="R81" s="53"/>
      <c r="S81" s="53"/>
      <c r="T81" s="53"/>
      <c r="U81" s="53"/>
      <c r="V81" s="53"/>
      <c r="W81" s="53"/>
      <c r="X81" s="53"/>
      <c r="Y81" s="53"/>
      <c r="Z81" s="53"/>
      <c r="AA81" s="53"/>
      <c r="AB81" s="53"/>
      <c r="AC81" s="53"/>
      <c r="AD81" s="53"/>
    </row>
    <row r="82" spans="1:30" s="52" customFormat="1" ht="29" x14ac:dyDescent="0.35">
      <c r="A82" s="3" t="s">
        <v>147</v>
      </c>
      <c r="B82" s="72" t="s">
        <v>148</v>
      </c>
      <c r="C82" s="18">
        <f>NPV('Cost Assumptions'!$B$3,D82:AD82)</f>
        <v>158850774.45155588</v>
      </c>
      <c r="D82" s="53">
        <f>('Baseline System Analysis'!D42-D37)</f>
        <v>11220634.218776356</v>
      </c>
      <c r="E82" s="53">
        <f>('Baseline System Analysis'!E42-E37)</f>
        <v>12144918.158391396</v>
      </c>
      <c r="F82" s="53">
        <f>('Baseline System Analysis'!F42-F37)</f>
        <v>12786910.250911316</v>
      </c>
      <c r="G82" s="53">
        <f>('Baseline System Analysis'!G42-G37)</f>
        <v>13549003.839093808</v>
      </c>
      <c r="H82" s="53">
        <f>('Baseline System Analysis'!H42-H37)</f>
        <v>14198581.058293991</v>
      </c>
      <c r="I82" s="53">
        <f>('Baseline System Analysis'!I42-I37)</f>
        <v>15000915.705759082</v>
      </c>
      <c r="J82" s="53">
        <f>('Baseline System Analysis'!J42-J37)</f>
        <v>15909014.271733448</v>
      </c>
      <c r="K82" s="53">
        <f>('Baseline System Analysis'!K42-K37)</f>
        <v>15943271.595302396</v>
      </c>
      <c r="L82" s="53">
        <f>('Baseline System Analysis'!L42-L37)</f>
        <v>15999716.407154804</v>
      </c>
      <c r="M82" s="53">
        <f>('Baseline System Analysis'!M42-M37)</f>
        <v>16077364.969675282</v>
      </c>
      <c r="N82" s="53">
        <f>('Baseline System Analysis'!N42-N37)</f>
        <v>17017237.489677273</v>
      </c>
      <c r="O82" s="53">
        <f>('Baseline System Analysis'!O42-O37)</f>
        <v>18089024.979813445</v>
      </c>
      <c r="P82" s="53">
        <f>('Baseline System Analysis'!P42-P37)</f>
        <v>19073573.17911505</v>
      </c>
      <c r="Q82" s="53">
        <f>('Baseline System Analysis'!Q42-Q37)</f>
        <v>20183246.853354089</v>
      </c>
      <c r="R82" s="53">
        <f>('Baseline System Analysis'!R42-R37)</f>
        <v>21490829.702122267</v>
      </c>
      <c r="S82" s="53">
        <f>('Baseline System Analysis'!S42-S37)</f>
        <v>22579839.787277065</v>
      </c>
      <c r="T82" s="53">
        <f>('Baseline System Analysis'!T42-T37)</f>
        <v>23724942.355195578</v>
      </c>
      <c r="U82" s="53">
        <f>('Baseline System Analysis'!U42-U37)</f>
        <v>24911056.93055214</v>
      </c>
      <c r="V82" s="53">
        <f>('Baseline System Analysis'!V42-V37)</f>
        <v>26196805.959472567</v>
      </c>
      <c r="W82" s="53">
        <f>('Baseline System Analysis'!W42-W37)</f>
        <v>27625844.33481878</v>
      </c>
      <c r="X82" s="53">
        <f>('Baseline System Analysis'!X42-X37)</f>
        <v>29110039.048498206</v>
      </c>
      <c r="Y82" s="53">
        <f>('Baseline System Analysis'!Y42-Y37)</f>
        <v>30411440.882966798</v>
      </c>
      <c r="Z82" s="53">
        <f>('Baseline System Analysis'!Z42-Z37)</f>
        <v>31944711.584258407</v>
      </c>
      <c r="AA82" s="53">
        <f>('Baseline System Analysis'!AA42-AA37)</f>
        <v>33332991.330264848</v>
      </c>
      <c r="AB82" s="53">
        <f>('Baseline System Analysis'!AB42-AB37)</f>
        <v>34748837.665194772</v>
      </c>
      <c r="AC82" s="53">
        <f>('Baseline System Analysis'!AC42-AC37)</f>
        <v>36032493.52792114</v>
      </c>
      <c r="AD82" s="53">
        <f>('Baseline System Analysis'!AD42-AD37)</f>
        <v>37232773.532337174</v>
      </c>
    </row>
    <row r="83" spans="1:30" s="52" customFormat="1" x14ac:dyDescent="0.35">
      <c r="A83" s="72"/>
      <c r="B83" s="72"/>
      <c r="C83" s="72"/>
      <c r="D83" s="72"/>
      <c r="E83" s="72"/>
      <c r="F83" s="72"/>
      <c r="G83" s="72"/>
      <c r="H83" s="72"/>
      <c r="I83" s="72"/>
      <c r="J83" s="72"/>
      <c r="K83" s="72"/>
      <c r="L83" s="72"/>
      <c r="M83" s="72"/>
      <c r="N83" s="72"/>
      <c r="O83" s="72"/>
      <c r="P83" s="72"/>
      <c r="Q83" s="72"/>
      <c r="R83" s="72"/>
      <c r="S83" s="72"/>
      <c r="T83" s="72"/>
      <c r="U83" s="72"/>
      <c r="V83" s="72"/>
      <c r="W83" s="72"/>
      <c r="X83" s="72"/>
      <c r="Y83" s="72"/>
      <c r="Z83" s="72"/>
      <c r="AA83" s="72"/>
      <c r="AB83" s="72"/>
      <c r="AC83" s="72"/>
      <c r="AD83" s="72"/>
    </row>
    <row r="84" spans="1:30" s="52" customFormat="1" ht="20" thickBot="1" x14ac:dyDescent="0.5">
      <c r="A84" s="134" t="s">
        <v>61</v>
      </c>
      <c r="B84" s="182"/>
      <c r="C84" s="18">
        <f>NPV('Cost Assumptions'!$B$3,D84:AD84)/1000000</f>
        <v>1356.5819165727269</v>
      </c>
      <c r="D84" s="53">
        <f>SUM(D68,D72,D76,D80,D82)</f>
        <v>46186416.014971346</v>
      </c>
      <c r="E84" s="53">
        <f t="shared" ref="E84:AD84" si="19">SUM(E68,E72,E76,E80,E82)</f>
        <v>61030693.738625079</v>
      </c>
      <c r="F84" s="53">
        <f t="shared" si="19"/>
        <v>75823553.055781871</v>
      </c>
      <c r="G84" s="53">
        <f t="shared" si="19"/>
        <v>91447167.739873022</v>
      </c>
      <c r="H84" s="53">
        <f t="shared" si="19"/>
        <v>107619710.75405511</v>
      </c>
      <c r="I84" s="53">
        <f t="shared" si="19"/>
        <v>123194795.48267826</v>
      </c>
      <c r="J84" s="53">
        <f t="shared" si="19"/>
        <v>142105261.85076654</v>
      </c>
      <c r="K84" s="53">
        <f t="shared" si="19"/>
        <v>140635817.51077867</v>
      </c>
      <c r="L84" s="53">
        <f t="shared" si="19"/>
        <v>139232771.35370532</v>
      </c>
      <c r="M84" s="53">
        <f t="shared" si="19"/>
        <v>116937348.71697971</v>
      </c>
      <c r="N84" s="53">
        <f t="shared" si="19"/>
        <v>137617805.65986952</v>
      </c>
      <c r="O84" s="53">
        <f t="shared" si="19"/>
        <v>169574939.71985611</v>
      </c>
      <c r="P84" s="53">
        <f t="shared" si="19"/>
        <v>182678413.15631855</v>
      </c>
      <c r="Q84" s="53">
        <f t="shared" si="19"/>
        <v>194931145.2105822</v>
      </c>
      <c r="R84" s="53">
        <f t="shared" si="19"/>
        <v>207214698.45007131</v>
      </c>
      <c r="S84" s="53">
        <f t="shared" si="19"/>
        <v>222706912.16046932</v>
      </c>
      <c r="T84" s="53">
        <f t="shared" si="19"/>
        <v>239510927.01383647</v>
      </c>
      <c r="U84" s="53">
        <f t="shared" si="19"/>
        <v>255387446.20781887</v>
      </c>
      <c r="V84" s="53">
        <f t="shared" si="19"/>
        <v>274818552.15957522</v>
      </c>
      <c r="W84" s="53">
        <f t="shared" si="19"/>
        <v>294319041.98008585</v>
      </c>
      <c r="X84" s="53">
        <f t="shared" si="19"/>
        <v>317391902.51977056</v>
      </c>
      <c r="Y84" s="53">
        <f t="shared" si="19"/>
        <v>341421826.13920587</v>
      </c>
      <c r="Z84" s="53">
        <f t="shared" si="19"/>
        <v>366847397.41444266</v>
      </c>
      <c r="AA84" s="53">
        <f t="shared" si="19"/>
        <v>394321167.39867574</v>
      </c>
      <c r="AB84" s="53">
        <f t="shared" si="19"/>
        <v>422637783.71076149</v>
      </c>
      <c r="AC84" s="53">
        <f t="shared" si="19"/>
        <v>450430111.42618114</v>
      </c>
      <c r="AD84" s="53">
        <f t="shared" si="19"/>
        <v>478219316.01891428</v>
      </c>
    </row>
    <row r="85" spans="1:30" s="52" customFormat="1" ht="20.5" thickTop="1" thickBot="1" x14ac:dyDescent="0.5">
      <c r="A85" s="134" t="s">
        <v>149</v>
      </c>
      <c r="B85" s="134"/>
      <c r="C85" s="18">
        <f>NPV('Cost Assumptions'!$B$3,D85:AD85)/1000000</f>
        <v>1356.9690862358814</v>
      </c>
      <c r="D85" s="53">
        <f>D84+D44</f>
        <v>46199968.014971308</v>
      </c>
      <c r="E85" s="53">
        <f t="shared" ref="E85:AD85" si="20">E84+E44</f>
        <v>61045761.199201971</v>
      </c>
      <c r="F85" s="53">
        <f t="shared" si="20"/>
        <v>75840203.279964536</v>
      </c>
      <c r="G85" s="53">
        <f t="shared" si="20"/>
        <v>91465470.448678881</v>
      </c>
      <c r="H85" s="53">
        <f t="shared" si="20"/>
        <v>107639738.16532521</v>
      </c>
      <c r="I85" s="53">
        <f t="shared" si="20"/>
        <v>123216622.39234282</v>
      </c>
      <c r="J85" s="53">
        <f t="shared" si="20"/>
        <v>142128965.71661323</v>
      </c>
      <c r="K85" s="53">
        <f t="shared" si="20"/>
        <v>140664782.6737251</v>
      </c>
      <c r="L85" s="53">
        <f t="shared" si="20"/>
        <v>139286912.49230564</v>
      </c>
      <c r="M85" s="53">
        <f t="shared" si="20"/>
        <v>117017991.44947173</v>
      </c>
      <c r="N85" s="53">
        <f t="shared" si="20"/>
        <v>137697880.95465955</v>
      </c>
      <c r="O85" s="53">
        <f t="shared" si="20"/>
        <v>169654552.4134779</v>
      </c>
      <c r="P85" s="53">
        <f t="shared" si="20"/>
        <v>182757490.07165441</v>
      </c>
      <c r="Q85" s="53">
        <f t="shared" si="20"/>
        <v>195009609.80078438</v>
      </c>
      <c r="R85" s="53">
        <f t="shared" si="20"/>
        <v>207292470.67581099</v>
      </c>
      <c r="S85" s="53">
        <f t="shared" si="20"/>
        <v>222783908.36315453</v>
      </c>
      <c r="T85" s="53">
        <f t="shared" si="20"/>
        <v>239587059.78467339</v>
      </c>
      <c r="U85" s="53">
        <f t="shared" si="20"/>
        <v>255462624.25258839</v>
      </c>
      <c r="V85" s="53">
        <f t="shared" si="20"/>
        <v>274892680.15899223</v>
      </c>
      <c r="W85" s="53">
        <f t="shared" si="20"/>
        <v>294392020.44560474</v>
      </c>
      <c r="X85" s="53">
        <f t="shared" si="20"/>
        <v>317463627.64469677</v>
      </c>
      <c r="Y85" s="53">
        <f t="shared" si="20"/>
        <v>341492189.64496881</v>
      </c>
      <c r="Z85" s="53">
        <f t="shared" si="20"/>
        <v>366916286.39188111</v>
      </c>
      <c r="AA85" s="53">
        <f t="shared" si="20"/>
        <v>394388464.14418238</v>
      </c>
      <c r="AB85" s="53">
        <f t="shared" si="20"/>
        <v>422703365.55712879</v>
      </c>
      <c r="AC85" s="53">
        <f t="shared" si="20"/>
        <v>450493850.56798625</v>
      </c>
      <c r="AD85" s="53">
        <f t="shared" si="20"/>
        <v>478281079.33227503</v>
      </c>
    </row>
    <row r="86" spans="1:30" ht="15" thickTop="1" x14ac:dyDescent="0.35">
      <c r="A86" s="72"/>
      <c r="B86" s="72"/>
      <c r="C86" s="72"/>
      <c r="D86" s="72"/>
      <c r="E86" s="72"/>
      <c r="F86" s="72"/>
      <c r="G86" s="72"/>
      <c r="H86" s="72"/>
      <c r="I86" s="72"/>
      <c r="J86" s="72"/>
      <c r="K86" s="72"/>
      <c r="L86" s="72"/>
      <c r="M86" s="72"/>
      <c r="N86" s="72"/>
      <c r="O86" s="72"/>
      <c r="P86" s="72"/>
      <c r="Q86" s="72"/>
      <c r="R86" s="72"/>
      <c r="S86" s="72"/>
      <c r="T86" s="72"/>
      <c r="U86" s="72"/>
      <c r="V86" s="72"/>
      <c r="W86" s="72"/>
      <c r="X86" s="72"/>
      <c r="Y86" s="72"/>
      <c r="Z86" s="72"/>
      <c r="AA86" s="72"/>
      <c r="AB86" s="72"/>
      <c r="AC86" s="72"/>
      <c r="AD86" s="72"/>
    </row>
    <row r="87" spans="1:30" ht="20" thickBot="1" x14ac:dyDescent="0.5">
      <c r="A87" s="134" t="s">
        <v>150</v>
      </c>
      <c r="B87" s="134"/>
      <c r="C87" s="18">
        <f>Summary!$D$16</f>
        <v>239</v>
      </c>
      <c r="D87" s="72"/>
      <c r="E87" s="72"/>
      <c r="F87" s="72"/>
      <c r="G87" s="72"/>
      <c r="H87" s="72"/>
      <c r="I87" s="72"/>
      <c r="J87" s="72"/>
      <c r="K87" s="72"/>
      <c r="L87" s="72"/>
      <c r="M87" s="72"/>
      <c r="N87" s="72"/>
      <c r="O87" s="72"/>
      <c r="P87" s="72"/>
      <c r="Q87" s="72"/>
      <c r="R87" s="72"/>
      <c r="S87" s="72"/>
      <c r="T87" s="72"/>
      <c r="U87" s="72"/>
      <c r="V87" s="72"/>
      <c r="W87" s="72"/>
      <c r="X87" s="72"/>
      <c r="Y87" s="72"/>
      <c r="Z87" s="72"/>
      <c r="AA87" s="72"/>
      <c r="AB87" s="72"/>
      <c r="AC87" s="72"/>
      <c r="AD87" s="72"/>
    </row>
    <row r="88" spans="1:30" ht="15" thickTop="1" x14ac:dyDescent="0.35">
      <c r="A88" s="72"/>
      <c r="B88" s="72"/>
      <c r="C88" s="72"/>
      <c r="D88" s="72"/>
      <c r="E88" s="72"/>
      <c r="F88" s="72"/>
      <c r="G88" s="72"/>
      <c r="H88" s="72"/>
      <c r="I88" s="72"/>
      <c r="J88" s="72"/>
      <c r="K88" s="72"/>
      <c r="L88" s="72"/>
      <c r="M88" s="72"/>
      <c r="N88" s="72"/>
      <c r="O88" s="72"/>
      <c r="P88" s="72"/>
      <c r="Q88" s="72"/>
      <c r="R88" s="72"/>
      <c r="S88" s="72"/>
      <c r="T88" s="72"/>
      <c r="U88" s="72"/>
      <c r="V88" s="72"/>
      <c r="W88" s="72"/>
      <c r="X88" s="72"/>
      <c r="Y88" s="72"/>
      <c r="Z88" s="72"/>
      <c r="AA88" s="72"/>
      <c r="AB88" s="72"/>
      <c r="AC88" s="72"/>
      <c r="AD88" s="72"/>
    </row>
    <row r="89" spans="1:30" ht="20" thickBot="1" x14ac:dyDescent="0.5">
      <c r="A89" s="134" t="s">
        <v>7</v>
      </c>
      <c r="B89" s="134"/>
      <c r="C89" s="46">
        <f>C85/C87</f>
        <v>5.6776949214890431</v>
      </c>
      <c r="D89" s="72"/>
      <c r="E89" s="72"/>
      <c r="F89" s="72"/>
      <c r="G89" s="72"/>
      <c r="H89" s="72"/>
      <c r="I89" s="72"/>
      <c r="J89" s="72"/>
      <c r="K89" s="72"/>
      <c r="L89" s="72"/>
      <c r="M89" s="72"/>
      <c r="N89" s="72"/>
      <c r="O89" s="72"/>
      <c r="P89" s="72"/>
      <c r="Q89" s="72"/>
      <c r="R89" s="72"/>
      <c r="S89" s="72"/>
      <c r="T89" s="72"/>
      <c r="U89" s="72"/>
      <c r="V89" s="72"/>
      <c r="W89" s="72"/>
      <c r="X89" s="72"/>
      <c r="Y89" s="72"/>
      <c r="Z89" s="72"/>
      <c r="AA89" s="72"/>
      <c r="AB89" s="72"/>
      <c r="AC89" s="72"/>
      <c r="AD89" s="72"/>
    </row>
    <row r="90" spans="1:30" ht="15" thickTop="1" x14ac:dyDescent="0.35">
      <c r="A90" s="72"/>
      <c r="B90" s="72"/>
      <c r="C90" s="72"/>
      <c r="D90" s="72"/>
      <c r="E90" s="72"/>
      <c r="F90" s="72"/>
      <c r="G90" s="72"/>
      <c r="H90" s="72"/>
      <c r="I90" s="72"/>
      <c r="J90" s="72"/>
      <c r="K90" s="72"/>
      <c r="L90" s="72"/>
      <c r="M90" s="72"/>
      <c r="N90" s="72"/>
      <c r="O90" s="72"/>
      <c r="P90" s="72"/>
      <c r="Q90" s="72"/>
      <c r="R90" s="72"/>
      <c r="S90" s="72"/>
      <c r="T90" s="72"/>
      <c r="U90" s="72"/>
      <c r="V90" s="72"/>
      <c r="W90" s="72"/>
      <c r="X90" s="72"/>
      <c r="Y90" s="72"/>
      <c r="Z90" s="72"/>
      <c r="AA90" s="72"/>
      <c r="AB90" s="72"/>
      <c r="AC90" s="72"/>
      <c r="AD90" s="72"/>
    </row>
    <row r="91" spans="1:30" s="52" customFormat="1" ht="42.65" customHeight="1" thickBot="1" x14ac:dyDescent="0.5">
      <c r="A91" s="181" t="s">
        <v>156</v>
      </c>
      <c r="B91" s="181"/>
      <c r="C91" s="72"/>
      <c r="D91" s="4">
        <v>0</v>
      </c>
      <c r="E91" s="4">
        <v>0</v>
      </c>
      <c r="F91" s="4">
        <v>0</v>
      </c>
      <c r="G91" s="4">
        <v>0</v>
      </c>
      <c r="H91" s="4">
        <v>0</v>
      </c>
      <c r="I91" s="4">
        <v>0</v>
      </c>
      <c r="J91" s="4">
        <v>0</v>
      </c>
      <c r="K91" s="4">
        <v>0</v>
      </c>
      <c r="L91" s="4">
        <v>0</v>
      </c>
      <c r="M91" s="4">
        <v>0</v>
      </c>
      <c r="N91" s="4">
        <v>0</v>
      </c>
      <c r="O91" s="4">
        <v>0</v>
      </c>
      <c r="P91" s="4">
        <v>0</v>
      </c>
      <c r="Q91" s="4">
        <v>0</v>
      </c>
      <c r="R91" s="4">
        <v>0</v>
      </c>
      <c r="S91" s="4">
        <v>0</v>
      </c>
      <c r="T91" s="4">
        <v>0</v>
      </c>
      <c r="U91" s="4">
        <v>0</v>
      </c>
      <c r="V91" s="4">
        <v>3528.0526319359137</v>
      </c>
      <c r="W91" s="4">
        <v>4041.8256403840323</v>
      </c>
      <c r="X91" s="4">
        <v>4555.5986488321505</v>
      </c>
      <c r="Y91" s="4">
        <v>5069.3716572802696</v>
      </c>
      <c r="Z91" s="4">
        <v>5583.1446657283886</v>
      </c>
      <c r="AA91" s="4">
        <v>6096.9176741765068</v>
      </c>
      <c r="AB91" s="4">
        <v>6165.2503113969333</v>
      </c>
      <c r="AC91" s="4">
        <v>6233.5829486173598</v>
      </c>
      <c r="AD91" s="4">
        <v>6301.9155858377853</v>
      </c>
    </row>
    <row r="92" spans="1:30" ht="15" thickTop="1" x14ac:dyDescent="0.35">
      <c r="A92" s="72"/>
      <c r="B92" s="72"/>
      <c r="C92" s="72"/>
      <c r="D92" s="72"/>
      <c r="E92" s="72"/>
      <c r="F92" s="72"/>
      <c r="G92" s="72"/>
      <c r="H92" s="72"/>
      <c r="I92" s="72"/>
      <c r="J92" s="72"/>
      <c r="K92" s="72"/>
      <c r="L92" s="72"/>
      <c r="M92" s="72"/>
      <c r="N92" s="72"/>
      <c r="O92" s="72"/>
      <c r="P92" s="72"/>
      <c r="Q92" s="72"/>
      <c r="R92" s="72"/>
      <c r="S92" s="72"/>
      <c r="T92" s="72"/>
      <c r="U92" s="72"/>
      <c r="V92" s="72"/>
      <c r="W92" s="72"/>
      <c r="X92" s="72"/>
      <c r="Y92" s="72"/>
      <c r="Z92" s="72"/>
      <c r="AA92" s="72"/>
      <c r="AB92" s="72"/>
      <c r="AC92" s="72"/>
      <c r="AD92" s="72"/>
    </row>
  </sheetData>
  <mergeCells count="8">
    <mergeCell ref="B2:B15"/>
    <mergeCell ref="B18:B32"/>
    <mergeCell ref="A91:B91"/>
    <mergeCell ref="A59:AD60"/>
    <mergeCell ref="A84:B84"/>
    <mergeCell ref="A87:B87"/>
    <mergeCell ref="A89:B89"/>
    <mergeCell ref="A85:B85"/>
  </mergeCells>
  <pageMargins left="0.7" right="0.7" top="0.75" bottom="0.75" header="0.3" footer="0.3"/>
  <pageSetup orientation="portrait" horizontalDpi="1200" verticalDpi="120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AD92"/>
  <sheetViews>
    <sheetView zoomScale="84" zoomScaleNormal="84" workbookViewId="0"/>
  </sheetViews>
  <sheetFormatPr defaultRowHeight="14.5" x14ac:dyDescent="0.35"/>
  <cols>
    <col min="1" max="1" width="18.7265625" customWidth="1"/>
    <col min="2" max="2" width="26.7265625" bestFit="1" customWidth="1"/>
    <col min="3" max="3" width="22.81640625" customWidth="1"/>
    <col min="4" max="4" width="14.453125" bestFit="1" customWidth="1"/>
    <col min="5" max="6" width="13.81640625" bestFit="1" customWidth="1"/>
    <col min="7" max="7" width="15.26953125" customWidth="1"/>
    <col min="8" max="8" width="14.7265625" bestFit="1" customWidth="1"/>
    <col min="9" max="9" width="13.81640625" bestFit="1" customWidth="1"/>
    <col min="10" max="10" width="14.7265625" bestFit="1" customWidth="1"/>
    <col min="11" max="13" width="14.453125" bestFit="1" customWidth="1"/>
    <col min="14" max="18" width="14.7265625" bestFit="1" customWidth="1"/>
    <col min="19" max="21" width="14.453125" bestFit="1" customWidth="1"/>
    <col min="22" max="27" width="15" bestFit="1" customWidth="1"/>
    <col min="28" max="28" width="15.1796875" bestFit="1" customWidth="1"/>
    <col min="29" max="30" width="15" bestFit="1" customWidth="1"/>
  </cols>
  <sheetData>
    <row r="1" spans="1:30" ht="20" thickBot="1" x14ac:dyDescent="0.5">
      <c r="A1" s="113"/>
      <c r="B1" s="122"/>
      <c r="C1" s="113" t="s">
        <v>105</v>
      </c>
      <c r="D1" s="113">
        <v>2022</v>
      </c>
      <c r="E1" s="113">
        <v>2023</v>
      </c>
      <c r="F1" s="113">
        <v>2024</v>
      </c>
      <c r="G1" s="113">
        <v>2025</v>
      </c>
      <c r="H1" s="113">
        <v>2026</v>
      </c>
      <c r="I1" s="113">
        <v>2027</v>
      </c>
      <c r="J1" s="113">
        <v>2028</v>
      </c>
      <c r="K1" s="113">
        <v>2029</v>
      </c>
      <c r="L1" s="113">
        <v>2030</v>
      </c>
      <c r="M1" s="113">
        <v>2031</v>
      </c>
      <c r="N1" s="113">
        <v>2032</v>
      </c>
      <c r="O1" s="113">
        <v>2033</v>
      </c>
      <c r="P1" s="113">
        <v>2034</v>
      </c>
      <c r="Q1" s="113">
        <v>2035</v>
      </c>
      <c r="R1" s="113">
        <v>2036</v>
      </c>
      <c r="S1" s="113">
        <v>2037</v>
      </c>
      <c r="T1" s="113">
        <v>2038</v>
      </c>
      <c r="U1" s="113">
        <v>2039</v>
      </c>
      <c r="V1" s="113">
        <v>2040</v>
      </c>
      <c r="W1" s="113">
        <v>2041</v>
      </c>
      <c r="X1" s="113">
        <v>2042</v>
      </c>
      <c r="Y1" s="113">
        <v>2043</v>
      </c>
      <c r="Z1" s="113">
        <v>2044</v>
      </c>
      <c r="AA1" s="113">
        <v>2045</v>
      </c>
      <c r="AB1" s="113">
        <v>2046</v>
      </c>
      <c r="AC1" s="113">
        <v>2047</v>
      </c>
      <c r="AD1" s="113">
        <v>2048</v>
      </c>
    </row>
    <row r="2" spans="1:30" ht="15" thickTop="1" x14ac:dyDescent="0.35">
      <c r="A2" s="72"/>
      <c r="B2" s="174" t="s">
        <v>26</v>
      </c>
      <c r="C2" s="72" t="s">
        <v>107</v>
      </c>
      <c r="D2" s="53">
        <f>'Baseline System Analysis'!D2</f>
        <v>49666.999999999534</v>
      </c>
      <c r="E2" s="53">
        <f>'Baseline System Analysis'!E2</f>
        <v>50103.790384614935</v>
      </c>
      <c r="F2" s="53">
        <f>'Baseline System Analysis'!F2</f>
        <v>50540.580769230335</v>
      </c>
      <c r="G2" s="53">
        <f>'Baseline System Analysis'!G2</f>
        <v>50977.371153845736</v>
      </c>
      <c r="H2" s="53">
        <f>'Baseline System Analysis'!H2</f>
        <v>51414.161538461136</v>
      </c>
      <c r="I2" s="53">
        <f>'Baseline System Analysis'!I2</f>
        <v>51850.951923076536</v>
      </c>
      <c r="J2" s="53">
        <f>'Baseline System Analysis'!J2</f>
        <v>52287.742307691937</v>
      </c>
      <c r="K2" s="53">
        <f>'Baseline System Analysis'!K2</f>
        <v>51698.184615384183</v>
      </c>
      <c r="L2" s="53">
        <f>'Baseline System Analysis'!L2</f>
        <v>51988.353846153419</v>
      </c>
      <c r="M2" s="53">
        <f>'Baseline System Analysis'!M2</f>
        <v>52278.523076922655</v>
      </c>
      <c r="N2" s="53">
        <f>'Baseline System Analysis'!N2</f>
        <v>52568.69230769189</v>
      </c>
      <c r="O2" s="53">
        <f>'Baseline System Analysis'!O2</f>
        <v>52858.861538461126</v>
      </c>
      <c r="P2" s="53">
        <f>'Baseline System Analysis'!P2</f>
        <v>53149.030769230361</v>
      </c>
      <c r="Q2" s="53">
        <f>'Baseline System Analysis'!Q2</f>
        <v>53439.199999999597</v>
      </c>
      <c r="R2" s="53">
        <f>'Baseline System Analysis'!R2</f>
        <v>53729.369230768832</v>
      </c>
      <c r="S2" s="53">
        <f>'Baseline System Analysis'!S2</f>
        <v>54019.538461538068</v>
      </c>
      <c r="T2" s="53">
        <f>'Baseline System Analysis'!T2</f>
        <v>54309.707692307304</v>
      </c>
      <c r="U2" s="53">
        <f>'Baseline System Analysis'!U2</f>
        <v>54599.876923076539</v>
      </c>
      <c r="V2" s="53">
        <f>'Baseline System Analysis'!V2</f>
        <v>54890.046153845775</v>
      </c>
      <c r="W2" s="53">
        <f>'Baseline System Analysis'!W2</f>
        <v>55180.21538461501</v>
      </c>
      <c r="X2" s="53">
        <f>'Baseline System Analysis'!X2</f>
        <v>55470.384615384246</v>
      </c>
      <c r="Y2" s="53">
        <f>'Baseline System Analysis'!Y2</f>
        <v>55760.553846153482</v>
      </c>
      <c r="Z2" s="53">
        <f>'Baseline System Analysis'!Z2</f>
        <v>56050.723076922717</v>
      </c>
      <c r="AA2" s="53">
        <f>'Baseline System Analysis'!AA2</f>
        <v>56340.892307691953</v>
      </c>
      <c r="AB2" s="53">
        <f>'Baseline System Analysis'!AB2</f>
        <v>56631.061538461188</v>
      </c>
      <c r="AC2" s="53">
        <f>'Baseline System Analysis'!AC2</f>
        <v>56921.230769230424</v>
      </c>
      <c r="AD2" s="53">
        <f>'Baseline System Analysis'!AD2</f>
        <v>57211.399999999638</v>
      </c>
    </row>
    <row r="3" spans="1:30" x14ac:dyDescent="0.35">
      <c r="A3" s="72" t="s">
        <v>30</v>
      </c>
      <c r="B3" s="176"/>
      <c r="C3" s="72" t="s">
        <v>31</v>
      </c>
      <c r="D3" s="53">
        <f>'Baseline System Analysis'!D3</f>
        <v>10</v>
      </c>
      <c r="E3" s="53">
        <f>'Baseline System Analysis'!E3</f>
        <v>20.5</v>
      </c>
      <c r="F3" s="53">
        <f>'Baseline System Analysis'!F3</f>
        <v>29.879999999999995</v>
      </c>
      <c r="G3" s="53">
        <f>'Baseline System Analysis'!G3</f>
        <v>39.259999999999991</v>
      </c>
      <c r="H3" s="53">
        <f>'Baseline System Analysis'!H3</f>
        <v>48.639999999999986</v>
      </c>
      <c r="I3" s="53">
        <f>'Baseline System Analysis'!I3</f>
        <v>58.019999999999982</v>
      </c>
      <c r="J3" s="53">
        <f>'Baseline System Analysis'!J3</f>
        <v>67.399999999999977</v>
      </c>
      <c r="K3" s="53">
        <f>'Baseline System Analysis'!K3</f>
        <v>57.599999999999966</v>
      </c>
      <c r="L3" s="53">
        <f>'Baseline System Analysis'!L3</f>
        <v>49.800000000000011</v>
      </c>
      <c r="M3" s="53">
        <f>'Baseline System Analysis'!M3</f>
        <v>41.5</v>
      </c>
      <c r="N3" s="53">
        <f>'Baseline System Analysis'!N3</f>
        <v>53.700000000000017</v>
      </c>
      <c r="O3" s="53">
        <f>'Baseline System Analysis'!O3</f>
        <v>75.066666666666691</v>
      </c>
      <c r="P3" s="53">
        <f>'Baseline System Analysis'!P3</f>
        <v>96.433333333333366</v>
      </c>
      <c r="Q3" s="53">
        <f>'Baseline System Analysis'!Q3</f>
        <v>117.80000000000004</v>
      </c>
      <c r="R3" s="53">
        <f>'Baseline System Analysis'!R3</f>
        <v>139.16666666666671</v>
      </c>
      <c r="S3" s="53">
        <f>'Baseline System Analysis'!S3</f>
        <v>160.53333333333339</v>
      </c>
      <c r="T3" s="53">
        <f>'Baseline System Analysis'!T3</f>
        <v>181.90000000000003</v>
      </c>
      <c r="U3" s="53">
        <f>'Baseline System Analysis'!U3</f>
        <v>244.23000000000002</v>
      </c>
      <c r="V3" s="53">
        <f>'Baseline System Analysis'!V3</f>
        <v>306.56</v>
      </c>
      <c r="W3" s="53">
        <f>'Baseline System Analysis'!W3</f>
        <v>368.89</v>
      </c>
      <c r="X3" s="53">
        <f>'Baseline System Analysis'!X3</f>
        <v>431.21999999999997</v>
      </c>
      <c r="Y3" s="53">
        <f>'Baseline System Analysis'!Y3</f>
        <v>453.7000000000001</v>
      </c>
      <c r="Z3" s="53">
        <f>'Baseline System Analysis'!Z3</f>
        <v>524.00000000000011</v>
      </c>
      <c r="AA3" s="53">
        <f>'Baseline System Analysis'!AA3</f>
        <v>594.30000000000007</v>
      </c>
      <c r="AB3" s="53">
        <f>'Baseline System Analysis'!AB3</f>
        <v>664.6</v>
      </c>
      <c r="AC3" s="53">
        <f>'Baseline System Analysis'!AC3</f>
        <v>734.9</v>
      </c>
      <c r="AD3" s="53">
        <f>'Baseline System Analysis'!AD3</f>
        <v>805.2</v>
      </c>
    </row>
    <row r="4" spans="1:30" x14ac:dyDescent="0.35">
      <c r="A4" s="72" t="s">
        <v>30</v>
      </c>
      <c r="B4" s="176"/>
      <c r="C4" s="72" t="s">
        <v>32</v>
      </c>
      <c r="D4" s="53">
        <f>'Baseline System Analysis'!D4</f>
        <v>2</v>
      </c>
      <c r="E4" s="53">
        <f>'Baseline System Analysis'!E4</f>
        <v>3</v>
      </c>
      <c r="F4" s="53">
        <f>'Baseline System Analysis'!F4</f>
        <v>4.6799999999999953</v>
      </c>
      <c r="G4" s="53">
        <f>'Baseline System Analysis'!G4</f>
        <v>6.3599999999999905</v>
      </c>
      <c r="H4" s="53">
        <f>'Baseline System Analysis'!H4</f>
        <v>8.0399999999999867</v>
      </c>
      <c r="I4" s="53">
        <f>'Baseline System Analysis'!I4</f>
        <v>9.7199999999999829</v>
      </c>
      <c r="J4" s="53">
        <f>'Baseline System Analysis'!J4</f>
        <v>11.399999999999977</v>
      </c>
      <c r="K4" s="53">
        <f>'Baseline System Analysis'!K4</f>
        <v>10.199999999999989</v>
      </c>
      <c r="L4" s="53">
        <f>'Baseline System Analysis'!L4</f>
        <v>8.5999999999999943</v>
      </c>
      <c r="M4" s="53">
        <f>'Baseline System Analysis'!M4</f>
        <v>6.8000000000000114</v>
      </c>
      <c r="N4" s="53">
        <f>'Baseline System Analysis'!N4</f>
        <v>9.6000000000000227</v>
      </c>
      <c r="O4" s="53">
        <f>'Baseline System Analysis'!O4</f>
        <v>11.333333333333352</v>
      </c>
      <c r="P4" s="53">
        <f>'Baseline System Analysis'!P4</f>
        <v>13.066666666666681</v>
      </c>
      <c r="Q4" s="53">
        <f>'Baseline System Analysis'!Q4</f>
        <v>14.80000000000001</v>
      </c>
      <c r="R4" s="53">
        <f>'Baseline System Analysis'!R4</f>
        <v>16.533333333333339</v>
      </c>
      <c r="S4" s="53">
        <f>'Baseline System Analysis'!S4</f>
        <v>18.266666666666669</v>
      </c>
      <c r="T4" s="53">
        <f>'Baseline System Analysis'!T4</f>
        <v>20</v>
      </c>
      <c r="U4" s="53">
        <f>'Baseline System Analysis'!U4</f>
        <v>21.860000000000003</v>
      </c>
      <c r="V4" s="53">
        <f>'Baseline System Analysis'!V4</f>
        <v>23.720000000000006</v>
      </c>
      <c r="W4" s="53">
        <f>'Baseline System Analysis'!W4</f>
        <v>25.580000000000009</v>
      </c>
      <c r="X4" s="53">
        <f>'Baseline System Analysis'!X4</f>
        <v>27.440000000000012</v>
      </c>
      <c r="Y4" s="53">
        <f>'Baseline System Analysis'!Y4</f>
        <v>29.300000000000011</v>
      </c>
      <c r="Z4" s="53">
        <f>'Baseline System Analysis'!Z4</f>
        <v>30.480000000000008</v>
      </c>
      <c r="AA4" s="53">
        <f>'Baseline System Analysis'!AA4</f>
        <v>31.660000000000004</v>
      </c>
      <c r="AB4" s="53">
        <f>'Baseline System Analysis'!AB4</f>
        <v>32.839999999999996</v>
      </c>
      <c r="AC4" s="53">
        <f>'Baseline System Analysis'!AC4</f>
        <v>34.019999999999989</v>
      </c>
      <c r="AD4" s="53">
        <f>'Baseline System Analysis'!AD4</f>
        <v>35.199999999999989</v>
      </c>
    </row>
    <row r="5" spans="1:30" x14ac:dyDescent="0.35">
      <c r="A5" s="72" t="s">
        <v>30</v>
      </c>
      <c r="B5" s="176"/>
      <c r="C5" s="72" t="s">
        <v>33</v>
      </c>
      <c r="D5" s="53">
        <f>'Baseline System Analysis'!D5</f>
        <v>8.4812112193331513E-2</v>
      </c>
      <c r="E5" s="53">
        <f>'Baseline System Analysis'!E5</f>
        <v>0.24283371212350299</v>
      </c>
      <c r="F5" s="53">
        <f>'Baseline System Analysis'!F5</f>
        <v>0.34046276046663143</v>
      </c>
      <c r="G5" s="53">
        <f>'Baseline System Analysis'!G5</f>
        <v>0.43809180880975984</v>
      </c>
      <c r="H5" s="53">
        <f>'Baseline System Analysis'!H5</f>
        <v>0.53572085715288831</v>
      </c>
      <c r="I5" s="53">
        <f>'Baseline System Analysis'!I5</f>
        <v>0.63334990549601677</v>
      </c>
      <c r="J5" s="53">
        <f>'Baseline System Analysis'!J5</f>
        <v>0.73097895383914513</v>
      </c>
      <c r="K5" s="53">
        <f>'Baseline System Analysis'!K5</f>
        <v>0.61764830497225676</v>
      </c>
      <c r="L5" s="53">
        <f>'Baseline System Analysis'!L5</f>
        <v>0.52957812632109091</v>
      </c>
      <c r="M5" s="53">
        <f>'Baseline System Analysis'!M5</f>
        <v>0.48185121670948772</v>
      </c>
      <c r="N5" s="53">
        <f>'Baseline System Analysis'!N5</f>
        <v>0.56680711827214547</v>
      </c>
      <c r="O5" s="53">
        <f>'Baseline System Analysis'!O5</f>
        <v>0.96980348799493798</v>
      </c>
      <c r="P5" s="53">
        <f>'Baseline System Analysis'!P5</f>
        <v>1.3727998577177305</v>
      </c>
      <c r="Q5" s="53">
        <f>'Baseline System Analysis'!Q5</f>
        <v>1.775796227440523</v>
      </c>
      <c r="R5" s="53">
        <f>'Baseline System Analysis'!R5</f>
        <v>2.1787925971633153</v>
      </c>
      <c r="S5" s="53">
        <f>'Baseline System Analysis'!S5</f>
        <v>2.5817889668861076</v>
      </c>
      <c r="T5" s="53">
        <f>'Baseline System Analysis'!T5</f>
        <v>2.9847853366089003</v>
      </c>
      <c r="U5" s="53">
        <f>'Baseline System Analysis'!U5</f>
        <v>21.070525908414965</v>
      </c>
      <c r="V5" s="53">
        <f>'Baseline System Analysis'!V5</f>
        <v>39.156266480221028</v>
      </c>
      <c r="W5" s="53">
        <f>'Baseline System Analysis'!W5</f>
        <v>57.242007052027091</v>
      </c>
      <c r="X5" s="53">
        <f>'Baseline System Analysis'!X5</f>
        <v>75.327747623833147</v>
      </c>
      <c r="Y5" s="53">
        <f>'Baseline System Analysis'!Y5</f>
        <v>93.413488195639218</v>
      </c>
      <c r="Z5" s="53">
        <f>'Baseline System Analysis'!Z5</f>
        <v>81.062212021092932</v>
      </c>
      <c r="AA5" s="53">
        <f>'Baseline System Analysis'!AA5</f>
        <v>68.710935846546647</v>
      </c>
      <c r="AB5" s="53">
        <f>'Baseline System Analysis'!AB5</f>
        <v>56.359659672000362</v>
      </c>
      <c r="AC5" s="53">
        <f>'Baseline System Analysis'!AC5</f>
        <v>44.008383497454076</v>
      </c>
      <c r="AD5" s="53">
        <f>'Baseline System Analysis'!AD5</f>
        <v>31.657107322907791</v>
      </c>
    </row>
    <row r="6" spans="1:30" x14ac:dyDescent="0.35">
      <c r="A6" s="72" t="s">
        <v>30</v>
      </c>
      <c r="B6" s="176"/>
      <c r="C6" s="72" t="s">
        <v>34</v>
      </c>
      <c r="D6" s="53">
        <f>'Baseline System Analysis'!D6</f>
        <v>6.0580080138093939E-3</v>
      </c>
      <c r="E6" s="53">
        <f>'Baseline System Analysis'!E6</f>
        <v>1.7771756236396739E-2</v>
      </c>
      <c r="F6" s="53">
        <f>'Baseline System Analysis'!F6</f>
        <v>2.504677784712513E-2</v>
      </c>
      <c r="G6" s="53">
        <f>'Baseline System Analysis'!G6</f>
        <v>3.2321799457853517E-2</v>
      </c>
      <c r="H6" s="53">
        <f>'Baseline System Analysis'!H6</f>
        <v>3.9596821068581908E-2</v>
      </c>
      <c r="I6" s="53">
        <f>'Baseline System Analysis'!I6</f>
        <v>4.6871842679310299E-2</v>
      </c>
      <c r="J6" s="53">
        <f>'Baseline System Analysis'!J6</f>
        <v>5.414686429003869E-2</v>
      </c>
      <c r="K6" s="53">
        <f>'Baseline System Analysis'!K6</f>
        <v>4.57170533491131E-2</v>
      </c>
      <c r="L6" s="53">
        <f>'Baseline System Analysis'!L6</f>
        <v>3.8991796004088156E-2</v>
      </c>
      <c r="M6" s="53">
        <f>'Baseline System Analysis'!M6</f>
        <v>3.1792887361975948E-2</v>
      </c>
      <c r="N6" s="53">
        <f>'Baseline System Analysis'!N6</f>
        <v>4.2212624824281168E-2</v>
      </c>
      <c r="O6" s="53">
        <f>'Baseline System Analysis'!O6</f>
        <v>5.9766414638595444E-2</v>
      </c>
      <c r="P6" s="53">
        <f>'Baseline System Analysis'!P6</f>
        <v>7.7320204452909727E-2</v>
      </c>
      <c r="Q6" s="53">
        <f>'Baseline System Analysis'!Q6</f>
        <v>9.487399426722401E-2</v>
      </c>
      <c r="R6" s="53">
        <f>'Baseline System Analysis'!R6</f>
        <v>0.11242778408153829</v>
      </c>
      <c r="S6" s="53">
        <f>'Baseline System Analysis'!S6</f>
        <v>0.12998157389585258</v>
      </c>
      <c r="T6" s="53">
        <f>'Baseline System Analysis'!T6</f>
        <v>0.14753536371016684</v>
      </c>
      <c r="U6" s="53">
        <f>'Baseline System Analysis'!U6</f>
        <v>0.40051087482777559</v>
      </c>
      <c r="V6" s="53">
        <f>'Baseline System Analysis'!V6</f>
        <v>0.65348638594538433</v>
      </c>
      <c r="W6" s="53">
        <f>'Baseline System Analysis'!W6</f>
        <v>0.90646189706299307</v>
      </c>
      <c r="X6" s="53">
        <f>'Baseline System Analysis'!X6</f>
        <v>1.1594374081806018</v>
      </c>
      <c r="Y6" s="53">
        <f>'Baseline System Analysis'!Y6</f>
        <v>1.4124129192982104</v>
      </c>
      <c r="Z6" s="53">
        <f>'Baseline System Analysis'!Z6</f>
        <v>1.2710233198999881</v>
      </c>
      <c r="AA6" s="53">
        <f>'Baseline System Analysis'!AA6</f>
        <v>1.1296337205017657</v>
      </c>
      <c r="AB6" s="53">
        <f>'Baseline System Analysis'!AB6</f>
        <v>0.98824412110354332</v>
      </c>
      <c r="AC6" s="53">
        <f>'Baseline System Analysis'!AC6</f>
        <v>0.84685452170532094</v>
      </c>
      <c r="AD6" s="53">
        <f>'Baseline System Analysis'!AD6</f>
        <v>0.70546492230709823</v>
      </c>
    </row>
    <row r="7" spans="1:30" x14ac:dyDescent="0.35">
      <c r="A7" s="72" t="s">
        <v>30</v>
      </c>
      <c r="B7" s="176"/>
      <c r="C7" s="72" t="s">
        <v>35</v>
      </c>
      <c r="D7" s="53">
        <f>'Baseline System Analysis'!D7</f>
        <v>14</v>
      </c>
      <c r="E7" s="53">
        <f>'Baseline System Analysis'!E7</f>
        <v>21</v>
      </c>
      <c r="F7" s="53">
        <f>'Baseline System Analysis'!F7</f>
        <v>23.2</v>
      </c>
      <c r="G7" s="53">
        <f>'Baseline System Analysis'!G7</f>
        <v>25.4</v>
      </c>
      <c r="H7" s="53">
        <f>'Baseline System Analysis'!H7</f>
        <v>27.599999999999998</v>
      </c>
      <c r="I7" s="53">
        <f>'Baseline System Analysis'!I7</f>
        <v>29.799999999999997</v>
      </c>
      <c r="J7" s="53">
        <f>'Baseline System Analysis'!J7</f>
        <v>32</v>
      </c>
      <c r="K7" s="53">
        <f>'Baseline System Analysis'!K7</f>
        <v>30</v>
      </c>
      <c r="L7" s="53">
        <f>'Baseline System Analysis'!L7</f>
        <v>29</v>
      </c>
      <c r="M7" s="53">
        <f>'Baseline System Analysis'!M7</f>
        <v>29</v>
      </c>
      <c r="N7" s="53">
        <f>'Baseline System Analysis'!N7</f>
        <v>29</v>
      </c>
      <c r="O7" s="53">
        <f>'Baseline System Analysis'!O7</f>
        <v>32.666666666666664</v>
      </c>
      <c r="P7" s="53">
        <f>'Baseline System Analysis'!P7</f>
        <v>36.333333333333329</v>
      </c>
      <c r="Q7" s="53">
        <f>'Baseline System Analysis'!Q7</f>
        <v>39.999999999999993</v>
      </c>
      <c r="R7" s="53">
        <f>'Baseline System Analysis'!R7</f>
        <v>43.666666666666657</v>
      </c>
      <c r="S7" s="53">
        <f>'Baseline System Analysis'!S7</f>
        <v>47.333333333333321</v>
      </c>
      <c r="T7" s="53">
        <f>'Baseline System Analysis'!T7</f>
        <v>51</v>
      </c>
      <c r="U7" s="53">
        <f>'Baseline System Analysis'!U7</f>
        <v>56.6</v>
      </c>
      <c r="V7" s="53">
        <f>'Baseline System Analysis'!V7</f>
        <v>62.2</v>
      </c>
      <c r="W7" s="53">
        <f>'Baseline System Analysis'!W7</f>
        <v>67.8</v>
      </c>
      <c r="X7" s="53">
        <f>'Baseline System Analysis'!X7</f>
        <v>73.399999999999991</v>
      </c>
      <c r="Y7" s="53">
        <f>'Baseline System Analysis'!Y7</f>
        <v>79</v>
      </c>
      <c r="Z7" s="53">
        <f>'Baseline System Analysis'!Z7</f>
        <v>82</v>
      </c>
      <c r="AA7" s="53">
        <f>'Baseline System Analysis'!AA7</f>
        <v>85</v>
      </c>
      <c r="AB7" s="53">
        <f>'Baseline System Analysis'!AB7</f>
        <v>88</v>
      </c>
      <c r="AC7" s="53">
        <f>'Baseline System Analysis'!AC7</f>
        <v>91</v>
      </c>
      <c r="AD7" s="53">
        <f>'Baseline System Analysis'!AD7</f>
        <v>94</v>
      </c>
    </row>
    <row r="8" spans="1:30" x14ac:dyDescent="0.35">
      <c r="A8" s="72" t="s">
        <v>39</v>
      </c>
      <c r="B8" s="176"/>
      <c r="C8" s="72" t="s">
        <v>31</v>
      </c>
      <c r="D8" s="53">
        <f>'Baseline System Analysis'!D8</f>
        <v>22.2</v>
      </c>
      <c r="E8" s="53">
        <f>'Baseline System Analysis'!E8</f>
        <v>65.8</v>
      </c>
      <c r="F8" s="53">
        <f>'Baseline System Analysis'!F8</f>
        <v>102.72</v>
      </c>
      <c r="G8" s="53">
        <f>'Baseline System Analysis'!G8</f>
        <v>139.63999999999999</v>
      </c>
      <c r="H8" s="53">
        <f>'Baseline System Analysis'!H8</f>
        <v>176.56</v>
      </c>
      <c r="I8" s="53">
        <f>'Baseline System Analysis'!I8</f>
        <v>213.48000000000002</v>
      </c>
      <c r="J8" s="53">
        <f>'Baseline System Analysis'!J8</f>
        <v>250.4</v>
      </c>
      <c r="K8" s="53">
        <f>'Baseline System Analysis'!K8</f>
        <v>216.60000000000014</v>
      </c>
      <c r="L8" s="53">
        <f>'Baseline System Analysis'!L8</f>
        <v>182.59999999999991</v>
      </c>
      <c r="M8" s="53">
        <f>'Baseline System Analysis'!M8</f>
        <v>151.20000000000005</v>
      </c>
      <c r="N8" s="53">
        <f>'Baseline System Analysis'!N8</f>
        <v>202.60000000000014</v>
      </c>
      <c r="O8" s="53">
        <f>'Baseline System Analysis'!O8</f>
        <v>292.1666666666668</v>
      </c>
      <c r="P8" s="53">
        <f>'Baseline System Analysis'!P8</f>
        <v>381.73333333333346</v>
      </c>
      <c r="Q8" s="53">
        <f>'Baseline System Analysis'!Q8</f>
        <v>471.30000000000013</v>
      </c>
      <c r="R8" s="53">
        <f>'Baseline System Analysis'!R8</f>
        <v>560.86666666666679</v>
      </c>
      <c r="S8" s="53">
        <f>'Baseline System Analysis'!S8</f>
        <v>650.43333333333339</v>
      </c>
      <c r="T8" s="53">
        <f>'Baseline System Analysis'!T8</f>
        <v>740</v>
      </c>
      <c r="U8" s="53">
        <f>'Baseline System Analysis'!U8</f>
        <v>930.87999999999988</v>
      </c>
      <c r="V8" s="53">
        <f>'Baseline System Analysis'!V8</f>
        <v>1121.7599999999998</v>
      </c>
      <c r="W8" s="53">
        <f>'Baseline System Analysis'!W8</f>
        <v>1312.6399999999996</v>
      </c>
      <c r="X8" s="53">
        <f>'Baseline System Analysis'!X8</f>
        <v>1503.5199999999995</v>
      </c>
      <c r="Y8" s="53">
        <f>'Baseline System Analysis'!Y8</f>
        <v>1694.3999999999994</v>
      </c>
      <c r="Z8" s="53">
        <f>'Baseline System Analysis'!Z8</f>
        <v>1887.3999999999994</v>
      </c>
      <c r="AA8" s="53">
        <f>'Baseline System Analysis'!AA8</f>
        <v>2080.3999999999996</v>
      </c>
      <c r="AB8" s="53">
        <f>'Baseline System Analysis'!AB8</f>
        <v>2273.3999999999996</v>
      </c>
      <c r="AC8" s="53">
        <f>'Baseline System Analysis'!AC8</f>
        <v>2466.3999999999996</v>
      </c>
      <c r="AD8" s="53">
        <f>'Baseline System Analysis'!AD8</f>
        <v>2659.3999999999996</v>
      </c>
    </row>
    <row r="9" spans="1:30" x14ac:dyDescent="0.35">
      <c r="A9" s="72" t="s">
        <v>39</v>
      </c>
      <c r="B9" s="176"/>
      <c r="C9" s="72" t="s">
        <v>32</v>
      </c>
      <c r="D9" s="53">
        <f>'Baseline System Analysis'!D9</f>
        <v>13</v>
      </c>
      <c r="E9" s="53">
        <f>'Baseline System Analysis'!E9</f>
        <v>27</v>
      </c>
      <c r="F9" s="53">
        <f>'Baseline System Analysis'!F9</f>
        <v>34.519999999999982</v>
      </c>
      <c r="G9" s="53">
        <f>'Baseline System Analysis'!G9</f>
        <v>42.039999999999964</v>
      </c>
      <c r="H9" s="53">
        <f>'Baseline System Analysis'!H9</f>
        <v>49.559999999999945</v>
      </c>
      <c r="I9" s="53">
        <f>'Baseline System Analysis'!I9</f>
        <v>57.079999999999927</v>
      </c>
      <c r="J9" s="53">
        <f>'Baseline System Analysis'!J9</f>
        <v>64.599999999999909</v>
      </c>
      <c r="K9" s="53">
        <f>'Baseline System Analysis'!K9</f>
        <v>59.799999999999955</v>
      </c>
      <c r="L9" s="53">
        <f>'Baseline System Analysis'!L9</f>
        <v>52.799999999999955</v>
      </c>
      <c r="M9" s="53">
        <f>'Baseline System Analysis'!M9</f>
        <v>46</v>
      </c>
      <c r="N9" s="53">
        <f>'Baseline System Analysis'!N9</f>
        <v>57.400000000000091</v>
      </c>
      <c r="O9" s="53">
        <f>'Baseline System Analysis'!O9</f>
        <v>67.333333333333414</v>
      </c>
      <c r="P9" s="53">
        <f>'Baseline System Analysis'!P9</f>
        <v>77.266666666666737</v>
      </c>
      <c r="Q9" s="53">
        <f>'Baseline System Analysis'!Q9</f>
        <v>87.20000000000006</v>
      </c>
      <c r="R9" s="53">
        <f>'Baseline System Analysis'!R9</f>
        <v>97.133333333333383</v>
      </c>
      <c r="S9" s="53">
        <f>'Baseline System Analysis'!S9</f>
        <v>107.06666666666671</v>
      </c>
      <c r="T9" s="53">
        <f>'Baseline System Analysis'!T9</f>
        <v>117</v>
      </c>
      <c r="U9" s="53">
        <f>'Baseline System Analysis'!U9</f>
        <v>126.6</v>
      </c>
      <c r="V9" s="53">
        <f>'Baseline System Analysis'!V9</f>
        <v>136.19999999999999</v>
      </c>
      <c r="W9" s="53">
        <f>'Baseline System Analysis'!W9</f>
        <v>145.79999999999998</v>
      </c>
      <c r="X9" s="53">
        <f>'Baseline System Analysis'!X9</f>
        <v>155.39999999999998</v>
      </c>
      <c r="Y9" s="53">
        <f>'Baseline System Analysis'!Y9</f>
        <v>165</v>
      </c>
      <c r="Z9" s="53">
        <f>'Baseline System Analysis'!Z9</f>
        <v>171.84</v>
      </c>
      <c r="AA9" s="53">
        <f>'Baseline System Analysis'!AA9</f>
        <v>178.68</v>
      </c>
      <c r="AB9" s="53">
        <f>'Baseline System Analysis'!AB9</f>
        <v>185.52</v>
      </c>
      <c r="AC9" s="53">
        <f>'Baseline System Analysis'!AC9</f>
        <v>192.36</v>
      </c>
      <c r="AD9" s="53">
        <f>'Baseline System Analysis'!AD9</f>
        <v>199.20000000000005</v>
      </c>
    </row>
    <row r="10" spans="1:30" x14ac:dyDescent="0.35">
      <c r="A10" s="72" t="s">
        <v>39</v>
      </c>
      <c r="B10" s="176"/>
      <c r="C10" s="72" t="s">
        <v>33</v>
      </c>
      <c r="D10" s="53">
        <f>'Baseline System Analysis'!D10</f>
        <v>4.7253529883901121E-2</v>
      </c>
      <c r="E10" s="53">
        <f>'Baseline System Analysis'!E10</f>
        <v>0.28011551949195379</v>
      </c>
      <c r="F10" s="53">
        <f>'Baseline System Analysis'!F10</f>
        <v>0.59718244793816533</v>
      </c>
      <c r="G10" s="53">
        <f>'Baseline System Analysis'!G10</f>
        <v>0.91424937638437687</v>
      </c>
      <c r="H10" s="53">
        <f>'Baseline System Analysis'!H10</f>
        <v>1.2313163048305884</v>
      </c>
      <c r="I10" s="53">
        <f>'Baseline System Analysis'!I10</f>
        <v>1.5483832332767999</v>
      </c>
      <c r="J10" s="53">
        <f>'Baseline System Analysis'!J10</f>
        <v>1.8654501617230115</v>
      </c>
      <c r="K10" s="53">
        <f>'Baseline System Analysis'!K10</f>
        <v>1.6136441894137561</v>
      </c>
      <c r="L10" s="53">
        <f>'Baseline System Analysis'!L10</f>
        <v>1.1660127779459895</v>
      </c>
      <c r="M10" s="53">
        <f>'Baseline System Analysis'!M10</f>
        <v>0.80458713045561225</v>
      </c>
      <c r="N10" s="53">
        <f>'Baseline System Analysis'!N10</f>
        <v>0.56680711827214547</v>
      </c>
      <c r="O10" s="53">
        <f>'Baseline System Analysis'!O10</f>
        <v>3.0445179689462347</v>
      </c>
      <c r="P10" s="53">
        <f>'Baseline System Analysis'!P10</f>
        <v>4.5886299372095039</v>
      </c>
      <c r="Q10" s="53">
        <f>'Baseline System Analysis'!Q10</f>
        <v>6.1327419054727734</v>
      </c>
      <c r="R10" s="53">
        <f>'Baseline System Analysis'!R10</f>
        <v>7.676853873736043</v>
      </c>
      <c r="S10" s="53">
        <f>'Baseline System Analysis'!S10</f>
        <v>9.2209658419993126</v>
      </c>
      <c r="T10" s="53">
        <f>'Baseline System Analysis'!T10</f>
        <v>10.765077810262582</v>
      </c>
      <c r="U10" s="53">
        <f>'Baseline System Analysis'!U10</f>
        <v>11.285969377257926</v>
      </c>
      <c r="V10" s="53">
        <f>'Baseline System Analysis'!V10</f>
        <v>11.80686094425327</v>
      </c>
      <c r="W10" s="53">
        <f>'Baseline System Analysis'!W10</f>
        <v>12.327752511248613</v>
      </c>
      <c r="X10" s="53">
        <f>'Baseline System Analysis'!X10</f>
        <v>12.848644078243957</v>
      </c>
      <c r="Y10" s="53">
        <f>'Baseline System Analysis'!Y10</f>
        <v>13.369535645239303</v>
      </c>
      <c r="Z10" s="53">
        <f>'Baseline System Analysis'!Z10</f>
        <v>31.024884631077057</v>
      </c>
      <c r="AA10" s="53">
        <f>'Baseline System Analysis'!AA10</f>
        <v>48.680233616914812</v>
      </c>
      <c r="AB10" s="53">
        <f>'Baseline System Analysis'!AB10</f>
        <v>66.335582602752567</v>
      </c>
      <c r="AC10" s="53">
        <f>'Baseline System Analysis'!AC10</f>
        <v>83.990931588590314</v>
      </c>
      <c r="AD10" s="53">
        <f>'Baseline System Analysis'!AD10</f>
        <v>101.64628057442808</v>
      </c>
    </row>
    <row r="11" spans="1:30" x14ac:dyDescent="0.35">
      <c r="A11" s="72" t="s">
        <v>39</v>
      </c>
      <c r="B11" s="176"/>
      <c r="C11" s="72" t="s">
        <v>34</v>
      </c>
      <c r="D11" s="53">
        <f>'Baseline System Analysis'!D11</f>
        <v>2.3626764941950561E-2</v>
      </c>
      <c r="E11" s="53">
        <f>'Baseline System Analysis'!E11</f>
        <v>7.0028879872988448E-2</v>
      </c>
      <c r="F11" s="53">
        <f>'Baseline System Analysis'!F11</f>
        <v>0.10932167994761965</v>
      </c>
      <c r="G11" s="53">
        <f>'Baseline System Analysis'!G11</f>
        <v>0.14861448002225086</v>
      </c>
      <c r="H11" s="53">
        <f>'Baseline System Analysis'!H11</f>
        <v>0.18790728009688207</v>
      </c>
      <c r="I11" s="53">
        <f>'Baseline System Analysis'!I11</f>
        <v>0.22720008017151327</v>
      </c>
      <c r="J11" s="53">
        <f>'Baseline System Analysis'!J11</f>
        <v>0.26649288024614448</v>
      </c>
      <c r="K11" s="53">
        <f>'Baseline System Analysis'!K11</f>
        <v>0.23052059848767945</v>
      </c>
      <c r="L11" s="53">
        <f>'Baseline System Analysis'!L11</f>
        <v>0.19433546299099821</v>
      </c>
      <c r="M11" s="53">
        <f>'Baseline System Analysis'!M11</f>
        <v>0.16091742609112245</v>
      </c>
      <c r="N11" s="53">
        <f>'Baseline System Analysis'!N11</f>
        <v>4.2212624824281168E-2</v>
      </c>
      <c r="O11" s="53">
        <f>'Baseline System Analysis'!O11</f>
        <v>0.30677545020347896</v>
      </c>
      <c r="P11" s="53">
        <f>'Baseline System Analysis'!P11</f>
        <v>0.39920718602367722</v>
      </c>
      <c r="Q11" s="53">
        <f>'Baseline System Analysis'!Q11</f>
        <v>0.49163892184387548</v>
      </c>
      <c r="R11" s="53">
        <f>'Baseline System Analysis'!R11</f>
        <v>0.58407065766407373</v>
      </c>
      <c r="S11" s="53">
        <f>'Baseline System Analysis'!S11</f>
        <v>0.67650239348427199</v>
      </c>
      <c r="T11" s="53">
        <f>'Baseline System Analysis'!T11</f>
        <v>0.76893412930447014</v>
      </c>
      <c r="U11" s="53">
        <f>'Baseline System Analysis'!U11</f>
        <v>0.69278283231502535</v>
      </c>
      <c r="V11" s="53">
        <f>'Baseline System Analysis'!V11</f>
        <v>0.61663153532558057</v>
      </c>
      <c r="W11" s="53">
        <f>'Baseline System Analysis'!W11</f>
        <v>0.54048023833613579</v>
      </c>
      <c r="X11" s="53">
        <f>'Baseline System Analysis'!X11</f>
        <v>0.464328941346691</v>
      </c>
      <c r="Y11" s="53">
        <f>'Baseline System Analysis'!Y11</f>
        <v>0.38817764435724611</v>
      </c>
      <c r="Z11" s="53">
        <f>'Baseline System Analysis'!Z11</f>
        <v>0.85998146994216484</v>
      </c>
      <c r="AA11" s="53">
        <f>'Baseline System Analysis'!AA11</f>
        <v>1.3317852955270837</v>
      </c>
      <c r="AB11" s="53">
        <f>'Baseline System Analysis'!AB11</f>
        <v>1.8035891211120025</v>
      </c>
      <c r="AC11" s="53">
        <f>'Baseline System Analysis'!AC11</f>
        <v>2.2753929466969214</v>
      </c>
      <c r="AD11" s="53">
        <f>'Baseline System Analysis'!AD11</f>
        <v>2.74719677228184</v>
      </c>
    </row>
    <row r="12" spans="1:30" x14ac:dyDescent="0.35">
      <c r="A12" s="72" t="s">
        <v>39</v>
      </c>
      <c r="B12" s="176"/>
      <c r="C12" s="72" t="s">
        <v>35</v>
      </c>
      <c r="D12" s="53">
        <f>'Baseline System Analysis'!D12</f>
        <v>2</v>
      </c>
      <c r="E12" s="53">
        <f>'Baseline System Analysis'!E12</f>
        <v>4</v>
      </c>
      <c r="F12" s="53">
        <f>'Baseline System Analysis'!F12</f>
        <v>4.5999999999999996</v>
      </c>
      <c r="G12" s="53">
        <f>'Baseline System Analysis'!G12</f>
        <v>5.1999999999999993</v>
      </c>
      <c r="H12" s="53">
        <f>'Baseline System Analysis'!H12</f>
        <v>5.7999999999999989</v>
      </c>
      <c r="I12" s="53">
        <f>'Baseline System Analysis'!I12</f>
        <v>6.3999999999999986</v>
      </c>
      <c r="J12" s="53">
        <f>'Baseline System Analysis'!J12</f>
        <v>7</v>
      </c>
      <c r="K12" s="53">
        <f>'Baseline System Analysis'!K12</f>
        <v>7</v>
      </c>
      <c r="L12" s="53">
        <f>'Baseline System Analysis'!L12</f>
        <v>6</v>
      </c>
      <c r="M12" s="53">
        <f>'Baseline System Analysis'!M12</f>
        <v>5</v>
      </c>
      <c r="N12" s="53">
        <f>'Baseline System Analysis'!N12</f>
        <v>7</v>
      </c>
      <c r="O12" s="53">
        <f>'Baseline System Analysis'!O12</f>
        <v>8.1666666666666661</v>
      </c>
      <c r="P12" s="53">
        <f>'Baseline System Analysis'!P12</f>
        <v>9.3333333333333321</v>
      </c>
      <c r="Q12" s="53">
        <f>'Baseline System Analysis'!Q12</f>
        <v>10.499999999999998</v>
      </c>
      <c r="R12" s="53">
        <f>'Baseline System Analysis'!R12</f>
        <v>11.666666666666664</v>
      </c>
      <c r="S12" s="53">
        <f>'Baseline System Analysis'!S12</f>
        <v>12.83333333333333</v>
      </c>
      <c r="T12" s="53">
        <f>'Baseline System Analysis'!T12</f>
        <v>14</v>
      </c>
      <c r="U12" s="53">
        <f>'Baseline System Analysis'!U12</f>
        <v>17</v>
      </c>
      <c r="V12" s="53">
        <f>'Baseline System Analysis'!V12</f>
        <v>20</v>
      </c>
      <c r="W12" s="53">
        <f>'Baseline System Analysis'!W12</f>
        <v>23</v>
      </c>
      <c r="X12" s="53">
        <f>'Baseline System Analysis'!X12</f>
        <v>26</v>
      </c>
      <c r="Y12" s="53">
        <f>'Baseline System Analysis'!Y12</f>
        <v>29</v>
      </c>
      <c r="Z12" s="53">
        <f>'Baseline System Analysis'!Z12</f>
        <v>30.6</v>
      </c>
      <c r="AA12" s="53">
        <f>'Baseline System Analysis'!AA12</f>
        <v>32.200000000000003</v>
      </c>
      <c r="AB12" s="53">
        <f>'Baseline System Analysis'!AB12</f>
        <v>33.800000000000004</v>
      </c>
      <c r="AC12" s="53">
        <f>'Baseline System Analysis'!AC12</f>
        <v>35.400000000000006</v>
      </c>
      <c r="AD12" s="53">
        <f>'Baseline System Analysis'!AD12</f>
        <v>37</v>
      </c>
    </row>
    <row r="13" spans="1:30" s="52" customFormat="1" x14ac:dyDescent="0.35">
      <c r="A13" s="72" t="s">
        <v>30</v>
      </c>
      <c r="B13" s="176"/>
      <c r="C13" s="72" t="s">
        <v>108</v>
      </c>
      <c r="D13" s="53">
        <f>'Baseline System Analysis'!D13</f>
        <v>5445.825674993449</v>
      </c>
      <c r="E13" s="53">
        <f>'Baseline System Analysis'!E13</f>
        <v>7241.293555071361</v>
      </c>
      <c r="F13" s="53">
        <f>'Baseline System Analysis'!F13</f>
        <v>9036.7614351492721</v>
      </c>
      <c r="G13" s="53">
        <f>'Baseline System Analysis'!G13</f>
        <v>10832.229315227183</v>
      </c>
      <c r="H13" s="53">
        <f>'Baseline System Analysis'!H13</f>
        <v>12627.697195305094</v>
      </c>
      <c r="I13" s="53">
        <f>'Baseline System Analysis'!I13</f>
        <v>14423.165075383005</v>
      </c>
      <c r="J13" s="53">
        <f>'Baseline System Analysis'!J13</f>
        <v>16218.632955460916</v>
      </c>
      <c r="K13" s="53">
        <f>'Baseline System Analysis'!K13</f>
        <v>15620.143662101613</v>
      </c>
      <c r="L13" s="53">
        <f>'Baseline System Analysis'!L13</f>
        <v>15021.654368742309</v>
      </c>
      <c r="M13" s="53">
        <f>'Baseline System Analysis'!M13</f>
        <v>13525.43113534405</v>
      </c>
      <c r="N13" s="53">
        <f>'Baseline System Analysis'!N13</f>
        <v>14423.165075383005</v>
      </c>
      <c r="O13" s="53">
        <f>'Baseline System Analysis'!O13</f>
        <v>16913.232955460899</v>
      </c>
      <c r="P13" s="53">
        <f>'Baseline System Analysis'!P13</f>
        <v>17831.369243247562</v>
      </c>
      <c r="Q13" s="53">
        <f>'Baseline System Analysis'!Q13</f>
        <v>18749.505531034225</v>
      </c>
      <c r="R13" s="53">
        <f>'Baseline System Analysis'!R13</f>
        <v>19667.641818820888</v>
      </c>
      <c r="S13" s="53">
        <f>'Baseline System Analysis'!S13</f>
        <v>20585.778106607551</v>
      </c>
      <c r="T13" s="53">
        <f>'Baseline System Analysis'!T13</f>
        <v>21503.914394394214</v>
      </c>
      <c r="U13" s="53">
        <f>'Baseline System Analysis'!U13</f>
        <v>22422.050682180878</v>
      </c>
      <c r="V13" s="53">
        <f>'Baseline System Analysis'!V13</f>
        <v>23340.186969967541</v>
      </c>
      <c r="W13" s="53">
        <f>'Baseline System Analysis'!W13</f>
        <v>24258.323257754204</v>
      </c>
      <c r="X13" s="53">
        <f>'Baseline System Analysis'!X13</f>
        <v>25176.459545540867</v>
      </c>
      <c r="Y13" s="53">
        <f>'Baseline System Analysis'!Y13</f>
        <v>26094.59583332753</v>
      </c>
      <c r="Z13" s="53">
        <f>'Baseline System Analysis'!Z13</f>
        <v>27012.732121114193</v>
      </c>
      <c r="AA13" s="53">
        <f>'Baseline System Analysis'!AA13</f>
        <v>27930.868408900857</v>
      </c>
      <c r="AB13" s="53">
        <f>'Baseline System Analysis'!AB13</f>
        <v>28849.00469668752</v>
      </c>
      <c r="AC13" s="53">
        <f>'Baseline System Analysis'!AC13</f>
        <v>29767.140984474183</v>
      </c>
      <c r="AD13" s="53">
        <f>'Baseline System Analysis'!AD13</f>
        <v>30685.277272260842</v>
      </c>
    </row>
    <row r="14" spans="1:30" s="52" customFormat="1" x14ac:dyDescent="0.35">
      <c r="A14" s="72" t="s">
        <v>30</v>
      </c>
      <c r="B14" s="176"/>
      <c r="C14" s="72" t="s">
        <v>109</v>
      </c>
      <c r="D14" s="53">
        <f>'Baseline System Analysis'!D14</f>
        <v>192864.66620394157</v>
      </c>
      <c r="E14" s="53">
        <f>'Baseline System Analysis'!E14</f>
        <v>195239.2419650236</v>
      </c>
      <c r="F14" s="53">
        <f>'Baseline System Analysis'!F14</f>
        <v>196366.76544203321</v>
      </c>
      <c r="G14" s="53">
        <f>'Baseline System Analysis'!G14</f>
        <v>197525.37556068008</v>
      </c>
      <c r="H14" s="53">
        <f>'Baseline System Analysis'!H14</f>
        <v>198743.92387830256</v>
      </c>
      <c r="I14" s="53">
        <f>'Baseline System Analysis'!I14</f>
        <v>200140.93841202525</v>
      </c>
      <c r="J14" s="53">
        <f>'Baseline System Analysis'!J14</f>
        <v>201537.7102617296</v>
      </c>
      <c r="K14" s="53">
        <f>'Baseline System Analysis'!K14</f>
        <v>200616.89493678272</v>
      </c>
      <c r="L14" s="53">
        <f>'Baseline System Analysis'!L14</f>
        <v>199696.14928779242</v>
      </c>
      <c r="M14" s="53">
        <f>'Baseline System Analysis'!M14</f>
        <v>198775.23322502323</v>
      </c>
      <c r="N14" s="53">
        <f>'Baseline System Analysis'!N14</f>
        <v>200250.33489773443</v>
      </c>
      <c r="O14" s="53">
        <f>'Baseline System Analysis'!O14</f>
        <v>201766.1654636735</v>
      </c>
      <c r="P14" s="53">
        <f>'Baseline System Analysis'!P14</f>
        <v>203325.96278464468</v>
      </c>
      <c r="Q14" s="53">
        <f>'Baseline System Analysis'!Q14</f>
        <v>204856.96017693213</v>
      </c>
      <c r="R14" s="53">
        <f>'Baseline System Analysis'!R14</f>
        <v>206421.18825616254</v>
      </c>
      <c r="S14" s="53">
        <f>'Baseline System Analysis'!S14</f>
        <v>208013.70502273936</v>
      </c>
      <c r="T14" s="53">
        <f>'Baseline System Analysis'!T14</f>
        <v>209643.37199318074</v>
      </c>
      <c r="U14" s="53">
        <f>'Baseline System Analysis'!U14</f>
        <v>211125.2902170599</v>
      </c>
      <c r="V14" s="53">
        <f>'Baseline System Analysis'!V14</f>
        <v>212613.854578328</v>
      </c>
      <c r="W14" s="53">
        <f>'Baseline System Analysis'!W14</f>
        <v>214101.90769825791</v>
      </c>
      <c r="X14" s="53">
        <f>'Baseline System Analysis'!X14</f>
        <v>215599.50398982322</v>
      </c>
      <c r="Y14" s="53">
        <f>'Baseline System Analysis'!Y14</f>
        <v>216849.14823265999</v>
      </c>
      <c r="Z14" s="53">
        <f>'Baseline System Analysis'!Z14</f>
        <v>218069.3108916957</v>
      </c>
      <c r="AA14" s="53">
        <f>'Baseline System Analysis'!AA14</f>
        <v>219248.74465750376</v>
      </c>
      <c r="AB14" s="53">
        <f>'Baseline System Analysis'!AB14</f>
        <v>220395.79980526475</v>
      </c>
      <c r="AC14" s="53">
        <f>'Baseline System Analysis'!AC14</f>
        <v>221214.46760051764</v>
      </c>
      <c r="AD14" s="53">
        <f>'Baseline System Analysis'!AD14</f>
        <v>221946.05395460132</v>
      </c>
    </row>
    <row r="15" spans="1:30" s="52" customFormat="1" x14ac:dyDescent="0.35">
      <c r="A15" s="72" t="s">
        <v>30</v>
      </c>
      <c r="B15" s="176"/>
      <c r="C15" s="72" t="s">
        <v>110</v>
      </c>
      <c r="D15" s="53">
        <f>'Baseline System Analysis'!D15</f>
        <v>57814.1637958055</v>
      </c>
      <c r="E15" s="53">
        <f>'Baseline System Analysis'!E15</f>
        <v>62191.746894023359</v>
      </c>
      <c r="F15" s="53">
        <f>'Baseline System Analysis'!F15</f>
        <v>64361.105239567863</v>
      </c>
      <c r="G15" s="53">
        <f>'Baseline System Analysis'!G15</f>
        <v>66628.501001105484</v>
      </c>
      <c r="H15" s="53">
        <f>'Baseline System Analysis'!H15</f>
        <v>69068.22672153436</v>
      </c>
      <c r="I15" s="53">
        <f>'Baseline System Analysis'!I15</f>
        <v>71918.961016641551</v>
      </c>
      <c r="J15" s="53">
        <f>'Baseline System Analysis'!J15</f>
        <v>74820.679205256296</v>
      </c>
      <c r="K15" s="53">
        <f>'Baseline System Analysis'!K15</f>
        <v>72899.28225345345</v>
      </c>
      <c r="L15" s="53">
        <f>'Baseline System Analysis'!L15</f>
        <v>71006.352594376862</v>
      </c>
      <c r="M15" s="53">
        <f>'Baseline System Analysis'!M15</f>
        <v>69131.616141376318</v>
      </c>
      <c r="N15" s="53">
        <f>'Baseline System Analysis'!N15</f>
        <v>72143.764963991809</v>
      </c>
      <c r="O15" s="53">
        <f>'Baseline System Analysis'!O15</f>
        <v>75301.925896232133</v>
      </c>
      <c r="P15" s="53">
        <f>'Baseline System Analysis'!P15</f>
        <v>78629.627518656707</v>
      </c>
      <c r="Q15" s="53">
        <f>'Baseline System Analysis'!Q15</f>
        <v>81951.057574073071</v>
      </c>
      <c r="R15" s="53">
        <f>'Baseline System Analysis'!R15</f>
        <v>85383.424638269789</v>
      </c>
      <c r="S15" s="53">
        <f>'Baseline System Analysis'!S15</f>
        <v>88945.971119594135</v>
      </c>
      <c r="T15" s="53">
        <f>'Baseline System Analysis'!T15</f>
        <v>92676.895920951385</v>
      </c>
      <c r="U15" s="53">
        <f>'Baseline System Analysis'!U15</f>
        <v>96145.729908431153</v>
      </c>
      <c r="V15" s="53">
        <f>'Baseline System Analysis'!V15</f>
        <v>99700.858162341799</v>
      </c>
      <c r="W15" s="53">
        <f>'Baseline System Analysis'!W15</f>
        <v>103340.20977892888</v>
      </c>
      <c r="X15" s="53">
        <f>'Baseline System Analysis'!X15</f>
        <v>107065.51818072386</v>
      </c>
      <c r="Y15" s="53">
        <f>'Baseline System Analysis'!Y15</f>
        <v>110237.64392344528</v>
      </c>
      <c r="Z15" s="53">
        <f>'Baseline System Analysis'!Z15</f>
        <v>113355.67104643886</v>
      </c>
      <c r="AA15" s="53">
        <f>'Baseline System Analysis'!AA15</f>
        <v>116394.79841235251</v>
      </c>
      <c r="AB15" s="53">
        <f>'Baseline System Analysis'!AB15</f>
        <v>119393.94598127359</v>
      </c>
      <c r="AC15" s="53">
        <f>'Baseline System Analysis'!AC15</f>
        <v>121552.79504833522</v>
      </c>
      <c r="AD15" s="53">
        <f>'Baseline System Analysis'!AD15</f>
        <v>123501.36707164065</v>
      </c>
    </row>
    <row r="17" spans="1:30" ht="20" thickBot="1" x14ac:dyDescent="0.5">
      <c r="A17" s="113"/>
      <c r="B17" s="122"/>
      <c r="C17" s="113" t="s">
        <v>105</v>
      </c>
      <c r="D17" s="113">
        <v>2022</v>
      </c>
      <c r="E17" s="113">
        <v>2023</v>
      </c>
      <c r="F17" s="113">
        <v>2024</v>
      </c>
      <c r="G17" s="113">
        <v>2025</v>
      </c>
      <c r="H17" s="113">
        <v>2026</v>
      </c>
      <c r="I17" s="113">
        <v>2027</v>
      </c>
      <c r="J17" s="113">
        <v>2028</v>
      </c>
      <c r="K17" s="113">
        <v>2029</v>
      </c>
      <c r="L17" s="113">
        <v>2030</v>
      </c>
      <c r="M17" s="113">
        <v>2031</v>
      </c>
      <c r="N17" s="113">
        <v>2032</v>
      </c>
      <c r="O17" s="113">
        <v>2033</v>
      </c>
      <c r="P17" s="113">
        <v>2034</v>
      </c>
      <c r="Q17" s="113">
        <v>2035</v>
      </c>
      <c r="R17" s="113">
        <v>2036</v>
      </c>
      <c r="S17" s="113">
        <v>2037</v>
      </c>
      <c r="T17" s="113">
        <v>2038</v>
      </c>
      <c r="U17" s="113">
        <v>2039</v>
      </c>
      <c r="V17" s="113">
        <v>2040</v>
      </c>
      <c r="W17" s="113">
        <v>2041</v>
      </c>
      <c r="X17" s="113">
        <v>2042</v>
      </c>
      <c r="Y17" s="113">
        <v>2043</v>
      </c>
      <c r="Z17" s="113">
        <v>2044</v>
      </c>
      <c r="AA17" s="113">
        <v>2045</v>
      </c>
      <c r="AB17" s="113">
        <v>2046</v>
      </c>
      <c r="AC17" s="113">
        <v>2047</v>
      </c>
      <c r="AD17" s="113">
        <v>2048</v>
      </c>
    </row>
    <row r="18" spans="1:30" ht="60.65" customHeight="1" thickTop="1" x14ac:dyDescent="0.35">
      <c r="A18" s="72"/>
      <c r="B18" s="179" t="s">
        <v>21</v>
      </c>
      <c r="C18" s="72" t="s">
        <v>107</v>
      </c>
      <c r="D18" s="53">
        <v>49328.200000000405</v>
      </c>
      <c r="E18" s="53">
        <v>49736.291346154219</v>
      </c>
      <c r="F18" s="53">
        <v>50144.382692308034</v>
      </c>
      <c r="G18" s="53">
        <v>50552.474038461849</v>
      </c>
      <c r="H18" s="53">
        <v>50960.565384615664</v>
      </c>
      <c r="I18" s="53">
        <v>51368.656730769479</v>
      </c>
      <c r="J18" s="53">
        <v>51776.748076923293</v>
      </c>
      <c r="K18" s="53">
        <v>51088.999999999942</v>
      </c>
      <c r="L18" s="53">
        <v>50877.450000000033</v>
      </c>
      <c r="M18" s="53">
        <v>50664.200000000375</v>
      </c>
      <c r="N18" s="53">
        <v>51004.824999999888</v>
      </c>
      <c r="O18" s="53">
        <v>51341.95156249986</v>
      </c>
      <c r="P18" s="53">
        <v>51679.078124999833</v>
      </c>
      <c r="Q18" s="53">
        <v>52016.204687499805</v>
      </c>
      <c r="R18" s="53">
        <v>52353.331249999777</v>
      </c>
      <c r="S18" s="53">
        <v>52690.45781249975</v>
      </c>
      <c r="T18" s="53">
        <v>53027.584374999722</v>
      </c>
      <c r="U18" s="53">
        <v>53364.710937499694</v>
      </c>
      <c r="V18" s="53">
        <v>53701.837499999667</v>
      </c>
      <c r="W18" s="53">
        <v>54038.964062499639</v>
      </c>
      <c r="X18" s="53">
        <v>54376.090624999611</v>
      </c>
      <c r="Y18" s="53">
        <v>54713.217187499584</v>
      </c>
      <c r="Z18" s="53">
        <v>55050.343749999556</v>
      </c>
      <c r="AA18" s="53">
        <v>55387.470312499529</v>
      </c>
      <c r="AB18" s="53">
        <v>55724.596874999501</v>
      </c>
      <c r="AC18" s="53">
        <v>56061.723437499473</v>
      </c>
      <c r="AD18" s="53">
        <v>56398.849999999438</v>
      </c>
    </row>
    <row r="19" spans="1:30" x14ac:dyDescent="0.35">
      <c r="A19" s="72" t="s">
        <v>30</v>
      </c>
      <c r="B19" s="180"/>
      <c r="C19" s="72" t="s">
        <v>31</v>
      </c>
      <c r="D19" s="53">
        <v>5.7999999999999829</v>
      </c>
      <c r="E19" s="53">
        <v>14.48333333333332</v>
      </c>
      <c r="F19" s="53">
        <v>23.166666666666657</v>
      </c>
      <c r="G19" s="53">
        <v>31.849999999999994</v>
      </c>
      <c r="H19" s="53">
        <v>40.533333333333331</v>
      </c>
      <c r="I19" s="53">
        <v>49.216666666666669</v>
      </c>
      <c r="J19" s="53">
        <v>57.900000000000006</v>
      </c>
      <c r="K19" s="53">
        <v>52.5</v>
      </c>
      <c r="L19" s="53">
        <v>44.099999999999966</v>
      </c>
      <c r="M19" s="53">
        <v>35.900000000000006</v>
      </c>
      <c r="N19" s="53">
        <v>48.499999999999972</v>
      </c>
      <c r="O19" s="53">
        <v>61.10000000000008</v>
      </c>
      <c r="P19" s="53">
        <v>82.380000000000067</v>
      </c>
      <c r="Q19" s="53">
        <v>103.66000000000005</v>
      </c>
      <c r="R19" s="53">
        <v>124.94000000000004</v>
      </c>
      <c r="S19" s="53">
        <v>146.22000000000003</v>
      </c>
      <c r="T19" s="53">
        <v>167.5</v>
      </c>
      <c r="U19" s="53">
        <v>220.02</v>
      </c>
      <c r="V19" s="53">
        <v>272.54000000000002</v>
      </c>
      <c r="W19" s="53">
        <v>325.06</v>
      </c>
      <c r="X19" s="53">
        <v>377.58</v>
      </c>
      <c r="Y19" s="53">
        <v>430.1</v>
      </c>
      <c r="Z19" s="53">
        <v>490.70000000000005</v>
      </c>
      <c r="AA19" s="53">
        <v>551.30000000000007</v>
      </c>
      <c r="AB19" s="53">
        <v>611.90000000000009</v>
      </c>
      <c r="AC19" s="53">
        <v>672.50000000000011</v>
      </c>
      <c r="AD19" s="53">
        <v>733.1</v>
      </c>
    </row>
    <row r="20" spans="1:30" x14ac:dyDescent="0.35">
      <c r="A20" s="72" t="s">
        <v>30</v>
      </c>
      <c r="B20" s="180"/>
      <c r="C20" s="72" t="s">
        <v>32</v>
      </c>
      <c r="D20" s="53">
        <v>3</v>
      </c>
      <c r="E20" s="53">
        <v>4.916666666666667</v>
      </c>
      <c r="F20" s="53">
        <v>6.8333333333333339</v>
      </c>
      <c r="G20" s="53">
        <v>8.75</v>
      </c>
      <c r="H20" s="53">
        <v>10.666666666666666</v>
      </c>
      <c r="I20" s="53">
        <v>12.583333333333332</v>
      </c>
      <c r="J20" s="53">
        <v>14.5</v>
      </c>
      <c r="K20" s="53">
        <v>13.5</v>
      </c>
      <c r="L20" s="53">
        <v>11.800000000000011</v>
      </c>
      <c r="M20" s="53">
        <v>10.100000000000023</v>
      </c>
      <c r="N20" s="53">
        <v>12.899999999999977</v>
      </c>
      <c r="O20" s="53">
        <v>15.100000000000023</v>
      </c>
      <c r="P20" s="53">
        <v>17.260000000000012</v>
      </c>
      <c r="Q20" s="53">
        <v>19.420000000000002</v>
      </c>
      <c r="R20" s="53">
        <v>21.579999999999991</v>
      </c>
      <c r="S20" s="53">
        <v>23.739999999999981</v>
      </c>
      <c r="T20" s="53">
        <v>25.899999999999977</v>
      </c>
      <c r="U20" s="53">
        <v>27.819999999999983</v>
      </c>
      <c r="V20" s="53">
        <v>29.739999999999988</v>
      </c>
      <c r="W20" s="53">
        <v>31.659999999999993</v>
      </c>
      <c r="X20" s="53">
        <v>33.58</v>
      </c>
      <c r="Y20" s="53">
        <v>35.5</v>
      </c>
      <c r="Z20" s="53">
        <v>36.58</v>
      </c>
      <c r="AA20" s="53">
        <v>37.659999999999997</v>
      </c>
      <c r="AB20" s="53">
        <v>38.739999999999995</v>
      </c>
      <c r="AC20" s="53">
        <v>39.819999999999993</v>
      </c>
      <c r="AD20" s="53">
        <v>40.899999999999977</v>
      </c>
    </row>
    <row r="21" spans="1:30" x14ac:dyDescent="0.35">
      <c r="A21" s="72" t="s">
        <v>30</v>
      </c>
      <c r="B21" s="180"/>
      <c r="C21" s="72" t="s">
        <v>33</v>
      </c>
      <c r="D21" s="53">
        <v>1.589413014335395E-2</v>
      </c>
      <c r="E21" s="53">
        <v>8.3763892766986259E-2</v>
      </c>
      <c r="F21" s="53">
        <v>0.15163365539061857</v>
      </c>
      <c r="G21" s="53">
        <v>0.21950341801425088</v>
      </c>
      <c r="H21" s="53">
        <v>0.2873731806378832</v>
      </c>
      <c r="I21" s="53">
        <v>0.35524294326151551</v>
      </c>
      <c r="J21" s="53">
        <v>0.42311270588514782</v>
      </c>
      <c r="K21" s="53">
        <v>0.33569499009670084</v>
      </c>
      <c r="L21" s="53">
        <v>0.28198379168122845</v>
      </c>
      <c r="M21" s="53">
        <v>0.19675836970565813</v>
      </c>
      <c r="N21" s="53">
        <v>0.31011822894647584</v>
      </c>
      <c r="O21" s="53">
        <v>0.44649717322249682</v>
      </c>
      <c r="P21" s="53">
        <v>0.87624427563870033</v>
      </c>
      <c r="Q21" s="53">
        <v>1.305991378054904</v>
      </c>
      <c r="R21" s="53">
        <v>1.7357384804711073</v>
      </c>
      <c r="S21" s="53">
        <v>2.1654855828873107</v>
      </c>
      <c r="T21" s="53">
        <v>2.5952326853035141</v>
      </c>
      <c r="U21" s="53">
        <v>4.3787527413114233</v>
      </c>
      <c r="V21" s="53">
        <v>6.162272797319333</v>
      </c>
      <c r="W21" s="53">
        <v>7.9457928533272426</v>
      </c>
      <c r="X21" s="53">
        <v>9.7293129093351514</v>
      </c>
      <c r="Y21" s="53">
        <v>11.512832965343062</v>
      </c>
      <c r="Z21" s="53">
        <v>14.811529356203364</v>
      </c>
      <c r="AA21" s="53">
        <v>18.110225747063666</v>
      </c>
      <c r="AB21" s="53">
        <v>21.408922137923966</v>
      </c>
      <c r="AC21" s="53">
        <v>24.707618528784266</v>
      </c>
      <c r="AD21" s="53">
        <v>28.00631491964457</v>
      </c>
    </row>
    <row r="22" spans="1:30" x14ac:dyDescent="0.35">
      <c r="A22" s="72" t="s">
        <v>30</v>
      </c>
      <c r="B22" s="180"/>
      <c r="C22" s="72" t="s">
        <v>34</v>
      </c>
      <c r="D22" s="53">
        <v>5.2980433811179832E-3</v>
      </c>
      <c r="E22" s="53">
        <v>1.3229884190205566E-2</v>
      </c>
      <c r="F22" s="53">
        <v>2.1161724999293148E-2</v>
      </c>
      <c r="G22" s="53">
        <v>2.9093565808380732E-2</v>
      </c>
      <c r="H22" s="53">
        <v>3.7025406617468316E-2</v>
      </c>
      <c r="I22" s="53">
        <v>4.4957247426555901E-2</v>
      </c>
      <c r="J22" s="53">
        <v>5.2889088235643478E-2</v>
      </c>
      <c r="K22" s="53">
        <v>4.7956427156671547E-2</v>
      </c>
      <c r="L22" s="53">
        <v>4.0283398811604067E-2</v>
      </c>
      <c r="M22" s="53">
        <v>3.2793061617609691E-2</v>
      </c>
      <c r="N22" s="53">
        <v>4.4302604135210831E-2</v>
      </c>
      <c r="O22" s="53">
        <v>5.5812146652812103E-2</v>
      </c>
      <c r="P22" s="53">
        <v>7.5253192874087688E-2</v>
      </c>
      <c r="Q22" s="53">
        <v>9.4694239095363286E-2</v>
      </c>
      <c r="R22" s="53">
        <v>0.11413528531663888</v>
      </c>
      <c r="S22" s="53">
        <v>0.13357633153791448</v>
      </c>
      <c r="T22" s="53">
        <v>0.15301737775919005</v>
      </c>
      <c r="U22" s="53">
        <v>0.20155147472899532</v>
      </c>
      <c r="V22" s="53">
        <v>0.25008557169880058</v>
      </c>
      <c r="W22" s="53">
        <v>0.29861966866860584</v>
      </c>
      <c r="X22" s="53">
        <v>0.3471537656384111</v>
      </c>
      <c r="Y22" s="53">
        <v>0.39568786260821631</v>
      </c>
      <c r="Z22" s="53">
        <v>0.45221430727952383</v>
      </c>
      <c r="AA22" s="53">
        <v>0.50874075195083135</v>
      </c>
      <c r="AB22" s="53">
        <v>0.56526719662213887</v>
      </c>
      <c r="AC22" s="53">
        <v>0.62179364129344639</v>
      </c>
      <c r="AD22" s="53">
        <v>0.67832008596475402</v>
      </c>
    </row>
    <row r="23" spans="1:30" x14ac:dyDescent="0.35">
      <c r="A23" s="72" t="s">
        <v>30</v>
      </c>
      <c r="B23" s="180"/>
      <c r="C23" s="72" t="s">
        <v>35</v>
      </c>
      <c r="D23" s="53">
        <v>3</v>
      </c>
      <c r="E23" s="53">
        <v>3.8333333333333335</v>
      </c>
      <c r="F23" s="53">
        <v>4.666666666666667</v>
      </c>
      <c r="G23" s="53">
        <v>5.5</v>
      </c>
      <c r="H23" s="53">
        <v>6.333333333333333</v>
      </c>
      <c r="I23" s="53">
        <v>7.1666666666666661</v>
      </c>
      <c r="J23" s="53">
        <v>8</v>
      </c>
      <c r="K23" s="53">
        <v>7</v>
      </c>
      <c r="L23" s="53">
        <v>6.9999999999999991</v>
      </c>
      <c r="M23" s="53">
        <v>6</v>
      </c>
      <c r="N23" s="53">
        <v>7</v>
      </c>
      <c r="O23" s="53">
        <v>8</v>
      </c>
      <c r="P23" s="53">
        <v>9.8000000000000007</v>
      </c>
      <c r="Q23" s="53">
        <v>11.600000000000001</v>
      </c>
      <c r="R23" s="53">
        <v>13.400000000000002</v>
      </c>
      <c r="S23" s="53">
        <v>15.200000000000003</v>
      </c>
      <c r="T23" s="53">
        <v>17</v>
      </c>
      <c r="U23" s="53">
        <v>19.600000000000001</v>
      </c>
      <c r="V23" s="53">
        <v>22.200000000000003</v>
      </c>
      <c r="W23" s="53">
        <v>24.800000000000004</v>
      </c>
      <c r="X23" s="53">
        <v>27.400000000000006</v>
      </c>
      <c r="Y23" s="53">
        <v>30</v>
      </c>
      <c r="Z23" s="53">
        <v>32.799999999999997</v>
      </c>
      <c r="AA23" s="53">
        <v>35.599999999999994</v>
      </c>
      <c r="AB23" s="53">
        <v>38.399999999999991</v>
      </c>
      <c r="AC23" s="53">
        <v>41.199999999999989</v>
      </c>
      <c r="AD23" s="53">
        <v>44</v>
      </c>
    </row>
    <row r="24" spans="1:30" x14ac:dyDescent="0.35">
      <c r="A24" s="72" t="s">
        <v>30</v>
      </c>
      <c r="B24" s="180"/>
      <c r="C24" s="72" t="s">
        <v>108</v>
      </c>
      <c r="D24" s="53">
        <v>3808.3606649666053</v>
      </c>
      <c r="E24" s="53">
        <v>5063.9625989576198</v>
      </c>
      <c r="F24" s="53">
        <v>6319.5645329486342</v>
      </c>
      <c r="G24" s="53">
        <v>7575.1664669396487</v>
      </c>
      <c r="H24" s="53">
        <v>8830.7684009306613</v>
      </c>
      <c r="I24" s="53">
        <v>10086.370334921676</v>
      </c>
      <c r="J24" s="53">
        <v>11341.97226891269</v>
      </c>
      <c r="K24" s="53">
        <v>10868.455604166578</v>
      </c>
      <c r="L24" s="53">
        <v>10394.938939420466</v>
      </c>
      <c r="M24" s="53">
        <v>9921.4222746743526</v>
      </c>
      <c r="N24" s="53">
        <v>10158.180607047409</v>
      </c>
      <c r="O24" s="53">
        <v>11732.447696763189</v>
      </c>
      <c r="P24" s="53">
        <v>12452.819245108331</v>
      </c>
      <c r="Q24" s="53">
        <v>13173.190793453474</v>
      </c>
      <c r="R24" s="53">
        <v>13893.562341798617</v>
      </c>
      <c r="S24" s="53">
        <v>14613.933890143759</v>
      </c>
      <c r="T24" s="53">
        <v>15334.3054384889</v>
      </c>
      <c r="U24" s="53">
        <v>16054.676986834043</v>
      </c>
      <c r="V24" s="53">
        <v>16775.048535179187</v>
      </c>
      <c r="W24" s="53">
        <v>17495.420083524328</v>
      </c>
      <c r="X24" s="53">
        <v>18215.79163186947</v>
      </c>
      <c r="Y24" s="53">
        <v>18936.163180214615</v>
      </c>
      <c r="Z24" s="53">
        <v>19656.534728559756</v>
      </c>
      <c r="AA24" s="53">
        <v>20376.906276904898</v>
      </c>
      <c r="AB24" s="53">
        <v>21097.277825250039</v>
      </c>
      <c r="AC24" s="53">
        <v>21817.649373595181</v>
      </c>
      <c r="AD24" s="53">
        <v>22538.02092194033</v>
      </c>
    </row>
    <row r="25" spans="1:30" x14ac:dyDescent="0.35">
      <c r="A25" s="72" t="s">
        <v>30</v>
      </c>
      <c r="B25" s="180"/>
      <c r="C25" s="72" t="s">
        <v>109</v>
      </c>
      <c r="D25" s="53">
        <v>192864.66620394157</v>
      </c>
      <c r="E25" s="53">
        <v>195239.2419650236</v>
      </c>
      <c r="F25" s="53">
        <v>196366.76544203321</v>
      </c>
      <c r="G25" s="53">
        <v>197525.37556068008</v>
      </c>
      <c r="H25" s="53">
        <v>198743.92387830256</v>
      </c>
      <c r="I25" s="53">
        <v>200140.93841202525</v>
      </c>
      <c r="J25" s="53">
        <v>201537.7102617296</v>
      </c>
      <c r="K25" s="53">
        <v>200616.89493678272</v>
      </c>
      <c r="L25" s="53">
        <v>199696.14928779242</v>
      </c>
      <c r="M25" s="53">
        <v>198775.23322502323</v>
      </c>
      <c r="N25" s="53">
        <v>200250.33489773443</v>
      </c>
      <c r="O25" s="53">
        <v>201766.1654636735</v>
      </c>
      <c r="P25" s="53">
        <v>203325.96278464468</v>
      </c>
      <c r="Q25" s="53">
        <v>204856.96017693213</v>
      </c>
      <c r="R25" s="53">
        <v>206421.18825616254</v>
      </c>
      <c r="S25" s="53">
        <v>208013.70502273936</v>
      </c>
      <c r="T25" s="53">
        <v>209643.37199318074</v>
      </c>
      <c r="U25" s="53">
        <v>211125.2902170599</v>
      </c>
      <c r="V25" s="53">
        <v>212613.854578328</v>
      </c>
      <c r="W25" s="53">
        <v>214101.90769825791</v>
      </c>
      <c r="X25" s="53">
        <v>215599.50398982322</v>
      </c>
      <c r="Y25" s="53">
        <v>216849.14823265999</v>
      </c>
      <c r="Z25" s="53">
        <v>218069.3108916957</v>
      </c>
      <c r="AA25" s="53">
        <v>219248.74465750376</v>
      </c>
      <c r="AB25" s="53">
        <v>220395.79980526475</v>
      </c>
      <c r="AC25" s="53">
        <v>221214.46760051764</v>
      </c>
      <c r="AD25" s="53">
        <v>221946.05395460132</v>
      </c>
    </row>
    <row r="26" spans="1:30" s="66" customFormat="1" x14ac:dyDescent="0.35">
      <c r="A26" s="72" t="s">
        <v>30</v>
      </c>
      <c r="B26" s="180"/>
      <c r="C26" s="72" t="s">
        <v>110</v>
      </c>
      <c r="D26" s="53">
        <v>15863.846476217259</v>
      </c>
      <c r="E26" s="53">
        <v>17648.293767042403</v>
      </c>
      <c r="F26" s="53">
        <v>18532.244523148096</v>
      </c>
      <c r="G26" s="53">
        <v>19475.148233995918</v>
      </c>
      <c r="H26" s="53">
        <v>20493.678762344603</v>
      </c>
      <c r="I26" s="53">
        <v>21703.196239143919</v>
      </c>
      <c r="J26" s="53">
        <v>22945.987241384046</v>
      </c>
      <c r="K26" s="53">
        <v>22121.167384204149</v>
      </c>
      <c r="L26" s="53">
        <v>21313.216847513409</v>
      </c>
      <c r="M26" s="53">
        <v>20520.343055199748</v>
      </c>
      <c r="N26" s="53">
        <v>21799.181944671545</v>
      </c>
      <c r="O26" s="53">
        <v>23155.160797144639</v>
      </c>
      <c r="P26" s="53">
        <v>24606.212858334246</v>
      </c>
      <c r="Q26" s="53">
        <v>26062.534655766136</v>
      </c>
      <c r="R26" s="53">
        <v>27614.352629039277</v>
      </c>
      <c r="S26" s="53">
        <v>29256.497034562006</v>
      </c>
      <c r="T26" s="53">
        <v>30979.052125443355</v>
      </c>
      <c r="U26" s="53">
        <v>32583.371772255432</v>
      </c>
      <c r="V26" s="53">
        <v>34238.68977756815</v>
      </c>
      <c r="W26" s="53">
        <v>35926.36101064668</v>
      </c>
      <c r="X26" s="53">
        <v>37681.745153968404</v>
      </c>
      <c r="Y26" s="53">
        <v>39178.670783861744</v>
      </c>
      <c r="Z26" s="53">
        <v>40662.761386946149</v>
      </c>
      <c r="AA26" s="53">
        <v>42131.111721124595</v>
      </c>
      <c r="AB26" s="53">
        <v>43588.039918084593</v>
      </c>
      <c r="AC26" s="53">
        <v>44646.029972745077</v>
      </c>
      <c r="AD26" s="53">
        <v>45597.096228981674</v>
      </c>
    </row>
    <row r="27" spans="1:30" s="66" customFormat="1" x14ac:dyDescent="0.35">
      <c r="A27" s="72" t="s">
        <v>39</v>
      </c>
      <c r="B27" s="180"/>
      <c r="C27" s="72" t="s">
        <v>158</v>
      </c>
      <c r="D27" s="53">
        <v>0</v>
      </c>
      <c r="E27" s="53">
        <v>0</v>
      </c>
      <c r="F27" s="53">
        <v>0</v>
      </c>
      <c r="G27" s="53">
        <v>0</v>
      </c>
      <c r="H27" s="53">
        <v>0</v>
      </c>
      <c r="I27" s="53">
        <v>0</v>
      </c>
      <c r="J27" s="53">
        <v>0</v>
      </c>
      <c r="K27" s="53">
        <v>0</v>
      </c>
      <c r="L27" s="53">
        <v>0</v>
      </c>
      <c r="M27" s="53">
        <v>0</v>
      </c>
      <c r="N27" s="53">
        <v>0</v>
      </c>
      <c r="O27" s="53">
        <v>0</v>
      </c>
      <c r="P27" s="53">
        <v>0</v>
      </c>
      <c r="Q27" s="53">
        <v>0</v>
      </c>
      <c r="R27" s="53">
        <v>0</v>
      </c>
      <c r="S27" s="53">
        <v>0</v>
      </c>
      <c r="T27" s="53">
        <v>0</v>
      </c>
      <c r="U27" s="53">
        <v>0</v>
      </c>
      <c r="V27" s="53">
        <v>0</v>
      </c>
      <c r="W27" s="53">
        <v>0</v>
      </c>
      <c r="X27" s="53">
        <v>0</v>
      </c>
      <c r="Y27" s="53">
        <v>0</v>
      </c>
      <c r="Z27" s="53">
        <v>0</v>
      </c>
      <c r="AA27" s="53">
        <v>0</v>
      </c>
      <c r="AB27" s="53">
        <v>0</v>
      </c>
      <c r="AC27" s="53">
        <v>0</v>
      </c>
      <c r="AD27" s="53">
        <v>0</v>
      </c>
    </row>
    <row r="28" spans="1:30" x14ac:dyDescent="0.35">
      <c r="A28" s="72" t="s">
        <v>39</v>
      </c>
      <c r="B28" s="180"/>
      <c r="C28" s="72" t="s">
        <v>159</v>
      </c>
      <c r="D28" s="53">
        <v>0</v>
      </c>
      <c r="E28" s="53">
        <v>0</v>
      </c>
      <c r="F28" s="53">
        <v>0</v>
      </c>
      <c r="G28" s="53">
        <v>0</v>
      </c>
      <c r="H28" s="53">
        <v>0</v>
      </c>
      <c r="I28" s="53">
        <v>0</v>
      </c>
      <c r="J28" s="53">
        <v>0</v>
      </c>
      <c r="K28" s="53">
        <v>0</v>
      </c>
      <c r="L28" s="53">
        <v>0</v>
      </c>
      <c r="M28" s="53">
        <v>0</v>
      </c>
      <c r="N28" s="53">
        <v>0</v>
      </c>
      <c r="O28" s="53">
        <v>0</v>
      </c>
      <c r="P28" s="53">
        <v>0</v>
      </c>
      <c r="Q28" s="53">
        <v>0</v>
      </c>
      <c r="R28" s="53">
        <v>0</v>
      </c>
      <c r="S28" s="53">
        <v>0</v>
      </c>
      <c r="T28" s="53"/>
      <c r="U28" s="53"/>
      <c r="V28" s="53">
        <v>0</v>
      </c>
      <c r="W28" s="51">
        <v>0</v>
      </c>
      <c r="X28" s="51">
        <v>0</v>
      </c>
      <c r="Y28" s="53">
        <v>0</v>
      </c>
      <c r="Z28" s="51">
        <v>0</v>
      </c>
      <c r="AA28" s="51">
        <v>1.2000000000000455</v>
      </c>
      <c r="AB28" s="51">
        <v>23.400000000000091</v>
      </c>
      <c r="AC28" s="51">
        <v>45.600000000000136</v>
      </c>
      <c r="AD28" s="53">
        <v>67.800000000000182</v>
      </c>
    </row>
    <row r="29" spans="1:30" x14ac:dyDescent="0.35">
      <c r="A29" s="72" t="s">
        <v>39</v>
      </c>
      <c r="B29" s="180"/>
      <c r="C29" s="72" t="s">
        <v>32</v>
      </c>
      <c r="D29" s="53">
        <v>0</v>
      </c>
      <c r="E29" s="53">
        <v>0</v>
      </c>
      <c r="F29" s="53">
        <v>0</v>
      </c>
      <c r="G29" s="53">
        <v>0</v>
      </c>
      <c r="H29" s="53">
        <v>0</v>
      </c>
      <c r="I29" s="53">
        <v>0</v>
      </c>
      <c r="J29" s="53">
        <v>0</v>
      </c>
      <c r="K29" s="53">
        <v>0</v>
      </c>
      <c r="L29" s="53">
        <v>0</v>
      </c>
      <c r="M29" s="53">
        <v>0</v>
      </c>
      <c r="N29" s="53">
        <v>0</v>
      </c>
      <c r="O29" s="53">
        <v>0</v>
      </c>
      <c r="P29" s="53">
        <v>0</v>
      </c>
      <c r="Q29" s="53">
        <v>0</v>
      </c>
      <c r="R29" s="53">
        <v>0</v>
      </c>
      <c r="S29" s="53">
        <v>0</v>
      </c>
      <c r="T29" s="53">
        <v>0</v>
      </c>
      <c r="U29" s="53">
        <v>0</v>
      </c>
      <c r="V29" s="53">
        <v>0</v>
      </c>
      <c r="W29" s="51">
        <v>0</v>
      </c>
      <c r="X29" s="51">
        <v>0</v>
      </c>
      <c r="Y29" s="53">
        <v>0</v>
      </c>
      <c r="Z29" s="51">
        <v>0</v>
      </c>
      <c r="AA29" s="51">
        <v>1.2000000000000455</v>
      </c>
      <c r="AB29" s="51">
        <v>13.000000000000076</v>
      </c>
      <c r="AC29" s="51">
        <v>24.800000000000107</v>
      </c>
      <c r="AD29" s="53">
        <v>36.600000000000136</v>
      </c>
    </row>
    <row r="30" spans="1:30" x14ac:dyDescent="0.35">
      <c r="A30" s="72" t="s">
        <v>39</v>
      </c>
      <c r="B30" s="180"/>
      <c r="C30" s="72" t="s">
        <v>33</v>
      </c>
      <c r="D30" s="53">
        <v>0</v>
      </c>
      <c r="E30" s="53">
        <v>0</v>
      </c>
      <c r="F30" s="53">
        <v>0</v>
      </c>
      <c r="G30" s="53">
        <v>0</v>
      </c>
      <c r="H30" s="53">
        <v>0</v>
      </c>
      <c r="I30" s="53">
        <v>0</v>
      </c>
      <c r="J30" s="53">
        <v>0</v>
      </c>
      <c r="K30" s="53">
        <v>0</v>
      </c>
      <c r="L30" s="53">
        <v>0</v>
      </c>
      <c r="M30" s="53">
        <v>0</v>
      </c>
      <c r="N30" s="53">
        <v>0</v>
      </c>
      <c r="O30" s="53">
        <v>0</v>
      </c>
      <c r="P30" s="53">
        <v>0</v>
      </c>
      <c r="Q30" s="53">
        <v>0</v>
      </c>
      <c r="R30" s="53">
        <v>0</v>
      </c>
      <c r="S30" s="53">
        <v>0</v>
      </c>
      <c r="T30" s="53">
        <v>0</v>
      </c>
      <c r="U30" s="53">
        <v>0</v>
      </c>
      <c r="V30" s="53">
        <v>0</v>
      </c>
      <c r="W30" s="51">
        <v>0</v>
      </c>
      <c r="X30" s="51">
        <v>0</v>
      </c>
      <c r="Y30" s="53">
        <v>0</v>
      </c>
      <c r="Z30" s="51">
        <v>0</v>
      </c>
      <c r="AA30" s="51">
        <v>1.0437537363604536E-3</v>
      </c>
      <c r="AB30" s="51">
        <v>9.8982645998179575E-2</v>
      </c>
      <c r="AC30" s="51">
        <v>0.1969215382599987</v>
      </c>
      <c r="AD30" s="53">
        <v>0.29486043052181782</v>
      </c>
    </row>
    <row r="31" spans="1:30" x14ac:dyDescent="0.35">
      <c r="A31" s="72" t="s">
        <v>39</v>
      </c>
      <c r="B31" s="180"/>
      <c r="C31" s="72" t="s">
        <v>34</v>
      </c>
      <c r="D31" s="53">
        <v>0</v>
      </c>
      <c r="E31" s="53">
        <v>0</v>
      </c>
      <c r="F31" s="53">
        <v>0</v>
      </c>
      <c r="G31" s="53">
        <v>0</v>
      </c>
      <c r="H31" s="53">
        <v>0</v>
      </c>
      <c r="I31" s="53">
        <v>0</v>
      </c>
      <c r="J31" s="53">
        <v>0</v>
      </c>
      <c r="K31" s="53">
        <v>0</v>
      </c>
      <c r="L31" s="53">
        <v>0</v>
      </c>
      <c r="M31" s="53">
        <v>0</v>
      </c>
      <c r="N31" s="53">
        <v>0</v>
      </c>
      <c r="O31" s="53">
        <v>0</v>
      </c>
      <c r="P31" s="53">
        <v>0</v>
      </c>
      <c r="Q31" s="53">
        <v>0</v>
      </c>
      <c r="R31" s="53">
        <v>0</v>
      </c>
      <c r="S31" s="53">
        <v>0</v>
      </c>
      <c r="T31" s="53">
        <v>0</v>
      </c>
      <c r="U31" s="53">
        <v>0</v>
      </c>
      <c r="V31" s="53">
        <v>0</v>
      </c>
      <c r="W31" s="51">
        <v>0</v>
      </c>
      <c r="X31" s="51">
        <v>0</v>
      </c>
      <c r="Y31" s="53">
        <v>0</v>
      </c>
      <c r="Z31" s="51">
        <v>0</v>
      </c>
      <c r="AA31" s="51">
        <v>1.0437537363604536E-3</v>
      </c>
      <c r="AB31" s="51">
        <v>2.0353197859028154E-2</v>
      </c>
      <c r="AC31" s="51">
        <v>3.9662641981695855E-2</v>
      </c>
      <c r="AD31" s="53">
        <v>5.8972086104363559E-2</v>
      </c>
    </row>
    <row r="32" spans="1:30" x14ac:dyDescent="0.35">
      <c r="A32" s="72" t="s">
        <v>39</v>
      </c>
      <c r="B32" s="180"/>
      <c r="C32" s="72" t="s">
        <v>35</v>
      </c>
      <c r="D32" s="53">
        <v>0</v>
      </c>
      <c r="E32" s="53">
        <v>0</v>
      </c>
      <c r="F32" s="53">
        <v>0</v>
      </c>
      <c r="G32" s="53">
        <v>0</v>
      </c>
      <c r="H32" s="53">
        <v>0</v>
      </c>
      <c r="I32" s="53">
        <v>0</v>
      </c>
      <c r="J32" s="53">
        <v>0</v>
      </c>
      <c r="K32" s="53">
        <v>0</v>
      </c>
      <c r="L32" s="53">
        <v>0</v>
      </c>
      <c r="M32" s="53">
        <v>0</v>
      </c>
      <c r="N32" s="53">
        <v>0</v>
      </c>
      <c r="O32" s="53">
        <v>0</v>
      </c>
      <c r="P32" s="53">
        <v>0</v>
      </c>
      <c r="Q32" s="53">
        <v>0</v>
      </c>
      <c r="R32" s="53">
        <v>0</v>
      </c>
      <c r="S32" s="53">
        <v>0</v>
      </c>
      <c r="T32" s="53">
        <v>0</v>
      </c>
      <c r="U32" s="53">
        <v>0</v>
      </c>
      <c r="V32" s="53">
        <v>0</v>
      </c>
      <c r="W32" s="51">
        <v>0</v>
      </c>
      <c r="X32" s="51">
        <v>0</v>
      </c>
      <c r="Y32" s="53">
        <v>0</v>
      </c>
      <c r="Z32" s="51">
        <v>0</v>
      </c>
      <c r="AA32" s="51">
        <v>1</v>
      </c>
      <c r="AB32" s="51">
        <v>2.333333333333333</v>
      </c>
      <c r="AC32" s="51">
        <v>3.6666666666666661</v>
      </c>
      <c r="AD32" s="53">
        <v>5</v>
      </c>
    </row>
    <row r="33" spans="1:30" x14ac:dyDescent="0.35">
      <c r="A33" s="72" t="s">
        <v>130</v>
      </c>
      <c r="B33" s="72" t="s">
        <v>111</v>
      </c>
      <c r="C33" s="72" t="s">
        <v>131</v>
      </c>
      <c r="D33" s="53">
        <v>0</v>
      </c>
      <c r="E33" s="53">
        <v>0</v>
      </c>
      <c r="F33" s="53">
        <v>0</v>
      </c>
      <c r="G33" s="53">
        <v>0</v>
      </c>
      <c r="H33" s="53">
        <v>0</v>
      </c>
      <c r="I33" s="53">
        <v>0</v>
      </c>
      <c r="J33" s="53">
        <v>0</v>
      </c>
      <c r="K33" s="53">
        <v>0</v>
      </c>
      <c r="L33" s="53">
        <v>0</v>
      </c>
      <c r="M33" s="53">
        <v>0</v>
      </c>
      <c r="N33" s="53">
        <v>0</v>
      </c>
      <c r="O33" s="53">
        <v>0</v>
      </c>
      <c r="P33" s="53">
        <v>0</v>
      </c>
      <c r="Q33" s="53">
        <v>0</v>
      </c>
      <c r="R33" s="53">
        <v>0</v>
      </c>
      <c r="S33" s="53">
        <v>0</v>
      </c>
      <c r="T33" s="53">
        <v>0</v>
      </c>
      <c r="U33" s="53">
        <v>0</v>
      </c>
      <c r="V33" s="53">
        <v>0</v>
      </c>
      <c r="W33" s="53">
        <v>0</v>
      </c>
      <c r="X33" s="53">
        <v>0</v>
      </c>
      <c r="Y33" s="53">
        <v>0</v>
      </c>
      <c r="Z33" s="51">
        <v>0</v>
      </c>
      <c r="AA33" s="51">
        <v>6994.7816642205808</v>
      </c>
      <c r="AB33" s="51">
        <v>167735.62478542808</v>
      </c>
      <c r="AC33" s="51">
        <v>356801.14945396519</v>
      </c>
      <c r="AD33" s="53">
        <v>844489.84017953684</v>
      </c>
    </row>
    <row r="34" spans="1:30" x14ac:dyDescent="0.35">
      <c r="A34" s="72" t="s">
        <v>130</v>
      </c>
      <c r="B34" s="72" t="s">
        <v>132</v>
      </c>
      <c r="C34" s="72" t="s">
        <v>131</v>
      </c>
      <c r="D34" s="53">
        <v>0</v>
      </c>
      <c r="E34" s="53">
        <v>0</v>
      </c>
      <c r="F34" s="53">
        <v>0</v>
      </c>
      <c r="G34" s="53">
        <v>0</v>
      </c>
      <c r="H34" s="53">
        <v>0</v>
      </c>
      <c r="I34" s="53">
        <v>0</v>
      </c>
      <c r="J34" s="53">
        <v>0</v>
      </c>
      <c r="K34" s="53">
        <v>0</v>
      </c>
      <c r="L34" s="53">
        <v>0</v>
      </c>
      <c r="M34" s="53">
        <v>0</v>
      </c>
      <c r="N34" s="53">
        <v>0</v>
      </c>
      <c r="O34" s="53">
        <v>0</v>
      </c>
      <c r="P34" s="53">
        <v>0</v>
      </c>
      <c r="Q34" s="53">
        <v>0</v>
      </c>
      <c r="R34" s="53">
        <v>0</v>
      </c>
      <c r="S34" s="53">
        <v>0</v>
      </c>
      <c r="T34" s="53">
        <v>0</v>
      </c>
      <c r="U34" s="53">
        <v>0</v>
      </c>
      <c r="V34" s="53">
        <v>0</v>
      </c>
      <c r="W34" s="53">
        <v>0</v>
      </c>
      <c r="X34" s="53">
        <v>0</v>
      </c>
      <c r="Y34" s="53">
        <v>0</v>
      </c>
      <c r="Z34" s="51">
        <v>0</v>
      </c>
      <c r="AA34" s="51">
        <v>41845.585767368175</v>
      </c>
      <c r="AB34" s="51">
        <v>1003461.6961820258</v>
      </c>
      <c r="AC34" s="51">
        <v>2036605.0334928492</v>
      </c>
      <c r="AD34" s="53">
        <v>4817272.6302614007</v>
      </c>
    </row>
    <row r="35" spans="1:30" s="52" customFormat="1" x14ac:dyDescent="0.35">
      <c r="A35" s="72" t="s">
        <v>133</v>
      </c>
      <c r="B35" s="72" t="s">
        <v>111</v>
      </c>
      <c r="C35" s="72" t="s">
        <v>131</v>
      </c>
      <c r="D35" s="53">
        <v>1269.4984609921005</v>
      </c>
      <c r="E35" s="53">
        <v>3507.3998571021511</v>
      </c>
      <c r="F35" s="53">
        <v>5745.301253212202</v>
      </c>
      <c r="G35" s="53">
        <v>7983.2026493222529</v>
      </c>
      <c r="H35" s="53">
        <v>10221.104045432305</v>
      </c>
      <c r="I35" s="53">
        <v>12459.005441542355</v>
      </c>
      <c r="J35" s="53">
        <v>14696.906837652406</v>
      </c>
      <c r="K35" s="53">
        <v>13659.366134735234</v>
      </c>
      <c r="L35" s="53">
        <v>11760.714242007025</v>
      </c>
      <c r="M35" s="53">
        <v>9813.2626376474818</v>
      </c>
      <c r="N35" s="53">
        <v>13588.908603733982</v>
      </c>
      <c r="O35" s="53">
        <v>17547.203578976321</v>
      </c>
      <c r="P35" s="53">
        <v>24911.682783246899</v>
      </c>
      <c r="Q35" s="53">
        <v>32276.161987517477</v>
      </c>
      <c r="R35" s="53">
        <v>39640.641191788054</v>
      </c>
      <c r="S35" s="53">
        <v>47005.120396058635</v>
      </c>
      <c r="T35" s="53">
        <v>54369.599600329217</v>
      </c>
      <c r="U35" s="53">
        <v>77256.78591830263</v>
      </c>
      <c r="V35" s="53">
        <v>100143.97223627605</v>
      </c>
      <c r="W35" s="53">
        <v>123031.15855424947</v>
      </c>
      <c r="X35" s="53">
        <v>145918.34487222289</v>
      </c>
      <c r="Y35" s="53">
        <v>168805.53119019631</v>
      </c>
      <c r="Z35" s="53">
        <v>204593.57758659072</v>
      </c>
      <c r="AA35" s="53">
        <v>240381.62398298515</v>
      </c>
      <c r="AB35" s="53">
        <v>276169.67037937959</v>
      </c>
      <c r="AC35" s="53">
        <v>311957.71677577402</v>
      </c>
      <c r="AD35" s="53">
        <v>347745.7631721684</v>
      </c>
    </row>
    <row r="36" spans="1:30" s="52" customFormat="1" x14ac:dyDescent="0.35">
      <c r="A36" s="72" t="s">
        <v>133</v>
      </c>
      <c r="B36" s="72" t="s">
        <v>132</v>
      </c>
      <c r="C36" s="72" t="s">
        <v>131</v>
      </c>
      <c r="D36" s="53">
        <v>5267.7658737530246</v>
      </c>
      <c r="E36" s="53">
        <v>14553.906003485823</v>
      </c>
      <c r="F36" s="53">
        <v>23840.046133218624</v>
      </c>
      <c r="G36" s="53">
        <v>33126.186262951422</v>
      </c>
      <c r="H36" s="53">
        <v>42412.326392684219</v>
      </c>
      <c r="I36" s="53">
        <v>51698.466522417017</v>
      </c>
      <c r="J36" s="53">
        <v>60984.606652149814</v>
      </c>
      <c r="K36" s="53">
        <v>56679.346208442345</v>
      </c>
      <c r="L36" s="53">
        <v>48800.91708546882</v>
      </c>
      <c r="M36" s="53">
        <v>40719.994250624492</v>
      </c>
      <c r="N36" s="53">
        <v>56386.983682010279</v>
      </c>
      <c r="O36" s="53">
        <v>72811.872588558865</v>
      </c>
      <c r="P36" s="53">
        <v>103370.67468423292</v>
      </c>
      <c r="Q36" s="53">
        <v>133929.47677990695</v>
      </c>
      <c r="R36" s="53">
        <v>164488.27887558099</v>
      </c>
      <c r="S36" s="53">
        <v>195047.08097125503</v>
      </c>
      <c r="T36" s="53">
        <v>225605.88306692912</v>
      </c>
      <c r="U36" s="53">
        <v>320575.93835776235</v>
      </c>
      <c r="V36" s="53">
        <v>415545.99364859558</v>
      </c>
      <c r="W36" s="53">
        <v>510516.04893942882</v>
      </c>
      <c r="X36" s="53">
        <v>605486.10423026211</v>
      </c>
      <c r="Y36" s="53">
        <v>700456.15952109534</v>
      </c>
      <c r="Z36" s="53">
        <v>848958.1508885267</v>
      </c>
      <c r="AA36" s="53">
        <v>997460.14225595805</v>
      </c>
      <c r="AB36" s="53">
        <v>1145962.1336233895</v>
      </c>
      <c r="AC36" s="53">
        <v>1294464.1249908209</v>
      </c>
      <c r="AD36" s="53">
        <v>1442966.1163582522</v>
      </c>
    </row>
    <row r="37" spans="1:30" ht="29" x14ac:dyDescent="0.35">
      <c r="A37" s="3" t="s">
        <v>134</v>
      </c>
      <c r="B37" s="3" t="s">
        <v>135</v>
      </c>
      <c r="C37" s="72" t="s">
        <v>131</v>
      </c>
      <c r="D37" s="53">
        <v>4851883.8074179851</v>
      </c>
      <c r="E37" s="53">
        <v>5548866.4783700239</v>
      </c>
      <c r="F37" s="53">
        <v>5954619.7490993757</v>
      </c>
      <c r="G37" s="53">
        <v>6363793.177570492</v>
      </c>
      <c r="H37" s="53">
        <v>6862681.5291777924</v>
      </c>
      <c r="I37" s="53">
        <v>7430776.4174247123</v>
      </c>
      <c r="J37" s="53">
        <v>7958064.5940639684</v>
      </c>
      <c r="K37" s="53">
        <v>7957168.0490261456</v>
      </c>
      <c r="L37" s="53">
        <v>7874171.1774361301</v>
      </c>
      <c r="M37" s="53">
        <v>7776287.7266217675</v>
      </c>
      <c r="N37" s="53">
        <v>8450702.8694002908</v>
      </c>
      <c r="O37" s="53">
        <v>9080603.7963677123</v>
      </c>
      <c r="P37" s="53">
        <v>9916810.7160479799</v>
      </c>
      <c r="Q37" s="53">
        <v>10742147.081796253</v>
      </c>
      <c r="R37" s="53">
        <v>11532452.826251276</v>
      </c>
      <c r="S37" s="53">
        <v>12410650.170190752</v>
      </c>
      <c r="T37" s="53">
        <v>13427370.439666543</v>
      </c>
      <c r="U37" s="53">
        <v>14508754.442283049</v>
      </c>
      <c r="V37" s="53">
        <v>15576671.591655424</v>
      </c>
      <c r="W37" s="53">
        <v>16678510.376912402</v>
      </c>
      <c r="X37" s="53">
        <v>17727086.423294671</v>
      </c>
      <c r="Y37" s="53">
        <v>18931202.45624445</v>
      </c>
      <c r="Z37" s="53">
        <v>20126360.67314858</v>
      </c>
      <c r="AA37" s="53">
        <v>21277070.972831454</v>
      </c>
      <c r="AB37" s="53">
        <v>22513024.658740595</v>
      </c>
      <c r="AC37" s="53">
        <v>23603677.486926477</v>
      </c>
      <c r="AD37" s="53">
        <v>24710377.8005694</v>
      </c>
    </row>
    <row r="38" spans="1:30" x14ac:dyDescent="0.35">
      <c r="A38" s="72"/>
      <c r="B38" s="72"/>
      <c r="C38" s="72"/>
      <c r="D38" s="53">
        <v>0</v>
      </c>
      <c r="E38" s="53">
        <v>0</v>
      </c>
      <c r="F38" s="53">
        <v>0</v>
      </c>
      <c r="G38" s="53">
        <v>0</v>
      </c>
      <c r="H38" s="53">
        <v>0</v>
      </c>
      <c r="I38" s="53">
        <v>0</v>
      </c>
      <c r="J38" s="53">
        <v>0</v>
      </c>
      <c r="K38" s="53">
        <v>0</v>
      </c>
      <c r="L38" s="53">
        <v>0</v>
      </c>
      <c r="M38" s="53">
        <v>0</v>
      </c>
      <c r="N38" s="53">
        <v>0</v>
      </c>
      <c r="O38" s="53">
        <v>0</v>
      </c>
      <c r="P38" s="53">
        <v>0</v>
      </c>
      <c r="Q38" s="53">
        <v>0</v>
      </c>
      <c r="R38" s="53">
        <v>0</v>
      </c>
      <c r="S38" s="53">
        <v>0</v>
      </c>
      <c r="T38" s="53">
        <v>0</v>
      </c>
      <c r="U38" s="53">
        <v>0</v>
      </c>
      <c r="V38" s="53">
        <v>0</v>
      </c>
      <c r="W38" s="53">
        <v>0</v>
      </c>
      <c r="X38" s="53">
        <v>0</v>
      </c>
      <c r="Y38" s="53">
        <v>0</v>
      </c>
      <c r="Z38" s="53">
        <v>0</v>
      </c>
      <c r="AA38" s="53">
        <v>0</v>
      </c>
      <c r="AB38" s="53">
        <v>0</v>
      </c>
      <c r="AC38" s="53">
        <v>0</v>
      </c>
      <c r="AD38" s="53">
        <v>0</v>
      </c>
    </row>
    <row r="39" spans="1:30" x14ac:dyDescent="0.35">
      <c r="A39" s="72"/>
      <c r="B39" s="72"/>
      <c r="C39" s="72" t="s">
        <v>136</v>
      </c>
      <c r="D39" s="53">
        <f>'Cost Assumptions'!$B$4</f>
        <v>40</v>
      </c>
      <c r="E39" s="53">
        <f>D39*'Cost Assumptions'!$B$5</f>
        <v>41</v>
      </c>
      <c r="F39" s="53">
        <f>E39*'Cost Assumptions'!$B$5</f>
        <v>42.024999999999999</v>
      </c>
      <c r="G39" s="53">
        <f>F39*'Cost Assumptions'!$B$5</f>
        <v>43.075624999999995</v>
      </c>
      <c r="H39" s="9">
        <f>G39*'Cost Assumptions'!$B$5</f>
        <v>44.152515624999992</v>
      </c>
      <c r="I39" s="9">
        <f>H39*'Cost Assumptions'!$B$5</f>
        <v>45.256328515624986</v>
      </c>
      <c r="J39" s="9">
        <f>I39*'Cost Assumptions'!$B$5</f>
        <v>46.387736728515605</v>
      </c>
      <c r="K39" s="9">
        <f>J39*'Cost Assumptions'!$B$5</f>
        <v>47.547430146728495</v>
      </c>
      <c r="L39" s="9">
        <f>K39*'Cost Assumptions'!$B$5</f>
        <v>48.736115900396705</v>
      </c>
      <c r="M39" s="9">
        <f>L39*'Cost Assumptions'!$B$5</f>
        <v>49.954518797906616</v>
      </c>
      <c r="N39" s="9">
        <f>M39*'Cost Assumptions'!$B$5</f>
        <v>51.203381767854275</v>
      </c>
      <c r="O39" s="9">
        <f>N39*'Cost Assumptions'!$B$5</f>
        <v>52.483466312050624</v>
      </c>
      <c r="P39" s="9">
        <f>O39*'Cost Assumptions'!$B$5</f>
        <v>53.795552969851883</v>
      </c>
      <c r="Q39" s="9">
        <f>P39*'Cost Assumptions'!$B$5</f>
        <v>55.140441794098173</v>
      </c>
      <c r="R39" s="9">
        <f>Q39*'Cost Assumptions'!$B$5</f>
        <v>56.518952838950625</v>
      </c>
      <c r="S39" s="9">
        <f>R39*'Cost Assumptions'!$B$5</f>
        <v>57.931926659924386</v>
      </c>
      <c r="T39" s="9">
        <f>S39*'Cost Assumptions'!$B$5</f>
        <v>59.380224826422491</v>
      </c>
      <c r="U39" s="9">
        <f>T39*'Cost Assumptions'!$B$5</f>
        <v>60.864730447083048</v>
      </c>
      <c r="V39" s="9">
        <f>U39*'Cost Assumptions'!$B$5</f>
        <v>62.386348708260115</v>
      </c>
      <c r="W39" s="9">
        <f>V39*'Cost Assumptions'!$B$5</f>
        <v>63.946007425966613</v>
      </c>
      <c r="X39" s="9">
        <f>W39*'Cost Assumptions'!$B$5</f>
        <v>65.544657611615776</v>
      </c>
      <c r="Y39" s="9">
        <f>X39*'Cost Assumptions'!$B$5</f>
        <v>67.183274051906167</v>
      </c>
      <c r="Z39" s="9">
        <f>Y39*'Cost Assumptions'!$B$5</f>
        <v>68.862855903203823</v>
      </c>
      <c r="AA39" s="9">
        <f>Z39*'Cost Assumptions'!$B$5</f>
        <v>70.584427300783915</v>
      </c>
      <c r="AB39" s="9">
        <f>AA39*'Cost Assumptions'!$B$5</f>
        <v>72.349037983303504</v>
      </c>
      <c r="AC39" s="9">
        <f>AB39*'Cost Assumptions'!$B$5</f>
        <v>74.157763932886084</v>
      </c>
      <c r="AD39" s="9">
        <f>AC39*'Cost Assumptions'!$B$5</f>
        <v>76.011708031208229</v>
      </c>
    </row>
    <row r="40" spans="1:30" x14ac:dyDescent="0.35">
      <c r="A40" s="72"/>
      <c r="B40" s="72"/>
      <c r="C40" s="72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</row>
    <row r="41" spans="1:30" x14ac:dyDescent="0.35">
      <c r="A41" s="72"/>
      <c r="B41" s="72"/>
      <c r="C41" s="72"/>
      <c r="D41" s="72"/>
      <c r="E41" s="72"/>
      <c r="F41" s="72"/>
      <c r="G41" s="53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</row>
    <row r="42" spans="1:30" ht="20" thickBot="1" x14ac:dyDescent="0.5">
      <c r="A42" s="113"/>
      <c r="B42" s="122" t="s">
        <v>138</v>
      </c>
      <c r="C42" s="113" t="s">
        <v>105</v>
      </c>
      <c r="D42" s="113">
        <v>2022</v>
      </c>
      <c r="E42" s="113">
        <v>2023</v>
      </c>
      <c r="F42" s="113">
        <v>2024</v>
      </c>
      <c r="G42" s="113">
        <v>2025</v>
      </c>
      <c r="H42" s="113">
        <v>2026</v>
      </c>
      <c r="I42" s="113">
        <v>2027</v>
      </c>
      <c r="J42" s="113">
        <v>2028</v>
      </c>
      <c r="K42" s="113">
        <v>2029</v>
      </c>
      <c r="L42" s="113">
        <v>2030</v>
      </c>
      <c r="M42" s="113">
        <v>2031</v>
      </c>
      <c r="N42" s="113">
        <v>2032</v>
      </c>
      <c r="O42" s="113">
        <v>2033</v>
      </c>
      <c r="P42" s="113">
        <v>2034</v>
      </c>
      <c r="Q42" s="113">
        <v>2035</v>
      </c>
      <c r="R42" s="113">
        <v>2036</v>
      </c>
      <c r="S42" s="113">
        <v>2037</v>
      </c>
      <c r="T42" s="113">
        <v>2038</v>
      </c>
      <c r="U42" s="113">
        <v>2039</v>
      </c>
      <c r="V42" s="113">
        <v>2040</v>
      </c>
      <c r="W42" s="113">
        <v>2041</v>
      </c>
      <c r="X42" s="113">
        <v>2042</v>
      </c>
      <c r="Y42" s="113">
        <v>2043</v>
      </c>
      <c r="Z42" s="113">
        <v>2044</v>
      </c>
      <c r="AA42" s="113">
        <v>2045</v>
      </c>
      <c r="AB42" s="113">
        <v>2046</v>
      </c>
      <c r="AC42" s="113">
        <v>2047</v>
      </c>
      <c r="AD42" s="113">
        <v>2048</v>
      </c>
    </row>
    <row r="43" spans="1:30" ht="15" thickTop="1" x14ac:dyDescent="0.35">
      <c r="A43" s="72"/>
      <c r="B43" s="10">
        <f>NPV('Cost Assumptions'!$B$3,'VS to VN to VST &amp; Cen BESS VS'!D43:'VS to VN to VST &amp; Cen BESS VS'!AD43)</f>
        <v>7386.6021281514886</v>
      </c>
      <c r="C43" s="72" t="s">
        <v>107</v>
      </c>
      <c r="D43" s="53">
        <f t="shared" ref="D43:AD43" si="0">D2-D18</f>
        <v>338.7999999991298</v>
      </c>
      <c r="E43" s="53">
        <f t="shared" si="0"/>
        <v>367.49903846071538</v>
      </c>
      <c r="F43" s="53">
        <f t="shared" si="0"/>
        <v>396.19807692230097</v>
      </c>
      <c r="G43" s="53">
        <f t="shared" si="0"/>
        <v>424.89711538388656</v>
      </c>
      <c r="H43" s="53">
        <f t="shared" si="0"/>
        <v>453.59615384547214</v>
      </c>
      <c r="I43" s="53">
        <f t="shared" si="0"/>
        <v>482.29519230705773</v>
      </c>
      <c r="J43" s="53">
        <f t="shared" si="0"/>
        <v>510.99423076864332</v>
      </c>
      <c r="K43" s="53">
        <f t="shared" si="0"/>
        <v>609.18461538424162</v>
      </c>
      <c r="L43" s="53">
        <f t="shared" si="0"/>
        <v>1110.9038461533855</v>
      </c>
      <c r="M43" s="53">
        <f t="shared" si="0"/>
        <v>1614.3230769222791</v>
      </c>
      <c r="N43" s="53">
        <f t="shared" si="0"/>
        <v>1563.8673076920022</v>
      </c>
      <c r="O43" s="53">
        <f t="shared" si="0"/>
        <v>1516.9099759612654</v>
      </c>
      <c r="P43" s="53">
        <f t="shared" si="0"/>
        <v>1469.9526442305287</v>
      </c>
      <c r="Q43" s="53">
        <f t="shared" si="0"/>
        <v>1422.9953124997919</v>
      </c>
      <c r="R43" s="53">
        <f t="shared" si="0"/>
        <v>1376.0379807690551</v>
      </c>
      <c r="S43" s="53">
        <f t="shared" si="0"/>
        <v>1329.0806490383184</v>
      </c>
      <c r="T43" s="53">
        <f t="shared" si="0"/>
        <v>1282.1233173075816</v>
      </c>
      <c r="U43" s="53">
        <f t="shared" si="0"/>
        <v>1235.1659855768448</v>
      </c>
      <c r="V43" s="53">
        <f t="shared" si="0"/>
        <v>1188.2086538461081</v>
      </c>
      <c r="W43" s="53">
        <f t="shared" si="0"/>
        <v>1141.2513221153713</v>
      </c>
      <c r="X43" s="53">
        <f t="shared" si="0"/>
        <v>1094.2939903846345</v>
      </c>
      <c r="Y43" s="53">
        <f t="shared" si="0"/>
        <v>1047.3366586538978</v>
      </c>
      <c r="Z43" s="53">
        <f t="shared" si="0"/>
        <v>1000.379326923161</v>
      </c>
      <c r="AA43" s="53">
        <f t="shared" si="0"/>
        <v>953.42199519242422</v>
      </c>
      <c r="AB43" s="53">
        <f t="shared" si="0"/>
        <v>906.46466346168745</v>
      </c>
      <c r="AC43" s="53">
        <f t="shared" si="0"/>
        <v>859.50733173095068</v>
      </c>
      <c r="AD43" s="53">
        <f t="shared" si="0"/>
        <v>812.55000000019936</v>
      </c>
    </row>
    <row r="44" spans="1:30" x14ac:dyDescent="0.35">
      <c r="A44" s="72"/>
      <c r="B44" s="10">
        <f>NPV('Cost Assumptions'!$B$3,'VS to VN to VST &amp; Cen BESS VS'!D44:'VS to VN to VST &amp; Cen BESS VS'!AD44)</f>
        <v>387169.66315450199</v>
      </c>
      <c r="C44" s="72" t="s">
        <v>139</v>
      </c>
      <c r="D44" s="53">
        <f t="shared" ref="D44:AD44" si="1">D43*D39</f>
        <v>13551.999999965192</v>
      </c>
      <c r="E44" s="53">
        <f t="shared" si="1"/>
        <v>15067.460576889331</v>
      </c>
      <c r="F44" s="53">
        <f t="shared" si="1"/>
        <v>16650.224182659698</v>
      </c>
      <c r="G44" s="53">
        <f t="shared" si="1"/>
        <v>18302.708805858027</v>
      </c>
      <c r="H44" s="53">
        <f t="shared" si="1"/>
        <v>20027.411270102108</v>
      </c>
      <c r="I44" s="53">
        <f t="shared" si="1"/>
        <v>21826.909664554732</v>
      </c>
      <c r="J44" s="53">
        <f t="shared" si="1"/>
        <v>23703.865846686174</v>
      </c>
      <c r="K44" s="53">
        <f t="shared" si="1"/>
        <v>28965.162946443892</v>
      </c>
      <c r="L44" s="53">
        <f t="shared" si="1"/>
        <v>54141.138600327868</v>
      </c>
      <c r="M44" s="53">
        <f t="shared" si="1"/>
        <v>80642.732492008436</v>
      </c>
      <c r="N44" s="53">
        <f t="shared" si="1"/>
        <v>80075.294790020023</v>
      </c>
      <c r="O44" s="53">
        <f t="shared" si="1"/>
        <v>79612.693621776591</v>
      </c>
      <c r="P44" s="53">
        <f t="shared" si="1"/>
        <v>79076.915335877246</v>
      </c>
      <c r="Q44" s="53">
        <f t="shared" si="1"/>
        <v>78464.590202169318</v>
      </c>
      <c r="R44" s="53">
        <f t="shared" si="1"/>
        <v>77772.225739691072</v>
      </c>
      <c r="S44" s="53">
        <f t="shared" si="1"/>
        <v>76996.202685212556</v>
      </c>
      <c r="T44" s="53">
        <f t="shared" si="1"/>
        <v>76132.77083692282</v>
      </c>
      <c r="U44" s="53">
        <f t="shared" si="1"/>
        <v>75178.044769540327</v>
      </c>
      <c r="V44" s="53">
        <f t="shared" si="1"/>
        <v>74127.999417015628</v>
      </c>
      <c r="W44" s="53">
        <f t="shared" si="1"/>
        <v>72978.46551888375</v>
      </c>
      <c r="X44" s="53">
        <f t="shared" si="1"/>
        <v>71725.124926209639</v>
      </c>
      <c r="Y44" s="53">
        <f t="shared" si="1"/>
        <v>70363.505762952511</v>
      </c>
      <c r="Z44" s="53">
        <f t="shared" si="1"/>
        <v>68888.977438453658</v>
      </c>
      <c r="AA44" s="53">
        <f t="shared" si="1"/>
        <v>67296.745506628024</v>
      </c>
      <c r="AB44" s="53">
        <f t="shared" si="1"/>
        <v>65581.846367312057</v>
      </c>
      <c r="AC44" s="53">
        <f t="shared" si="1"/>
        <v>63739.14180508865</v>
      </c>
      <c r="AD44" s="53">
        <f t="shared" si="1"/>
        <v>61763.313360773398</v>
      </c>
    </row>
    <row r="45" spans="1:30" x14ac:dyDescent="0.35">
      <c r="A45" s="72" t="s">
        <v>30</v>
      </c>
      <c r="B45" s="10">
        <f>NPV('Cost Assumptions'!$B$3,'VS to VN to VST &amp; Cen BESS VS'!D45:'VS to VN to VST &amp; Cen BESS VS'!AD45)</f>
        <v>114.42912412587738</v>
      </c>
      <c r="C45" s="72" t="s">
        <v>31</v>
      </c>
      <c r="D45" s="53">
        <f t="shared" ref="D45:AD45" si="2">D3-D19</f>
        <v>4.2000000000000171</v>
      </c>
      <c r="E45" s="53">
        <f t="shared" si="2"/>
        <v>6.0166666666666799</v>
      </c>
      <c r="F45" s="53">
        <f t="shared" si="2"/>
        <v>6.7133333333333383</v>
      </c>
      <c r="G45" s="53">
        <f t="shared" si="2"/>
        <v>7.4099999999999966</v>
      </c>
      <c r="H45" s="53">
        <f t="shared" si="2"/>
        <v>8.1066666666666549</v>
      </c>
      <c r="I45" s="53">
        <f t="shared" si="2"/>
        <v>8.8033333333333132</v>
      </c>
      <c r="J45" s="53">
        <f t="shared" si="2"/>
        <v>9.4999999999999716</v>
      </c>
      <c r="K45" s="53">
        <f t="shared" si="2"/>
        <v>5.0999999999999659</v>
      </c>
      <c r="L45" s="53">
        <f t="shared" si="2"/>
        <v>5.7000000000000455</v>
      </c>
      <c r="M45" s="53">
        <f t="shared" si="2"/>
        <v>5.5999999999999943</v>
      </c>
      <c r="N45" s="53">
        <f t="shared" si="2"/>
        <v>5.2000000000000455</v>
      </c>
      <c r="O45" s="53">
        <f t="shared" si="2"/>
        <v>13.966666666666612</v>
      </c>
      <c r="P45" s="53">
        <f t="shared" si="2"/>
        <v>14.053333333333299</v>
      </c>
      <c r="Q45" s="53">
        <f t="shared" si="2"/>
        <v>14.139999999999986</v>
      </c>
      <c r="R45" s="53">
        <f t="shared" si="2"/>
        <v>14.226666666666674</v>
      </c>
      <c r="S45" s="53">
        <f t="shared" si="2"/>
        <v>14.313333333333361</v>
      </c>
      <c r="T45" s="53">
        <f t="shared" si="2"/>
        <v>14.400000000000034</v>
      </c>
      <c r="U45" s="53">
        <f t="shared" si="2"/>
        <v>24.210000000000008</v>
      </c>
      <c r="V45" s="53">
        <f t="shared" si="2"/>
        <v>34.019999999999982</v>
      </c>
      <c r="W45" s="53">
        <f t="shared" si="2"/>
        <v>43.829999999999984</v>
      </c>
      <c r="X45" s="53">
        <f t="shared" si="2"/>
        <v>53.639999999999986</v>
      </c>
      <c r="Y45" s="53">
        <f t="shared" si="2"/>
        <v>23.60000000000008</v>
      </c>
      <c r="Z45" s="53">
        <f t="shared" si="2"/>
        <v>33.300000000000068</v>
      </c>
      <c r="AA45" s="53">
        <f t="shared" si="2"/>
        <v>43</v>
      </c>
      <c r="AB45" s="53">
        <f t="shared" si="2"/>
        <v>52.699999999999932</v>
      </c>
      <c r="AC45" s="53">
        <f t="shared" si="2"/>
        <v>62.399999999999864</v>
      </c>
      <c r="AD45" s="53">
        <f t="shared" si="2"/>
        <v>72.100000000000023</v>
      </c>
    </row>
    <row r="46" spans="1:30" x14ac:dyDescent="0.35">
      <c r="A46" s="72" t="s">
        <v>30</v>
      </c>
      <c r="B46" s="10">
        <f>NPV('Cost Assumptions'!$B$3,'VS to VN to VST &amp; Cen BESS VS'!D46:'VS to VN to VST &amp; Cen BESS VS'!AD46)</f>
        <v>-30.412621955669433</v>
      </c>
      <c r="C46" s="72" t="s">
        <v>32</v>
      </c>
      <c r="D46" s="53">
        <f t="shared" ref="D46:AD46" si="3">D4-D20</f>
        <v>-1</v>
      </c>
      <c r="E46" s="53">
        <f t="shared" si="3"/>
        <v>-1.916666666666667</v>
      </c>
      <c r="F46" s="53">
        <f t="shared" si="3"/>
        <v>-2.1533333333333387</v>
      </c>
      <c r="G46" s="53">
        <f t="shared" si="3"/>
        <v>-2.3900000000000095</v>
      </c>
      <c r="H46" s="53">
        <f t="shared" si="3"/>
        <v>-2.6266666666666794</v>
      </c>
      <c r="I46" s="53">
        <f t="shared" si="3"/>
        <v>-2.8633333333333493</v>
      </c>
      <c r="J46" s="53">
        <f t="shared" si="3"/>
        <v>-3.1000000000000227</v>
      </c>
      <c r="K46" s="53">
        <f t="shared" si="3"/>
        <v>-3.3000000000000114</v>
      </c>
      <c r="L46" s="53">
        <f t="shared" si="3"/>
        <v>-3.2000000000000171</v>
      </c>
      <c r="M46" s="53">
        <f t="shared" si="3"/>
        <v>-3.3000000000000114</v>
      </c>
      <c r="N46" s="53">
        <f t="shared" si="3"/>
        <v>-3.2999999999999545</v>
      </c>
      <c r="O46" s="53">
        <f t="shared" si="3"/>
        <v>-3.766666666666671</v>
      </c>
      <c r="P46" s="53">
        <f t="shared" si="3"/>
        <v>-4.1933333333333316</v>
      </c>
      <c r="Q46" s="53">
        <f t="shared" si="3"/>
        <v>-4.6199999999999921</v>
      </c>
      <c r="R46" s="53">
        <f t="shared" si="3"/>
        <v>-5.0466666666666526</v>
      </c>
      <c r="S46" s="53">
        <f t="shared" si="3"/>
        <v>-5.4733333333333114</v>
      </c>
      <c r="T46" s="53">
        <f t="shared" si="3"/>
        <v>-5.8999999999999773</v>
      </c>
      <c r="U46" s="53">
        <f t="shared" si="3"/>
        <v>-5.9599999999999795</v>
      </c>
      <c r="V46" s="53">
        <f t="shared" si="3"/>
        <v>-6.0199999999999818</v>
      </c>
      <c r="W46" s="53">
        <f t="shared" si="3"/>
        <v>-6.0799999999999841</v>
      </c>
      <c r="X46" s="53">
        <f t="shared" si="3"/>
        <v>-6.1399999999999864</v>
      </c>
      <c r="Y46" s="53">
        <f t="shared" si="3"/>
        <v>-6.1999999999999886</v>
      </c>
      <c r="Z46" s="53">
        <f t="shared" si="3"/>
        <v>-6.0999999999999908</v>
      </c>
      <c r="AA46" s="53">
        <f t="shared" si="3"/>
        <v>-5.9999999999999929</v>
      </c>
      <c r="AB46" s="53">
        <f t="shared" si="3"/>
        <v>-5.8999999999999986</v>
      </c>
      <c r="AC46" s="53">
        <f t="shared" si="3"/>
        <v>-5.8000000000000043</v>
      </c>
      <c r="AD46" s="53">
        <f t="shared" si="3"/>
        <v>-5.6999999999999886</v>
      </c>
    </row>
    <row r="47" spans="1:30" x14ac:dyDescent="0.35">
      <c r="A47" s="72" t="s">
        <v>30</v>
      </c>
      <c r="B47" s="10">
        <f>NPV('Cost Assumptions'!$B$3,'VS to VN to VST &amp; Cen BESS VS'!D47:'VS to VN to VST &amp; Cen BESS VS'!AD47)</f>
        <v>54.408682117250308</v>
      </c>
      <c r="C47" s="72" t="s">
        <v>33</v>
      </c>
      <c r="D47" s="53">
        <f t="shared" ref="D47:AD47" si="4">D5-D21</f>
        <v>6.8917982049977566E-2</v>
      </c>
      <c r="E47" s="53">
        <f t="shared" si="4"/>
        <v>0.15906981935651673</v>
      </c>
      <c r="F47" s="53">
        <f t="shared" si="4"/>
        <v>0.18882910507601286</v>
      </c>
      <c r="G47" s="53">
        <f t="shared" si="4"/>
        <v>0.21858839079550896</v>
      </c>
      <c r="H47" s="53">
        <f t="shared" si="4"/>
        <v>0.24834767651500511</v>
      </c>
      <c r="I47" s="53">
        <f t="shared" si="4"/>
        <v>0.27810696223450126</v>
      </c>
      <c r="J47" s="53">
        <f t="shared" si="4"/>
        <v>0.30786624795399731</v>
      </c>
      <c r="K47" s="53">
        <f t="shared" si="4"/>
        <v>0.28195331487555592</v>
      </c>
      <c r="L47" s="53">
        <f t="shared" si="4"/>
        <v>0.24759433463986247</v>
      </c>
      <c r="M47" s="53">
        <f t="shared" si="4"/>
        <v>0.28509284700382959</v>
      </c>
      <c r="N47" s="53">
        <f t="shared" si="4"/>
        <v>0.25668888932566963</v>
      </c>
      <c r="O47" s="53">
        <f t="shared" si="4"/>
        <v>0.52330631477244116</v>
      </c>
      <c r="P47" s="53">
        <f t="shared" si="4"/>
        <v>0.49655558207903017</v>
      </c>
      <c r="Q47" s="53">
        <f t="shared" si="4"/>
        <v>0.46980484938561906</v>
      </c>
      <c r="R47" s="53">
        <f t="shared" si="4"/>
        <v>0.44305411669220796</v>
      </c>
      <c r="S47" s="53">
        <f t="shared" si="4"/>
        <v>0.41630338399879685</v>
      </c>
      <c r="T47" s="53">
        <f t="shared" si="4"/>
        <v>0.38955265130538619</v>
      </c>
      <c r="U47" s="53">
        <f t="shared" si="4"/>
        <v>16.691773167103541</v>
      </c>
      <c r="V47" s="53">
        <f t="shared" si="4"/>
        <v>32.993993682901696</v>
      </c>
      <c r="W47" s="53">
        <f t="shared" si="4"/>
        <v>49.29621419869985</v>
      </c>
      <c r="X47" s="53">
        <f t="shared" si="4"/>
        <v>65.598434714497998</v>
      </c>
      <c r="Y47" s="53">
        <f t="shared" si="4"/>
        <v>81.900655230296152</v>
      </c>
      <c r="Z47" s="53">
        <f t="shared" si="4"/>
        <v>66.250682664889567</v>
      </c>
      <c r="AA47" s="53">
        <f t="shared" si="4"/>
        <v>50.600710099482981</v>
      </c>
      <c r="AB47" s="53">
        <f t="shared" si="4"/>
        <v>34.950737534076396</v>
      </c>
      <c r="AC47" s="53">
        <f t="shared" si="4"/>
        <v>19.30076496866981</v>
      </c>
      <c r="AD47" s="53">
        <f t="shared" si="4"/>
        <v>3.6507924032632211</v>
      </c>
    </row>
    <row r="48" spans="1:30" x14ac:dyDescent="0.35">
      <c r="A48" s="72" t="s">
        <v>30</v>
      </c>
      <c r="B48" s="10">
        <f>NPV('Cost Assumptions'!$B$3,'VS to VN to VST &amp; Cen BESS VS'!D48:'VS to VN to VST &amp; Cen BESS VS'!AD48)</f>
        <v>0.65104463482712971</v>
      </c>
      <c r="C48" s="72" t="s">
        <v>34</v>
      </c>
      <c r="D48" s="53">
        <f t="shared" ref="D48:AD48" si="5">D6-D22</f>
        <v>7.5996463269141067E-4</v>
      </c>
      <c r="E48" s="53">
        <f t="shared" si="5"/>
        <v>4.541872046191173E-3</v>
      </c>
      <c r="F48" s="53">
        <f t="shared" si="5"/>
        <v>3.8850528478319817E-3</v>
      </c>
      <c r="G48" s="53">
        <f t="shared" si="5"/>
        <v>3.2282336494727851E-3</v>
      </c>
      <c r="H48" s="53">
        <f t="shared" si="5"/>
        <v>2.571414451113592E-3</v>
      </c>
      <c r="I48" s="53">
        <f t="shared" si="5"/>
        <v>1.9145952527543988E-3</v>
      </c>
      <c r="J48" s="53">
        <f t="shared" si="5"/>
        <v>1.2577760543952127E-3</v>
      </c>
      <c r="K48" s="53">
        <f t="shared" si="5"/>
        <v>-2.2393738075584466E-3</v>
      </c>
      <c r="L48" s="53">
        <f t="shared" si="5"/>
        <v>-1.2916028075159111E-3</v>
      </c>
      <c r="M48" s="53">
        <f t="shared" si="5"/>
        <v>-1.0001742556337428E-3</v>
      </c>
      <c r="N48" s="53">
        <f t="shared" si="5"/>
        <v>-2.0899793109296627E-3</v>
      </c>
      <c r="O48" s="53">
        <f t="shared" si="5"/>
        <v>3.9542679857833413E-3</v>
      </c>
      <c r="P48" s="53">
        <f t="shared" si="5"/>
        <v>2.0670115788220395E-3</v>
      </c>
      <c r="Q48" s="53">
        <f t="shared" si="5"/>
        <v>1.7975517186072376E-4</v>
      </c>
      <c r="R48" s="53">
        <f t="shared" si="5"/>
        <v>-1.7075012351005919E-3</v>
      </c>
      <c r="S48" s="53">
        <f t="shared" si="5"/>
        <v>-3.5947576420619076E-3</v>
      </c>
      <c r="T48" s="53">
        <f t="shared" si="5"/>
        <v>-5.4820140490232094E-3</v>
      </c>
      <c r="U48" s="53">
        <f t="shared" si="5"/>
        <v>0.19895940009878027</v>
      </c>
      <c r="V48" s="53">
        <f t="shared" si="5"/>
        <v>0.40340081424658375</v>
      </c>
      <c r="W48" s="53">
        <f t="shared" si="5"/>
        <v>0.60784222839438717</v>
      </c>
      <c r="X48" s="53">
        <f t="shared" si="5"/>
        <v>0.81228364254219065</v>
      </c>
      <c r="Y48" s="53">
        <f t="shared" si="5"/>
        <v>1.0167250566899941</v>
      </c>
      <c r="Z48" s="53">
        <f t="shared" si="5"/>
        <v>0.81880901262046424</v>
      </c>
      <c r="AA48" s="53">
        <f t="shared" si="5"/>
        <v>0.62089296855093434</v>
      </c>
      <c r="AB48" s="53">
        <f t="shared" si="5"/>
        <v>0.42297692448140445</v>
      </c>
      <c r="AC48" s="53">
        <f t="shared" si="5"/>
        <v>0.22506088041187455</v>
      </c>
      <c r="AD48" s="53">
        <f t="shared" si="5"/>
        <v>2.7144836342344214E-2</v>
      </c>
    </row>
    <row r="49" spans="1:30" x14ac:dyDescent="0.35">
      <c r="A49" s="72" t="s">
        <v>30</v>
      </c>
      <c r="B49" s="10">
        <f>NPV('Cost Assumptions'!$B$3,'VS to VN to VST &amp; Cen BESS VS'!D49:'VS to VN to VST &amp; Cen BESS VS'!AD49)</f>
        <v>225.53030430590292</v>
      </c>
      <c r="C49" s="72" t="s">
        <v>35</v>
      </c>
      <c r="D49" s="53">
        <f t="shared" ref="D49:AD49" si="6">D7-D23</f>
        <v>11</v>
      </c>
      <c r="E49" s="53">
        <f t="shared" si="6"/>
        <v>17.166666666666668</v>
      </c>
      <c r="F49" s="53">
        <f t="shared" si="6"/>
        <v>18.533333333333331</v>
      </c>
      <c r="G49" s="53">
        <f t="shared" si="6"/>
        <v>19.899999999999999</v>
      </c>
      <c r="H49" s="53">
        <f t="shared" si="6"/>
        <v>21.266666666666666</v>
      </c>
      <c r="I49" s="53">
        <f t="shared" si="6"/>
        <v>22.633333333333333</v>
      </c>
      <c r="J49" s="53">
        <f t="shared" si="6"/>
        <v>24</v>
      </c>
      <c r="K49" s="53">
        <f t="shared" si="6"/>
        <v>23</v>
      </c>
      <c r="L49" s="53">
        <f t="shared" si="6"/>
        <v>22</v>
      </c>
      <c r="M49" s="53">
        <f t="shared" si="6"/>
        <v>23</v>
      </c>
      <c r="N49" s="53">
        <f t="shared" si="6"/>
        <v>22</v>
      </c>
      <c r="O49" s="53">
        <f t="shared" si="6"/>
        <v>24.666666666666664</v>
      </c>
      <c r="P49" s="53">
        <f t="shared" si="6"/>
        <v>26.533333333333328</v>
      </c>
      <c r="Q49" s="53">
        <f t="shared" si="6"/>
        <v>28.399999999999991</v>
      </c>
      <c r="R49" s="53">
        <f t="shared" si="6"/>
        <v>30.266666666666655</v>
      </c>
      <c r="S49" s="53">
        <f t="shared" si="6"/>
        <v>32.133333333333319</v>
      </c>
      <c r="T49" s="53">
        <f t="shared" si="6"/>
        <v>34</v>
      </c>
      <c r="U49" s="53">
        <f t="shared" si="6"/>
        <v>37</v>
      </c>
      <c r="V49" s="53">
        <f t="shared" si="6"/>
        <v>40</v>
      </c>
      <c r="W49" s="53">
        <f t="shared" si="6"/>
        <v>42.999999999999993</v>
      </c>
      <c r="X49" s="53">
        <f t="shared" si="6"/>
        <v>45.999999999999986</v>
      </c>
      <c r="Y49" s="53">
        <f t="shared" si="6"/>
        <v>49</v>
      </c>
      <c r="Z49" s="53">
        <f t="shared" si="6"/>
        <v>49.2</v>
      </c>
      <c r="AA49" s="53">
        <f t="shared" si="6"/>
        <v>49.400000000000006</v>
      </c>
      <c r="AB49" s="53">
        <f t="shared" si="6"/>
        <v>49.600000000000009</v>
      </c>
      <c r="AC49" s="53">
        <f t="shared" si="6"/>
        <v>49.800000000000011</v>
      </c>
      <c r="AD49" s="53">
        <f t="shared" si="6"/>
        <v>50</v>
      </c>
    </row>
    <row r="50" spans="1:30" s="52" customFormat="1" x14ac:dyDescent="0.35">
      <c r="A50" s="72" t="s">
        <v>30</v>
      </c>
      <c r="B50" s="10">
        <f>NPV('Cost Assumptions'!$B$3,'VS to VN to VST &amp; Cen BESS VS'!D50:'VS to VN to VST &amp; Cen BESS VS'!AD50)</f>
        <v>39141.445534236278</v>
      </c>
      <c r="C50" s="70" t="s">
        <v>140</v>
      </c>
      <c r="D50" s="53">
        <f>D13-D24</f>
        <v>1637.4650100268436</v>
      </c>
      <c r="E50" s="53">
        <f t="shared" ref="E50:AD50" si="7">E13-E24</f>
        <v>2177.3309561137412</v>
      </c>
      <c r="F50" s="53">
        <f t="shared" si="7"/>
        <v>2717.1969022006379</v>
      </c>
      <c r="G50" s="53">
        <f t="shared" si="7"/>
        <v>3257.0628482875345</v>
      </c>
      <c r="H50" s="53">
        <f t="shared" si="7"/>
        <v>3796.928794374433</v>
      </c>
      <c r="I50" s="53">
        <f t="shared" si="7"/>
        <v>4336.7947404613296</v>
      </c>
      <c r="J50" s="53">
        <f t="shared" si="7"/>
        <v>4876.6606865482263</v>
      </c>
      <c r="K50" s="53">
        <f t="shared" si="7"/>
        <v>4751.6880579350345</v>
      </c>
      <c r="L50" s="53">
        <f t="shared" si="7"/>
        <v>4626.7154293218427</v>
      </c>
      <c r="M50" s="53">
        <f t="shared" si="7"/>
        <v>3604.0088606696972</v>
      </c>
      <c r="N50" s="53">
        <f t="shared" si="7"/>
        <v>4264.9844683355968</v>
      </c>
      <c r="O50" s="53">
        <f t="shared" si="7"/>
        <v>5180.7852586977097</v>
      </c>
      <c r="P50" s="53">
        <f t="shared" si="7"/>
        <v>5378.5499981392313</v>
      </c>
      <c r="Q50" s="53">
        <f t="shared" si="7"/>
        <v>5576.3147375807512</v>
      </c>
      <c r="R50" s="53">
        <f t="shared" si="7"/>
        <v>5774.079477022271</v>
      </c>
      <c r="S50" s="53">
        <f t="shared" si="7"/>
        <v>5971.8442164637927</v>
      </c>
      <c r="T50" s="53">
        <f t="shared" si="7"/>
        <v>6169.6089559053144</v>
      </c>
      <c r="U50" s="53">
        <f t="shared" si="7"/>
        <v>6367.3736953468342</v>
      </c>
      <c r="V50" s="53">
        <f t="shared" si="7"/>
        <v>6565.1384347883541</v>
      </c>
      <c r="W50" s="53">
        <f t="shared" si="7"/>
        <v>6762.9031742298757</v>
      </c>
      <c r="X50" s="53">
        <f t="shared" si="7"/>
        <v>6960.6679136713974</v>
      </c>
      <c r="Y50" s="53">
        <f t="shared" si="7"/>
        <v>7158.4326531129154</v>
      </c>
      <c r="Z50" s="53">
        <f t="shared" si="7"/>
        <v>7356.1973925544371</v>
      </c>
      <c r="AA50" s="53">
        <f t="shared" si="7"/>
        <v>7553.9621319959588</v>
      </c>
      <c r="AB50" s="53">
        <f t="shared" si="7"/>
        <v>7751.7268714374804</v>
      </c>
      <c r="AC50" s="53">
        <f t="shared" si="7"/>
        <v>7949.4916108790021</v>
      </c>
      <c r="AD50" s="53">
        <f t="shared" si="7"/>
        <v>8147.2563503205129</v>
      </c>
    </row>
    <row r="51" spans="1:30" s="52" customFormat="1" x14ac:dyDescent="0.35">
      <c r="A51" s="72" t="s">
        <v>30</v>
      </c>
      <c r="B51" s="10">
        <f>NPV('Cost Assumptions'!$B$3,'VS to VN to VST &amp; Cen BESS VS'!D51:'VS to VN to VST &amp; Cen BESS VS'!AD51)</f>
        <v>0</v>
      </c>
      <c r="C51" s="70" t="s">
        <v>141</v>
      </c>
      <c r="D51" s="53">
        <f>D14-D25</f>
        <v>0</v>
      </c>
      <c r="E51" s="53">
        <f t="shared" ref="E51:AD51" si="8">E14-E25</f>
        <v>0</v>
      </c>
      <c r="F51" s="53">
        <f t="shared" si="8"/>
        <v>0</v>
      </c>
      <c r="G51" s="53">
        <f t="shared" si="8"/>
        <v>0</v>
      </c>
      <c r="H51" s="53">
        <f t="shared" si="8"/>
        <v>0</v>
      </c>
      <c r="I51" s="53">
        <f t="shared" si="8"/>
        <v>0</v>
      </c>
      <c r="J51" s="53">
        <f t="shared" si="8"/>
        <v>0</v>
      </c>
      <c r="K51" s="53">
        <f t="shared" si="8"/>
        <v>0</v>
      </c>
      <c r="L51" s="53">
        <f t="shared" si="8"/>
        <v>0</v>
      </c>
      <c r="M51" s="53">
        <f t="shared" si="8"/>
        <v>0</v>
      </c>
      <c r="N51" s="53">
        <f t="shared" si="8"/>
        <v>0</v>
      </c>
      <c r="O51" s="53">
        <f t="shared" si="8"/>
        <v>0</v>
      </c>
      <c r="P51" s="53">
        <f t="shared" si="8"/>
        <v>0</v>
      </c>
      <c r="Q51" s="53">
        <f t="shared" si="8"/>
        <v>0</v>
      </c>
      <c r="R51" s="53">
        <f t="shared" si="8"/>
        <v>0</v>
      </c>
      <c r="S51" s="53">
        <f t="shared" si="8"/>
        <v>0</v>
      </c>
      <c r="T51" s="53">
        <f t="shared" si="8"/>
        <v>0</v>
      </c>
      <c r="U51" s="53">
        <f t="shared" si="8"/>
        <v>0</v>
      </c>
      <c r="V51" s="53">
        <f t="shared" si="8"/>
        <v>0</v>
      </c>
      <c r="W51" s="53">
        <f t="shared" si="8"/>
        <v>0</v>
      </c>
      <c r="X51" s="53">
        <f t="shared" si="8"/>
        <v>0</v>
      </c>
      <c r="Y51" s="53">
        <f t="shared" si="8"/>
        <v>0</v>
      </c>
      <c r="Z51" s="53">
        <f t="shared" si="8"/>
        <v>0</v>
      </c>
      <c r="AA51" s="53">
        <f t="shared" si="8"/>
        <v>0</v>
      </c>
      <c r="AB51" s="53">
        <f t="shared" si="8"/>
        <v>0</v>
      </c>
      <c r="AC51" s="53">
        <f t="shared" si="8"/>
        <v>0</v>
      </c>
      <c r="AD51" s="53">
        <f t="shared" si="8"/>
        <v>0</v>
      </c>
    </row>
    <row r="52" spans="1:30" s="66" customFormat="1" x14ac:dyDescent="0.35">
      <c r="A52" s="72" t="s">
        <v>30</v>
      </c>
      <c r="B52" s="10">
        <f>NPV('Cost Assumptions'!$B$3,'VS to VN to VST &amp; Cen BESS VS'!D52:'VS to VN to VST &amp; Cen BESS VS'!AD52)</f>
        <v>479183.40573156968</v>
      </c>
      <c r="C52" s="70" t="s">
        <v>142</v>
      </c>
      <c r="D52" s="53">
        <f>D15-D26</f>
        <v>41950.317319588241</v>
      </c>
      <c r="E52" s="53">
        <f t="shared" ref="E52:AD52" si="9">E15-E26</f>
        <v>44543.453126980952</v>
      </c>
      <c r="F52" s="53">
        <f t="shared" si="9"/>
        <v>45828.860716419767</v>
      </c>
      <c r="G52" s="53">
        <f t="shared" si="9"/>
        <v>47153.352767109565</v>
      </c>
      <c r="H52" s="53">
        <f t="shared" si="9"/>
        <v>48574.54795918976</v>
      </c>
      <c r="I52" s="53">
        <f t="shared" si="9"/>
        <v>50215.764777497636</v>
      </c>
      <c r="J52" s="53">
        <f t="shared" si="9"/>
        <v>51874.691963872247</v>
      </c>
      <c r="K52" s="53">
        <f t="shared" si="9"/>
        <v>50778.114869249301</v>
      </c>
      <c r="L52" s="53">
        <f t="shared" si="9"/>
        <v>49693.135746863452</v>
      </c>
      <c r="M52" s="53">
        <f t="shared" si="9"/>
        <v>48611.273086176574</v>
      </c>
      <c r="N52" s="53">
        <f t="shared" si="9"/>
        <v>50344.583019320264</v>
      </c>
      <c r="O52" s="53">
        <f t="shared" si="9"/>
        <v>52146.765099087497</v>
      </c>
      <c r="P52" s="53">
        <f t="shared" si="9"/>
        <v>54023.414660322465</v>
      </c>
      <c r="Q52" s="53">
        <f t="shared" si="9"/>
        <v>55888.522918306931</v>
      </c>
      <c r="R52" s="53">
        <f t="shared" si="9"/>
        <v>57769.072009230513</v>
      </c>
      <c r="S52" s="53">
        <f t="shared" si="9"/>
        <v>59689.474085032125</v>
      </c>
      <c r="T52" s="53">
        <f t="shared" si="9"/>
        <v>61697.84379550803</v>
      </c>
      <c r="U52" s="53">
        <f t="shared" si="9"/>
        <v>63562.358136175724</v>
      </c>
      <c r="V52" s="53">
        <f t="shared" si="9"/>
        <v>65462.168384773649</v>
      </c>
      <c r="W52" s="53">
        <f t="shared" si="9"/>
        <v>67413.848768282201</v>
      </c>
      <c r="X52" s="53">
        <f t="shared" si="9"/>
        <v>69383.773026755458</v>
      </c>
      <c r="Y52" s="53">
        <f t="shared" si="9"/>
        <v>71058.973139583541</v>
      </c>
      <c r="Z52" s="53">
        <f t="shared" si="9"/>
        <v>72692.90965949271</v>
      </c>
      <c r="AA52" s="53">
        <f t="shared" si="9"/>
        <v>74263.686691227922</v>
      </c>
      <c r="AB52" s="53">
        <f t="shared" si="9"/>
        <v>75805.906063189002</v>
      </c>
      <c r="AC52" s="53">
        <f t="shared" si="9"/>
        <v>76906.765075590141</v>
      </c>
      <c r="AD52" s="53">
        <f t="shared" si="9"/>
        <v>77904.270842658967</v>
      </c>
    </row>
    <row r="53" spans="1:30" x14ac:dyDescent="0.35">
      <c r="A53" s="72" t="s">
        <v>39</v>
      </c>
      <c r="B53" s="10">
        <f>NPV('Cost Assumptions'!$B$3,'VS to VN to VST &amp; Cen BESS VS'!D53:'VS to VN to VST &amp; Cen BESS VS'!AD53)</f>
        <v>3651.1526425215561</v>
      </c>
      <c r="C53" s="72" t="s">
        <v>31</v>
      </c>
      <c r="D53" s="53">
        <f>D8-SUM(D28,D27)</f>
        <v>22.2</v>
      </c>
      <c r="E53" s="53">
        <f t="shared" ref="E53:AD53" si="10">E8-SUM(E28,E27)</f>
        <v>65.8</v>
      </c>
      <c r="F53" s="53">
        <f t="shared" si="10"/>
        <v>102.72</v>
      </c>
      <c r="G53" s="53">
        <f t="shared" si="10"/>
        <v>139.63999999999999</v>
      </c>
      <c r="H53" s="53">
        <f t="shared" si="10"/>
        <v>176.56</v>
      </c>
      <c r="I53" s="53">
        <f t="shared" si="10"/>
        <v>213.48000000000002</v>
      </c>
      <c r="J53" s="53">
        <f t="shared" si="10"/>
        <v>250.4</v>
      </c>
      <c r="K53" s="53">
        <f t="shared" si="10"/>
        <v>216.60000000000014</v>
      </c>
      <c r="L53" s="53">
        <f t="shared" si="10"/>
        <v>182.59999999999991</v>
      </c>
      <c r="M53" s="53">
        <f t="shared" si="10"/>
        <v>151.20000000000005</v>
      </c>
      <c r="N53" s="53">
        <f t="shared" si="10"/>
        <v>202.60000000000014</v>
      </c>
      <c r="O53" s="53">
        <f t="shared" si="10"/>
        <v>292.1666666666668</v>
      </c>
      <c r="P53" s="53">
        <f t="shared" si="10"/>
        <v>381.73333333333346</v>
      </c>
      <c r="Q53" s="53">
        <f t="shared" si="10"/>
        <v>471.30000000000013</v>
      </c>
      <c r="R53" s="53">
        <f t="shared" si="10"/>
        <v>560.86666666666679</v>
      </c>
      <c r="S53" s="53">
        <f t="shared" si="10"/>
        <v>650.43333333333339</v>
      </c>
      <c r="T53" s="53">
        <f t="shared" si="10"/>
        <v>740</v>
      </c>
      <c r="U53" s="53">
        <f t="shared" si="10"/>
        <v>930.87999999999988</v>
      </c>
      <c r="V53" s="53">
        <f t="shared" si="10"/>
        <v>1121.7599999999998</v>
      </c>
      <c r="W53" s="53">
        <f t="shared" si="10"/>
        <v>1312.6399999999996</v>
      </c>
      <c r="X53" s="53">
        <f t="shared" si="10"/>
        <v>1503.5199999999995</v>
      </c>
      <c r="Y53" s="53">
        <f t="shared" si="10"/>
        <v>1694.3999999999994</v>
      </c>
      <c r="Z53" s="53">
        <f t="shared" si="10"/>
        <v>1887.3999999999994</v>
      </c>
      <c r="AA53" s="53">
        <f t="shared" si="10"/>
        <v>2079.1999999999998</v>
      </c>
      <c r="AB53" s="53">
        <f t="shared" si="10"/>
        <v>2249.9999999999995</v>
      </c>
      <c r="AC53" s="53">
        <f t="shared" si="10"/>
        <v>2420.7999999999993</v>
      </c>
      <c r="AD53" s="53">
        <f t="shared" si="10"/>
        <v>2591.5999999999995</v>
      </c>
    </row>
    <row r="54" spans="1:30" x14ac:dyDescent="0.35">
      <c r="A54" s="72" t="s">
        <v>39</v>
      </c>
      <c r="B54" s="10">
        <f>NPV('Cost Assumptions'!$B$3,'VS to VN to VST &amp; Cen BESS VS'!D54:'VS to VN to VST &amp; Cen BESS VS'!AD54)</f>
        <v>597.14277053067747</v>
      </c>
      <c r="C54" s="72" t="s">
        <v>32</v>
      </c>
      <c r="D54" s="53">
        <f t="shared" ref="D54:AD54" si="11">D9-D29</f>
        <v>13</v>
      </c>
      <c r="E54" s="53">
        <f t="shared" si="11"/>
        <v>27</v>
      </c>
      <c r="F54" s="53">
        <f t="shared" si="11"/>
        <v>34.519999999999982</v>
      </c>
      <c r="G54" s="53">
        <f t="shared" si="11"/>
        <v>42.039999999999964</v>
      </c>
      <c r="H54" s="53">
        <f t="shared" si="11"/>
        <v>49.559999999999945</v>
      </c>
      <c r="I54" s="53">
        <f t="shared" si="11"/>
        <v>57.079999999999927</v>
      </c>
      <c r="J54" s="53">
        <f t="shared" si="11"/>
        <v>64.599999999999909</v>
      </c>
      <c r="K54" s="53">
        <f t="shared" si="11"/>
        <v>59.799999999999955</v>
      </c>
      <c r="L54" s="53">
        <f t="shared" si="11"/>
        <v>52.799999999999955</v>
      </c>
      <c r="M54" s="53">
        <f t="shared" si="11"/>
        <v>46</v>
      </c>
      <c r="N54" s="53">
        <f t="shared" si="11"/>
        <v>57.400000000000091</v>
      </c>
      <c r="O54" s="53">
        <f t="shared" si="11"/>
        <v>67.333333333333414</v>
      </c>
      <c r="P54" s="53">
        <f t="shared" si="11"/>
        <v>77.266666666666737</v>
      </c>
      <c r="Q54" s="53">
        <f t="shared" si="11"/>
        <v>87.20000000000006</v>
      </c>
      <c r="R54" s="53">
        <f t="shared" si="11"/>
        <v>97.133333333333383</v>
      </c>
      <c r="S54" s="53">
        <f t="shared" si="11"/>
        <v>107.06666666666671</v>
      </c>
      <c r="T54" s="53">
        <f t="shared" si="11"/>
        <v>117</v>
      </c>
      <c r="U54" s="53">
        <f t="shared" si="11"/>
        <v>126.6</v>
      </c>
      <c r="V54" s="53">
        <f t="shared" si="11"/>
        <v>136.19999999999999</v>
      </c>
      <c r="W54" s="53">
        <f t="shared" si="11"/>
        <v>145.79999999999998</v>
      </c>
      <c r="X54" s="53">
        <f t="shared" si="11"/>
        <v>155.39999999999998</v>
      </c>
      <c r="Y54" s="53">
        <f t="shared" si="11"/>
        <v>165</v>
      </c>
      <c r="Z54" s="53">
        <f t="shared" si="11"/>
        <v>171.84</v>
      </c>
      <c r="AA54" s="53">
        <f t="shared" si="11"/>
        <v>177.47999999999996</v>
      </c>
      <c r="AB54" s="53">
        <f t="shared" si="11"/>
        <v>172.51999999999992</v>
      </c>
      <c r="AC54" s="53">
        <f t="shared" si="11"/>
        <v>167.55999999999992</v>
      </c>
      <c r="AD54" s="53">
        <f t="shared" si="11"/>
        <v>162.59999999999991</v>
      </c>
    </row>
    <row r="55" spans="1:30" x14ac:dyDescent="0.35">
      <c r="A55" s="72" t="s">
        <v>39</v>
      </c>
      <c r="B55" s="10">
        <f>NPV('Cost Assumptions'!$B$3,'VS to VN to VST &amp; Cen BESS VS'!D55:'VS to VN to VST &amp; Cen BESS VS'!AD55)</f>
        <v>54.04155031700688</v>
      </c>
      <c r="C55" s="72" t="s">
        <v>33</v>
      </c>
      <c r="D55" s="53">
        <f t="shared" ref="D55:AD55" si="12">D10-D30</f>
        <v>4.7253529883901121E-2</v>
      </c>
      <c r="E55" s="53">
        <f t="shared" si="12"/>
        <v>0.28011551949195379</v>
      </c>
      <c r="F55" s="53">
        <f t="shared" si="12"/>
        <v>0.59718244793816533</v>
      </c>
      <c r="G55" s="53">
        <f t="shared" si="12"/>
        <v>0.91424937638437687</v>
      </c>
      <c r="H55" s="53">
        <f t="shared" si="12"/>
        <v>1.2313163048305884</v>
      </c>
      <c r="I55" s="53">
        <f t="shared" si="12"/>
        <v>1.5483832332767999</v>
      </c>
      <c r="J55" s="53">
        <f t="shared" si="12"/>
        <v>1.8654501617230115</v>
      </c>
      <c r="K55" s="53">
        <f t="shared" si="12"/>
        <v>1.6136441894137561</v>
      </c>
      <c r="L55" s="53">
        <f t="shared" si="12"/>
        <v>1.1660127779459895</v>
      </c>
      <c r="M55" s="53">
        <f t="shared" si="12"/>
        <v>0.80458713045561225</v>
      </c>
      <c r="N55" s="53">
        <f t="shared" si="12"/>
        <v>0.56680711827214547</v>
      </c>
      <c r="O55" s="53">
        <f t="shared" si="12"/>
        <v>3.0445179689462347</v>
      </c>
      <c r="P55" s="53">
        <f t="shared" si="12"/>
        <v>4.5886299372095039</v>
      </c>
      <c r="Q55" s="53">
        <f t="shared" si="12"/>
        <v>6.1327419054727734</v>
      </c>
      <c r="R55" s="53">
        <f t="shared" si="12"/>
        <v>7.676853873736043</v>
      </c>
      <c r="S55" s="53">
        <f t="shared" si="12"/>
        <v>9.2209658419993126</v>
      </c>
      <c r="T55" s="53">
        <f t="shared" si="12"/>
        <v>10.765077810262582</v>
      </c>
      <c r="U55" s="53">
        <f t="shared" si="12"/>
        <v>11.285969377257926</v>
      </c>
      <c r="V55" s="53">
        <f t="shared" si="12"/>
        <v>11.80686094425327</v>
      </c>
      <c r="W55" s="53">
        <f t="shared" si="12"/>
        <v>12.327752511248613</v>
      </c>
      <c r="X55" s="53">
        <f t="shared" si="12"/>
        <v>12.848644078243957</v>
      </c>
      <c r="Y55" s="53">
        <f t="shared" si="12"/>
        <v>13.369535645239303</v>
      </c>
      <c r="Z55" s="53">
        <f t="shared" si="12"/>
        <v>31.024884631077057</v>
      </c>
      <c r="AA55" s="53">
        <f t="shared" si="12"/>
        <v>48.679189863178451</v>
      </c>
      <c r="AB55" s="53">
        <f t="shared" si="12"/>
        <v>66.236599956754389</v>
      </c>
      <c r="AC55" s="53">
        <f t="shared" si="12"/>
        <v>83.794010050330314</v>
      </c>
      <c r="AD55" s="53">
        <f t="shared" si="12"/>
        <v>101.35142014390625</v>
      </c>
    </row>
    <row r="56" spans="1:30" x14ac:dyDescent="0.35">
      <c r="A56" s="72" t="s">
        <v>39</v>
      </c>
      <c r="B56" s="10">
        <f>NPV('Cost Assumptions'!$B$3,'VS to VN to VST &amp; Cen BESS VS'!D56:'VS to VN to VST &amp; Cen BESS VS'!AD56)</f>
        <v>2.8980604518504158</v>
      </c>
      <c r="C56" s="72" t="s">
        <v>34</v>
      </c>
      <c r="D56" s="53">
        <f t="shared" ref="D56:AD56" si="13">D11-D31</f>
        <v>2.3626764941950561E-2</v>
      </c>
      <c r="E56" s="53">
        <f t="shared" si="13"/>
        <v>7.0028879872988448E-2</v>
      </c>
      <c r="F56" s="53">
        <f t="shared" si="13"/>
        <v>0.10932167994761965</v>
      </c>
      <c r="G56" s="53">
        <f t="shared" si="13"/>
        <v>0.14861448002225086</v>
      </c>
      <c r="H56" s="53">
        <f t="shared" si="13"/>
        <v>0.18790728009688207</v>
      </c>
      <c r="I56" s="53">
        <f t="shared" si="13"/>
        <v>0.22720008017151327</v>
      </c>
      <c r="J56" s="53">
        <f t="shared" si="13"/>
        <v>0.26649288024614448</v>
      </c>
      <c r="K56" s="53">
        <f t="shared" si="13"/>
        <v>0.23052059848767945</v>
      </c>
      <c r="L56" s="53">
        <f t="shared" si="13"/>
        <v>0.19433546299099821</v>
      </c>
      <c r="M56" s="53">
        <f t="shared" si="13"/>
        <v>0.16091742609112245</v>
      </c>
      <c r="N56" s="53">
        <f t="shared" si="13"/>
        <v>4.2212624824281168E-2</v>
      </c>
      <c r="O56" s="53">
        <f t="shared" si="13"/>
        <v>0.30677545020347896</v>
      </c>
      <c r="P56" s="53">
        <f t="shared" si="13"/>
        <v>0.39920718602367722</v>
      </c>
      <c r="Q56" s="53">
        <f t="shared" si="13"/>
        <v>0.49163892184387548</v>
      </c>
      <c r="R56" s="53">
        <f t="shared" si="13"/>
        <v>0.58407065766407373</v>
      </c>
      <c r="S56" s="53">
        <f t="shared" si="13"/>
        <v>0.67650239348427199</v>
      </c>
      <c r="T56" s="53">
        <f t="shared" si="13"/>
        <v>0.76893412930447014</v>
      </c>
      <c r="U56" s="53">
        <f t="shared" si="13"/>
        <v>0.69278283231502535</v>
      </c>
      <c r="V56" s="53">
        <f t="shared" si="13"/>
        <v>0.61663153532558057</v>
      </c>
      <c r="W56" s="53">
        <f t="shared" si="13"/>
        <v>0.54048023833613579</v>
      </c>
      <c r="X56" s="53">
        <f t="shared" si="13"/>
        <v>0.464328941346691</v>
      </c>
      <c r="Y56" s="53">
        <f t="shared" si="13"/>
        <v>0.38817764435724611</v>
      </c>
      <c r="Z56" s="53">
        <f t="shared" si="13"/>
        <v>0.85998146994216484</v>
      </c>
      <c r="AA56" s="53">
        <f t="shared" si="13"/>
        <v>1.3307415417907231</v>
      </c>
      <c r="AB56" s="53">
        <f t="shared" si="13"/>
        <v>1.7832359232529744</v>
      </c>
      <c r="AC56" s="53">
        <f t="shared" si="13"/>
        <v>2.2357303047152257</v>
      </c>
      <c r="AD56" s="53">
        <f t="shared" si="13"/>
        <v>2.6882246861774766</v>
      </c>
    </row>
    <row r="57" spans="1:30" x14ac:dyDescent="0.35">
      <c r="A57" s="72" t="s">
        <v>39</v>
      </c>
      <c r="B57" s="10">
        <f>NPV('Cost Assumptions'!$B$3,'VS to VN to VST &amp; Cen BESS VS'!D57:'VS to VN to VST &amp; Cen BESS VS'!AD57)</f>
        <v>80.97055774187946</v>
      </c>
      <c r="C57" s="72" t="s">
        <v>35</v>
      </c>
      <c r="D57" s="53">
        <f t="shared" ref="D57:AD57" si="14">D12-D32</f>
        <v>2</v>
      </c>
      <c r="E57" s="53">
        <f t="shared" si="14"/>
        <v>4</v>
      </c>
      <c r="F57" s="53">
        <f t="shared" si="14"/>
        <v>4.5999999999999996</v>
      </c>
      <c r="G57" s="53">
        <f t="shared" si="14"/>
        <v>5.1999999999999993</v>
      </c>
      <c r="H57" s="53">
        <f t="shared" si="14"/>
        <v>5.7999999999999989</v>
      </c>
      <c r="I57" s="53">
        <f t="shared" si="14"/>
        <v>6.3999999999999986</v>
      </c>
      <c r="J57" s="53">
        <f t="shared" si="14"/>
        <v>7</v>
      </c>
      <c r="K57" s="53">
        <f t="shared" si="14"/>
        <v>7</v>
      </c>
      <c r="L57" s="53">
        <f t="shared" si="14"/>
        <v>6</v>
      </c>
      <c r="M57" s="53">
        <f t="shared" si="14"/>
        <v>5</v>
      </c>
      <c r="N57" s="53">
        <f t="shared" si="14"/>
        <v>7</v>
      </c>
      <c r="O57" s="53">
        <f t="shared" si="14"/>
        <v>8.1666666666666661</v>
      </c>
      <c r="P57" s="53">
        <f t="shared" si="14"/>
        <v>9.3333333333333321</v>
      </c>
      <c r="Q57" s="53">
        <f t="shared" si="14"/>
        <v>10.499999999999998</v>
      </c>
      <c r="R57" s="53">
        <f t="shared" si="14"/>
        <v>11.666666666666664</v>
      </c>
      <c r="S57" s="53">
        <f t="shared" si="14"/>
        <v>12.83333333333333</v>
      </c>
      <c r="T57" s="53">
        <f t="shared" si="14"/>
        <v>14</v>
      </c>
      <c r="U57" s="53">
        <f t="shared" si="14"/>
        <v>17</v>
      </c>
      <c r="V57" s="53">
        <f t="shared" si="14"/>
        <v>20</v>
      </c>
      <c r="W57" s="53">
        <f t="shared" si="14"/>
        <v>23</v>
      </c>
      <c r="X57" s="53">
        <f t="shared" si="14"/>
        <v>26</v>
      </c>
      <c r="Y57" s="53">
        <f t="shared" si="14"/>
        <v>29</v>
      </c>
      <c r="Z57" s="53">
        <f t="shared" si="14"/>
        <v>30.6</v>
      </c>
      <c r="AA57" s="53">
        <f t="shared" si="14"/>
        <v>31.200000000000003</v>
      </c>
      <c r="AB57" s="53">
        <f t="shared" si="14"/>
        <v>31.466666666666672</v>
      </c>
      <c r="AC57" s="53">
        <f t="shared" si="14"/>
        <v>31.733333333333341</v>
      </c>
      <c r="AD57" s="53">
        <f t="shared" si="14"/>
        <v>32</v>
      </c>
    </row>
    <row r="59" spans="1:30" ht="15" thickBot="1" x14ac:dyDescent="0.4">
      <c r="A59" s="177" t="s">
        <v>143</v>
      </c>
      <c r="B59" s="177"/>
      <c r="C59" s="177"/>
      <c r="D59" s="177"/>
      <c r="E59" s="177"/>
      <c r="F59" s="177"/>
      <c r="G59" s="177"/>
      <c r="H59" s="177"/>
      <c r="I59" s="177"/>
      <c r="J59" s="177"/>
      <c r="K59" s="177"/>
      <c r="L59" s="177"/>
      <c r="M59" s="177"/>
      <c r="N59" s="177"/>
      <c r="O59" s="177"/>
      <c r="P59" s="177"/>
      <c r="Q59" s="177"/>
      <c r="R59" s="177"/>
      <c r="S59" s="177"/>
      <c r="T59" s="177"/>
      <c r="U59" s="177"/>
      <c r="V59" s="177"/>
      <c r="W59" s="177"/>
      <c r="X59" s="177"/>
      <c r="Y59" s="177"/>
      <c r="Z59" s="177"/>
      <c r="AA59" s="177"/>
      <c r="AB59" s="177"/>
      <c r="AC59" s="177"/>
      <c r="AD59" s="177"/>
    </row>
    <row r="60" spans="1:30" ht="15.5" thickTop="1" thickBot="1" x14ac:dyDescent="0.4">
      <c r="A60" s="177"/>
      <c r="B60" s="177"/>
      <c r="C60" s="177"/>
      <c r="D60" s="177"/>
      <c r="E60" s="177"/>
      <c r="F60" s="177"/>
      <c r="G60" s="177"/>
      <c r="H60" s="177"/>
      <c r="I60" s="177"/>
      <c r="J60" s="177"/>
      <c r="K60" s="177"/>
      <c r="L60" s="177"/>
      <c r="M60" s="177"/>
      <c r="N60" s="177"/>
      <c r="O60" s="177"/>
      <c r="P60" s="177"/>
      <c r="Q60" s="177"/>
      <c r="R60" s="177"/>
      <c r="S60" s="177"/>
      <c r="T60" s="177"/>
      <c r="U60" s="177"/>
      <c r="V60" s="177"/>
      <c r="W60" s="177"/>
      <c r="X60" s="177"/>
      <c r="Y60" s="177"/>
      <c r="Z60" s="177"/>
      <c r="AA60" s="177"/>
      <c r="AB60" s="177"/>
      <c r="AC60" s="177"/>
      <c r="AD60" s="177"/>
    </row>
    <row r="61" spans="1:30" ht="15" thickTop="1" x14ac:dyDescent="0.35">
      <c r="A61" s="72" t="str">
        <f>'Baseline System Analysis'!A17</f>
        <v>Residential</v>
      </c>
      <c r="B61" s="72" t="str">
        <f>'Baseline System Analysis'!B17</f>
        <v>Cost of Reliability (N-1)</v>
      </c>
      <c r="C61" s="72" t="str">
        <f>'Baseline System Analysis'!C17</f>
        <v>$/kWh</v>
      </c>
      <c r="D61" s="4">
        <f>'Baseline System Analysis'!D17</f>
        <v>4.4933261328125003</v>
      </c>
      <c r="E61" s="4">
        <f>'Baseline System Analysis'!E17</f>
        <v>4.6056592861328127</v>
      </c>
      <c r="F61" s="4">
        <f>'Baseline System Analysis'!F17</f>
        <v>4.720800768286133</v>
      </c>
      <c r="G61" s="4">
        <f>'Baseline System Analysis'!G17</f>
        <v>4.8388207874932858</v>
      </c>
      <c r="H61" s="4">
        <f>'Baseline System Analysis'!H17</f>
        <v>4.9597913071806179</v>
      </c>
      <c r="I61" s="4">
        <f>'Baseline System Analysis'!I17</f>
        <v>5.0837860898601326</v>
      </c>
      <c r="J61" s="4">
        <f>'Baseline System Analysis'!J17</f>
        <v>5.2108807421066352</v>
      </c>
      <c r="K61" s="4">
        <f>'Baseline System Analysis'!K17</f>
        <v>5.341152760659301</v>
      </c>
      <c r="L61" s="4">
        <f>'Baseline System Analysis'!L17</f>
        <v>5.4746815796757833</v>
      </c>
      <c r="M61" s="4">
        <f>'Baseline System Analysis'!M17</f>
        <v>5.6115486191676771</v>
      </c>
      <c r="N61" s="4">
        <f>'Baseline System Analysis'!N17</f>
        <v>5.7518373346468685</v>
      </c>
      <c r="O61" s="4">
        <f>'Baseline System Analysis'!O17</f>
        <v>5.8956332680130394</v>
      </c>
      <c r="P61" s="4">
        <f>'Baseline System Analysis'!P17</f>
        <v>6.0430240997133646</v>
      </c>
      <c r="Q61" s="4">
        <f>'Baseline System Analysis'!Q17</f>
        <v>6.1940997022061985</v>
      </c>
      <c r="R61" s="4">
        <f>'Baseline System Analysis'!R17</f>
        <v>6.3489521947613525</v>
      </c>
      <c r="S61" s="4">
        <f>'Baseline System Analysis'!S17</f>
        <v>6.5076759996303855</v>
      </c>
      <c r="T61" s="4">
        <f>'Baseline System Analysis'!T17</f>
        <v>6.6703678996211444</v>
      </c>
      <c r="U61" s="4">
        <f>'Baseline System Analysis'!U17</f>
        <v>6.8371270971116722</v>
      </c>
      <c r="V61" s="4">
        <f>'Baseline System Analysis'!V17</f>
        <v>7.0080552745394638</v>
      </c>
      <c r="W61" s="4">
        <f>'Baseline System Analysis'!W17</f>
        <v>7.1832566564029499</v>
      </c>
      <c r="X61" s="4">
        <f>'Baseline System Analysis'!X17</f>
        <v>7.3628380728130232</v>
      </c>
      <c r="Y61" s="4">
        <f>'Baseline System Analysis'!Y17</f>
        <v>7.5469090246333481</v>
      </c>
      <c r="Z61" s="4">
        <f>'Baseline System Analysis'!Z17</f>
        <v>7.7355817502491808</v>
      </c>
      <c r="AA61" s="4">
        <f>'Baseline System Analysis'!AA17</f>
        <v>7.92897129400541</v>
      </c>
      <c r="AB61" s="4">
        <f>'Baseline System Analysis'!AB17</f>
        <v>8.127195576355545</v>
      </c>
      <c r="AC61" s="4">
        <f>'Baseline System Analysis'!AC17</f>
        <v>8.3303754657644333</v>
      </c>
      <c r="AD61" s="4">
        <f>'Baseline System Analysis'!AD17</f>
        <v>8.5386348524085438</v>
      </c>
    </row>
    <row r="62" spans="1:30" x14ac:dyDescent="0.35">
      <c r="A62" s="72" t="str">
        <f>'Baseline System Analysis'!A18</f>
        <v>Residential</v>
      </c>
      <c r="B62" s="72" t="str">
        <f>'Baseline System Analysis'!B18</f>
        <v>Cost of Reliability (N-0)</v>
      </c>
      <c r="C62" s="72" t="str">
        <f>'Baseline System Analysis'!C18</f>
        <v>$/kWh</v>
      </c>
      <c r="D62" s="4">
        <f>'Baseline System Analysis'!D18</f>
        <v>3.7920011132812497</v>
      </c>
      <c r="E62" s="4">
        <f>'Baseline System Analysis'!E18</f>
        <v>3.8868011411132808</v>
      </c>
      <c r="F62" s="4">
        <f>'Baseline System Analysis'!F18</f>
        <v>3.9839711696411126</v>
      </c>
      <c r="G62" s="4">
        <f>'Baseline System Analysis'!G18</f>
        <v>4.0835704488821403</v>
      </c>
      <c r="H62" s="4">
        <f>'Baseline System Analysis'!H18</f>
        <v>4.1856597101041935</v>
      </c>
      <c r="I62" s="4">
        <f>'Baseline System Analysis'!I18</f>
        <v>4.2903012028567975</v>
      </c>
      <c r="J62" s="4">
        <f>'Baseline System Analysis'!J18</f>
        <v>4.3975587329282169</v>
      </c>
      <c r="K62" s="4">
        <f>'Baseline System Analysis'!K18</f>
        <v>4.5074977012514221</v>
      </c>
      <c r="L62" s="4">
        <f>'Baseline System Analysis'!L18</f>
        <v>4.6201851437827068</v>
      </c>
      <c r="M62" s="4">
        <f>'Baseline System Analysis'!M18</f>
        <v>4.735689772377274</v>
      </c>
      <c r="N62" s="4">
        <f>'Baseline System Analysis'!N18</f>
        <v>4.8540820166867054</v>
      </c>
      <c r="O62" s="4">
        <f>'Baseline System Analysis'!O18</f>
        <v>4.9754340671038726</v>
      </c>
      <c r="P62" s="4">
        <f>'Baseline System Analysis'!P18</f>
        <v>5.0998199187814688</v>
      </c>
      <c r="Q62" s="4">
        <f>'Baseline System Analysis'!Q18</f>
        <v>5.2273154167510052</v>
      </c>
      <c r="R62" s="4">
        <f>'Baseline System Analysis'!R18</f>
        <v>5.3579983021697801</v>
      </c>
      <c r="S62" s="4">
        <f>'Baseline System Analysis'!S18</f>
        <v>5.4919482597240243</v>
      </c>
      <c r="T62" s="4">
        <f>'Baseline System Analysis'!T18</f>
        <v>5.6292469662171243</v>
      </c>
      <c r="U62" s="4">
        <f>'Baseline System Analysis'!U18</f>
        <v>5.7699781403725519</v>
      </c>
      <c r="V62" s="4">
        <f>'Baseline System Analysis'!V18</f>
        <v>5.9142275938818649</v>
      </c>
      <c r="W62" s="4">
        <f>'Baseline System Analysis'!W18</f>
        <v>6.0620832837289109</v>
      </c>
      <c r="X62" s="4">
        <f>'Baseline System Analysis'!X18</f>
        <v>6.2136353658221335</v>
      </c>
      <c r="Y62" s="4">
        <f>'Baseline System Analysis'!Y18</f>
        <v>6.3689762499676865</v>
      </c>
      <c r="Z62" s="4">
        <f>'Baseline System Analysis'!Z18</f>
        <v>6.5282006562168782</v>
      </c>
      <c r="AA62" s="4">
        <f>'Baseline System Analysis'!AA18</f>
        <v>6.6914056726222997</v>
      </c>
      <c r="AB62" s="4">
        <f>'Baseline System Analysis'!AB18</f>
        <v>6.8586908144378569</v>
      </c>
      <c r="AC62" s="4">
        <f>'Baseline System Analysis'!AC18</f>
        <v>7.0301580847988028</v>
      </c>
      <c r="AD62" s="4">
        <f>'Baseline System Analysis'!AD18</f>
        <v>7.2059120369187726</v>
      </c>
    </row>
    <row r="63" spans="1:30" x14ac:dyDescent="0.35">
      <c r="A63" s="72" t="str">
        <f>'Baseline System Analysis'!A19</f>
        <v>Commerical</v>
      </c>
      <c r="B63" s="72" t="str">
        <f>'Baseline System Analysis'!B19</f>
        <v>Cost of Reliability (N-1)</v>
      </c>
      <c r="C63" s="72" t="str">
        <f>'Baseline System Analysis'!C19</f>
        <v>$/kWh</v>
      </c>
      <c r="D63" s="4">
        <f>'Baseline System Analysis'!D19</f>
        <v>166.59767191406246</v>
      </c>
      <c r="E63" s="4">
        <f>'Baseline System Analysis'!E19</f>
        <v>170.76261371191401</v>
      </c>
      <c r="F63" s="4">
        <f>'Baseline System Analysis'!F19</f>
        <v>175.03167905471184</v>
      </c>
      <c r="G63" s="4">
        <f>'Baseline System Analysis'!G19</f>
        <v>179.40747103107964</v>
      </c>
      <c r="H63" s="4">
        <f>'Baseline System Analysis'!H19</f>
        <v>183.89265780685662</v>
      </c>
      <c r="I63" s="4">
        <f>'Baseline System Analysis'!I19</f>
        <v>188.48997425202802</v>
      </c>
      <c r="J63" s="4">
        <f>'Baseline System Analysis'!J19</f>
        <v>193.20222360832869</v>
      </c>
      <c r="K63" s="4">
        <f>'Baseline System Analysis'!K19</f>
        <v>198.03227919853688</v>
      </c>
      <c r="L63" s="4">
        <f>'Baseline System Analysis'!L19</f>
        <v>202.98308617850029</v>
      </c>
      <c r="M63" s="4">
        <f>'Baseline System Analysis'!M19</f>
        <v>208.05766333296279</v>
      </c>
      <c r="N63" s="4">
        <f>'Baseline System Analysis'!N19</f>
        <v>213.25910491628684</v>
      </c>
      <c r="O63" s="4">
        <f>'Baseline System Analysis'!O19</f>
        <v>218.590582539194</v>
      </c>
      <c r="P63" s="4">
        <f>'Baseline System Analysis'!P19</f>
        <v>224.05534710267384</v>
      </c>
      <c r="Q63" s="4">
        <f>'Baseline System Analysis'!Q19</f>
        <v>229.65673078024065</v>
      </c>
      <c r="R63" s="4">
        <f>'Baseline System Analysis'!R19</f>
        <v>235.39814904974665</v>
      </c>
      <c r="S63" s="4">
        <f>'Baseline System Analysis'!S19</f>
        <v>241.2831027759903</v>
      </c>
      <c r="T63" s="4">
        <f>'Baseline System Analysis'!T19</f>
        <v>247.31518034539005</v>
      </c>
      <c r="U63" s="4">
        <f>'Baseline System Analysis'!U19</f>
        <v>253.49805985402477</v>
      </c>
      <c r="V63" s="4">
        <f>'Baseline System Analysis'!V19</f>
        <v>259.83551135037538</v>
      </c>
      <c r="W63" s="4">
        <f>'Baseline System Analysis'!W19</f>
        <v>266.33139913413476</v>
      </c>
      <c r="X63" s="4">
        <f>'Baseline System Analysis'!X19</f>
        <v>272.98968411248808</v>
      </c>
      <c r="Y63" s="4">
        <f>'Baseline System Analysis'!Y19</f>
        <v>279.81442621530027</v>
      </c>
      <c r="Z63" s="4">
        <f>'Baseline System Analysis'!Z19</f>
        <v>286.80978687068273</v>
      </c>
      <c r="AA63" s="4">
        <f>'Baseline System Analysis'!AA19</f>
        <v>293.98003154244975</v>
      </c>
      <c r="AB63" s="4">
        <f>'Baseline System Analysis'!AB19</f>
        <v>301.32953233101097</v>
      </c>
      <c r="AC63" s="4">
        <f>'Baseline System Analysis'!AC19</f>
        <v>308.86277063928623</v>
      </c>
      <c r="AD63" s="4">
        <f>'Baseline System Analysis'!AD19</f>
        <v>316.58433990526834</v>
      </c>
    </row>
    <row r="64" spans="1:30" x14ac:dyDescent="0.35">
      <c r="A64" s="72" t="str">
        <f>'Baseline System Analysis'!A20</f>
        <v>Commerical</v>
      </c>
      <c r="B64" s="72" t="str">
        <f>'Baseline System Analysis'!B20</f>
        <v>Cost of Reliability (N-0)</v>
      </c>
      <c r="C64" s="72" t="str">
        <f>'Baseline System Analysis'!C20</f>
        <v>$/kWh</v>
      </c>
      <c r="D64" s="4">
        <f>'Baseline System Analysis'!D20</f>
        <v>153.83719106445315</v>
      </c>
      <c r="E64" s="4">
        <f>'Baseline System Analysis'!E20</f>
        <v>157.68312084106446</v>
      </c>
      <c r="F64" s="4">
        <f>'Baseline System Analysis'!F20</f>
        <v>161.62519886209105</v>
      </c>
      <c r="G64" s="4">
        <f>'Baseline System Analysis'!G20</f>
        <v>165.6658288336433</v>
      </c>
      <c r="H64" s="4">
        <f>'Baseline System Analysis'!H20</f>
        <v>169.80747455448437</v>
      </c>
      <c r="I64" s="4">
        <f>'Baseline System Analysis'!I20</f>
        <v>174.05266141834647</v>
      </c>
      <c r="J64" s="4">
        <f>'Baseline System Analysis'!J20</f>
        <v>178.40397795380511</v>
      </c>
      <c r="K64" s="4">
        <f>'Baseline System Analysis'!K20</f>
        <v>182.86407740265022</v>
      </c>
      <c r="L64" s="4">
        <f>'Baseline System Analysis'!L20</f>
        <v>187.43567933771646</v>
      </c>
      <c r="M64" s="4">
        <f>'Baseline System Analysis'!M20</f>
        <v>192.12157132115937</v>
      </c>
      <c r="N64" s="4">
        <f>'Baseline System Analysis'!N20</f>
        <v>196.92461060418833</v>
      </c>
      <c r="O64" s="4">
        <f>'Baseline System Analysis'!O20</f>
        <v>201.84772586929301</v>
      </c>
      <c r="P64" s="4">
        <f>'Baseline System Analysis'!P20</f>
        <v>206.89391901602534</v>
      </c>
      <c r="Q64" s="4">
        <f>'Baseline System Analysis'!Q20</f>
        <v>212.06626699142595</v>
      </c>
      <c r="R64" s="4">
        <f>'Baseline System Analysis'!R20</f>
        <v>217.36792366621157</v>
      </c>
      <c r="S64" s="4">
        <f>'Baseline System Analysis'!S20</f>
        <v>222.80212175786684</v>
      </c>
      <c r="T64" s="4">
        <f>'Baseline System Analysis'!T20</f>
        <v>228.37217480181349</v>
      </c>
      <c r="U64" s="4">
        <f>'Baseline System Analysis'!U20</f>
        <v>234.0814791718588</v>
      </c>
      <c r="V64" s="4">
        <f>'Baseline System Analysis'!V20</f>
        <v>239.93351615115526</v>
      </c>
      <c r="W64" s="4">
        <f>'Baseline System Analysis'!W20</f>
        <v>245.93185405493412</v>
      </c>
      <c r="X64" s="4">
        <f>'Baseline System Analysis'!X20</f>
        <v>252.08015040630744</v>
      </c>
      <c r="Y64" s="4">
        <f>'Baseline System Analysis'!Y20</f>
        <v>258.38215416646511</v>
      </c>
      <c r="Z64" s="4">
        <f>'Baseline System Analysis'!Z20</f>
        <v>264.8417080206267</v>
      </c>
      <c r="AA64" s="4">
        <f>'Baseline System Analysis'!AA20</f>
        <v>271.46275072114236</v>
      </c>
      <c r="AB64" s="4">
        <f>'Baseline System Analysis'!AB20</f>
        <v>278.24931948917089</v>
      </c>
      <c r="AC64" s="4">
        <f>'Baseline System Analysis'!AC20</f>
        <v>285.20555247640016</v>
      </c>
      <c r="AD64" s="4">
        <f>'Baseline System Analysis'!AD20</f>
        <v>292.33569128831016</v>
      </c>
    </row>
    <row r="66" spans="1:30" x14ac:dyDescent="0.35">
      <c r="A66" s="72" t="s">
        <v>117</v>
      </c>
      <c r="B66" s="72" t="s">
        <v>31</v>
      </c>
      <c r="C66" s="18">
        <f>NPV('Cost Assumptions'!$B$3,D66:AD66)</f>
        <v>34143.207027077427</v>
      </c>
      <c r="D66" s="4">
        <f>'Baseline System Analysis'!D24-D35</f>
        <v>85.467055666139231</v>
      </c>
      <c r="E66" s="4">
        <f>'Baseline System Analysis'!E24-E35</f>
        <v>-38.570120586914072</v>
      </c>
      <c r="F66" s="4">
        <f>'Baseline System Analysis'!F24-F35</f>
        <v>-162.6072968399676</v>
      </c>
      <c r="G66" s="4">
        <f>'Baseline System Analysis'!G24-G35</f>
        <v>-286.64447309302159</v>
      </c>
      <c r="H66" s="4">
        <f>'Baseline System Analysis'!H24-H35</f>
        <v>-410.68164934607557</v>
      </c>
      <c r="I66" s="4">
        <f>'Baseline System Analysis'!I24-I35</f>
        <v>-534.71882559912774</v>
      </c>
      <c r="J66" s="4">
        <f>'Baseline System Analysis'!J24-J35</f>
        <v>-658.75600185218173</v>
      </c>
      <c r="K66" s="4">
        <f>'Baseline System Analysis'!K24-K35</f>
        <v>-1572.2209183654504</v>
      </c>
      <c r="L66" s="4">
        <f>'Baseline System Analysis'!L24-L35</f>
        <v>-1299.1265165287841</v>
      </c>
      <c r="M66" s="4">
        <f>'Baseline System Analysis'!M24-M35</f>
        <v>-1202.7397104637585</v>
      </c>
      <c r="N66" s="4">
        <f>'Baseline System Analysis'!N24-N35</f>
        <v>-1056.4556606256465</v>
      </c>
      <c r="O66" s="4">
        <f>'Baseline System Analysis'!O24-O35</f>
        <v>1671.6038953372336</v>
      </c>
      <c r="P66" s="4">
        <f>'Baseline System Analysis'!P24-P35</f>
        <v>993.47922227187519</v>
      </c>
      <c r="Q66" s="4">
        <f>'Baseline System Analysis'!Q24-Q35</f>
        <v>315.35454920651682</v>
      </c>
      <c r="R66" s="4">
        <f>'Baseline System Analysis'!R24-R35</f>
        <v>-362.77012385884154</v>
      </c>
      <c r="S66" s="4">
        <f>'Baseline System Analysis'!S24-S35</f>
        <v>-1040.8947969242072</v>
      </c>
      <c r="T66" s="4">
        <f>'Baseline System Analysis'!T24-T35</f>
        <v>-1719.0194699895728</v>
      </c>
      <c r="U66" s="4">
        <f>'Baseline System Analysis'!U24-U35</f>
        <v>4040.5971902026795</v>
      </c>
      <c r="V66" s="4">
        <f>'Baseline System Analysis'!V24-V35</f>
        <v>9800.21385039491</v>
      </c>
      <c r="W66" s="4">
        <f>'Baseline System Analysis'!W24-W35</f>
        <v>15559.83051058714</v>
      </c>
      <c r="X66" s="4">
        <f>'Baseline System Analysis'!X24-X35</f>
        <v>21319.447170779371</v>
      </c>
      <c r="Y66" s="4">
        <f>'Baseline System Analysis'!Y24-Y35</f>
        <v>27079.063830971601</v>
      </c>
      <c r="Z66" s="4">
        <f>'Baseline System Analysis'!Z24-Z35</f>
        <v>37562.495116897771</v>
      </c>
      <c r="AA66" s="4">
        <f>'Baseline System Analysis'!AA24-AA35</f>
        <v>48045.926402823883</v>
      </c>
      <c r="AB66" s="4">
        <f>'Baseline System Analysis'!AB24-AB35</f>
        <v>58529.357688750024</v>
      </c>
      <c r="AC66" s="4">
        <f>'Baseline System Analysis'!AC24-AC35</f>
        <v>69012.788974676165</v>
      </c>
      <c r="AD66" s="4">
        <f>'Baseline System Analysis'!AD24-AD35</f>
        <v>79496.220260602364</v>
      </c>
    </row>
    <row r="67" spans="1:30" x14ac:dyDescent="0.35">
      <c r="A67" s="72" t="s">
        <v>119</v>
      </c>
      <c r="B67" s="72" t="s">
        <v>31</v>
      </c>
      <c r="C67" s="18">
        <f>NPV('Cost Assumptions'!$B$3,D67:AD67)</f>
        <v>141676.75371356108</v>
      </c>
      <c r="D67" s="4">
        <f>'Baseline System Analysis'!D25-D36</f>
        <v>354.64433632821692</v>
      </c>
      <c r="E67" s="4">
        <f>'Baseline System Analysis'!E25-E36</f>
        <v>-160.04616879606328</v>
      </c>
      <c r="F67" s="4">
        <f>'Baseline System Analysis'!F25-F36</f>
        <v>-674.73667392034622</v>
      </c>
      <c r="G67" s="4">
        <f>'Baseline System Analysis'!G25-G36</f>
        <v>-1189.4271790446255</v>
      </c>
      <c r="H67" s="4">
        <f>'Baseline System Analysis'!H25-H36</f>
        <v>-1704.1176841689012</v>
      </c>
      <c r="I67" s="4">
        <f>'Baseline System Analysis'!I25-I36</f>
        <v>-2218.8081892931805</v>
      </c>
      <c r="J67" s="4">
        <f>'Baseline System Analysis'!J25-J36</f>
        <v>-2733.498694417467</v>
      </c>
      <c r="K67" s="4">
        <f>'Baseline System Analysis'!K25-K36</f>
        <v>-6523.9084207268679</v>
      </c>
      <c r="L67" s="4">
        <f>'Baseline System Analysis'!L25-L36</f>
        <v>-5390.7070703416684</v>
      </c>
      <c r="M67" s="4">
        <f>'Baseline System Analysis'!M25-M36</f>
        <v>-4990.7513844776477</v>
      </c>
      <c r="N67" s="4">
        <f>'Baseline System Analysis'!N25-N36</f>
        <v>-4383.7477926738648</v>
      </c>
      <c r="O67" s="4">
        <f>'Baseline System Analysis'!O25-O36</f>
        <v>6936.2966753095388</v>
      </c>
      <c r="P67" s="4">
        <f>'Baseline System Analysis'!P25-P36</f>
        <v>4122.4279541674769</v>
      </c>
      <c r="Q67" s="4">
        <f>'Baseline System Analysis'!Q25-Q36</f>
        <v>1308.5592330254149</v>
      </c>
      <c r="R67" s="4">
        <f>'Baseline System Analysis'!R25-R36</f>
        <v>-1505.3094881166471</v>
      </c>
      <c r="S67" s="4">
        <f>'Baseline System Analysis'!S25-S36</f>
        <v>-4319.1782092587091</v>
      </c>
      <c r="T67" s="4">
        <f>'Baseline System Analysis'!T25-T36</f>
        <v>-7133.0469304008002</v>
      </c>
      <c r="U67" s="4">
        <f>'Baseline System Analysis'!U25-U36</f>
        <v>16766.400781217089</v>
      </c>
      <c r="V67" s="4">
        <f>'Baseline System Analysis'!V25-V36</f>
        <v>40665.84849283495</v>
      </c>
      <c r="W67" s="4">
        <f>'Baseline System Analysis'!W25-W36</f>
        <v>64565.29620445281</v>
      </c>
      <c r="X67" s="4">
        <f>'Baseline System Analysis'!X25-X36</f>
        <v>88464.743916070671</v>
      </c>
      <c r="Y67" s="4">
        <f>'Baseline System Analysis'!Y25-Y36</f>
        <v>112364.19162768847</v>
      </c>
      <c r="Z67" s="4">
        <f>'Baseline System Analysis'!Z25-Z36</f>
        <v>155865.04118734784</v>
      </c>
      <c r="AA67" s="4">
        <f>'Baseline System Analysis'!AA25-AA36</f>
        <v>199365.89074700733</v>
      </c>
      <c r="AB67" s="4">
        <f>'Baseline System Analysis'!AB25-AB36</f>
        <v>242866.74030666659</v>
      </c>
      <c r="AC67" s="4">
        <f>'Baseline System Analysis'!AC25-AC36</f>
        <v>286367.58986632596</v>
      </c>
      <c r="AD67" s="4">
        <f>'Baseline System Analysis'!AD25-AD36</f>
        <v>329868.43942598533</v>
      </c>
    </row>
    <row r="68" spans="1:30" x14ac:dyDescent="0.35">
      <c r="A68" s="72" t="s">
        <v>24</v>
      </c>
      <c r="B68" s="72" t="s">
        <v>31</v>
      </c>
      <c r="C68" s="18">
        <f>NPV('Cost Assumptions'!$B$3,D68:AD68)</f>
        <v>175819.96074063852</v>
      </c>
      <c r="D68" s="4">
        <f>SUM(D66:D67)</f>
        <v>440.11139199435615</v>
      </c>
      <c r="E68" s="4">
        <f t="shared" ref="E68:AD68" si="15">SUM(E66:E67)</f>
        <v>-198.61628938297736</v>
      </c>
      <c r="F68" s="4">
        <f t="shared" si="15"/>
        <v>-837.34397076031382</v>
      </c>
      <c r="G68" s="4">
        <f t="shared" si="15"/>
        <v>-1476.0716521376471</v>
      </c>
      <c r="H68" s="4">
        <f t="shared" si="15"/>
        <v>-2114.7993335149768</v>
      </c>
      <c r="I68" s="4">
        <f t="shared" si="15"/>
        <v>-2753.5270148923082</v>
      </c>
      <c r="J68" s="4">
        <f t="shared" si="15"/>
        <v>-3392.2546962696488</v>
      </c>
      <c r="K68" s="4">
        <f t="shared" si="15"/>
        <v>-8096.1293390923183</v>
      </c>
      <c r="L68" s="4">
        <f t="shared" si="15"/>
        <v>-6689.8335868704526</v>
      </c>
      <c r="M68" s="4">
        <f t="shared" si="15"/>
        <v>-6193.4910949414061</v>
      </c>
      <c r="N68" s="4">
        <f t="shared" si="15"/>
        <v>-5440.2034532995112</v>
      </c>
      <c r="O68" s="4">
        <f t="shared" si="15"/>
        <v>8607.9005706467724</v>
      </c>
      <c r="P68" s="4">
        <f t="shared" si="15"/>
        <v>5115.907176439352</v>
      </c>
      <c r="Q68" s="4">
        <f t="shared" si="15"/>
        <v>1623.9137822319317</v>
      </c>
      <c r="R68" s="4">
        <f t="shared" si="15"/>
        <v>-1868.0796119754887</v>
      </c>
      <c r="S68" s="4">
        <f t="shared" si="15"/>
        <v>-5360.0730061829163</v>
      </c>
      <c r="T68" s="4">
        <f t="shared" si="15"/>
        <v>-8852.066400390373</v>
      </c>
      <c r="U68" s="4">
        <f t="shared" si="15"/>
        <v>20806.997971419769</v>
      </c>
      <c r="V68" s="4">
        <f t="shared" si="15"/>
        <v>50466.06234322986</v>
      </c>
      <c r="W68" s="4">
        <f t="shared" si="15"/>
        <v>80125.126715039951</v>
      </c>
      <c r="X68" s="4">
        <f t="shared" si="15"/>
        <v>109784.19108685004</v>
      </c>
      <c r="Y68" s="4">
        <f t="shared" si="15"/>
        <v>139443.25545866007</v>
      </c>
      <c r="Z68" s="4">
        <f t="shared" si="15"/>
        <v>193427.53630424562</v>
      </c>
      <c r="AA68" s="4">
        <f t="shared" si="15"/>
        <v>247411.81714983121</v>
      </c>
      <c r="AB68" s="4">
        <f t="shared" si="15"/>
        <v>301396.09799541661</v>
      </c>
      <c r="AC68" s="4">
        <f t="shared" si="15"/>
        <v>355380.37884100212</v>
      </c>
      <c r="AD68" s="4">
        <f t="shared" si="15"/>
        <v>409364.65968658769</v>
      </c>
    </row>
    <row r="69" spans="1:30" x14ac:dyDescent="0.35">
      <c r="A69" s="72"/>
      <c r="B69" s="72"/>
      <c r="C69" s="72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</row>
    <row r="70" spans="1:30" x14ac:dyDescent="0.35">
      <c r="A70" s="72" t="s">
        <v>120</v>
      </c>
      <c r="B70" s="72" t="s">
        <v>31</v>
      </c>
      <c r="C70" s="18">
        <f>NPV('Cost Assumptions'!$B$3,D70:AD70)</f>
        <v>24212192.099315453</v>
      </c>
      <c r="D70" s="4">
        <f>'Baseline System Analysis'!D28-D33</f>
        <v>160311.2620318876</v>
      </c>
      <c r="E70" s="4">
        <f>'Baseline System Analysis'!E28-E33</f>
        <v>426681.41358302307</v>
      </c>
      <c r="F70" s="4">
        <f>'Baseline System Analysis'!F28-F33</f>
        <v>622797.58403751405</v>
      </c>
      <c r="G70" s="4">
        <f>'Baseline System Analysis'!G28-G33</f>
        <v>833710.68965832237</v>
      </c>
      <c r="H70" s="4">
        <f>'Baseline System Analysis'!H28-H33</f>
        <v>1064544.9637495263</v>
      </c>
      <c r="I70" s="4">
        <f>'Baseline System Analysis'!I28-I33</f>
        <v>1155248.1483230039</v>
      </c>
      <c r="J70" s="4">
        <f>'Baseline System Analysis'!J28-J33</f>
        <v>1567795.6535710837</v>
      </c>
      <c r="K70" s="4">
        <f>'Baseline System Analysis'!K28-K33</f>
        <v>1347745.4554885479</v>
      </c>
      <c r="L70" s="4">
        <f>'Baseline System Analysis'!L28-L33</f>
        <v>1143199.8672408643</v>
      </c>
      <c r="M70" s="4">
        <f>'Baseline System Analysis'!M28-M33</f>
        <v>1340230.0479167867</v>
      </c>
      <c r="N70" s="4">
        <f>'Baseline System Analysis'!N28-N33</f>
        <v>1211871.2277846751</v>
      </c>
      <c r="O70" s="4">
        <f>'Baseline System Analysis'!O28-O33</f>
        <v>1844840.0090543826</v>
      </c>
      <c r="P70" s="4">
        <f>'Baseline System Analysis'!P28-P33</f>
        <v>2356895.0256503327</v>
      </c>
      <c r="Q70" s="4">
        <f>'Baseline System Analysis'!Q28-Q33</f>
        <v>2752240.7792296447</v>
      </c>
      <c r="R70" s="4">
        <f>'Baseline System Analysis'!R28-R33</f>
        <v>3112959.3920374792</v>
      </c>
      <c r="S70" s="4">
        <f>'Baseline System Analysis'!S28-S33</f>
        <v>3866030.048087935</v>
      </c>
      <c r="T70" s="4">
        <f>'Baseline System Analysis'!T28-T33</f>
        <v>4800043.3764840001</v>
      </c>
      <c r="U70" s="4">
        <f>'Baseline System Analysis'!U28-U33</f>
        <v>5605356.4974824116</v>
      </c>
      <c r="V70" s="4">
        <f>'Baseline System Analysis'!V28-V33</f>
        <v>6874181.4866932966</v>
      </c>
      <c r="W70" s="4">
        <f>'Baseline System Analysis'!W28-W33</f>
        <v>7999576.6636784412</v>
      </c>
      <c r="X70" s="4">
        <f>'Baseline System Analysis'!X28-X33</f>
        <v>9754283.3840660583</v>
      </c>
      <c r="Y70" s="4">
        <f>'Baseline System Analysis'!Y28-Y33</f>
        <v>11535617.976796627</v>
      </c>
      <c r="Z70" s="4">
        <f>'Baseline System Analysis'!Z28-Z33</f>
        <v>13419029.134060645</v>
      </c>
      <c r="AA70" s="4">
        <f>'Baseline System Analysis'!AA28-AA33</f>
        <v>15543246.716915673</v>
      </c>
      <c r="AB70" s="4">
        <f>'Baseline System Analysis'!AB28-AB33</f>
        <v>17584078.632111408</v>
      </c>
      <c r="AC70" s="4">
        <f>'Baseline System Analysis'!AC28-AC33</f>
        <v>19396291.00400196</v>
      </c>
      <c r="AD70" s="4">
        <f>'Baseline System Analysis'!AD28-AD33</f>
        <v>20829038.559333161</v>
      </c>
    </row>
    <row r="71" spans="1:30" x14ac:dyDescent="0.35">
      <c r="A71" s="72" t="s">
        <v>121</v>
      </c>
      <c r="B71" s="72" t="s">
        <v>31</v>
      </c>
      <c r="C71" s="18">
        <f>NPV('Cost Assumptions'!$B$3,D71:AD71)</f>
        <v>110981417.44761626</v>
      </c>
      <c r="D71" s="4">
        <f>'Baseline System Analysis'!D29-D34</f>
        <v>903346.68264248176</v>
      </c>
      <c r="E71" s="4">
        <f>'Baseline System Analysis'!E29-E34</f>
        <v>2253380.2014470203</v>
      </c>
      <c r="F71" s="4">
        <f>'Baseline System Analysis'!F29-F34</f>
        <v>3310518.2522157584</v>
      </c>
      <c r="G71" s="4">
        <f>'Baseline System Analysis'!G29-G34</f>
        <v>4447479.3478986584</v>
      </c>
      <c r="H71" s="4">
        <f>'Baseline System Analysis'!H29-H34</f>
        <v>5587189.795765399</v>
      </c>
      <c r="I71" s="4">
        <f>'Baseline System Analysis'!I29-I34</f>
        <v>5454549.1605001325</v>
      </c>
      <c r="J71" s="4">
        <f>'Baseline System Analysis'!J29-J34</f>
        <v>7543147.8061243081</v>
      </c>
      <c r="K71" s="4">
        <f>'Baseline System Analysis'!K29-K34</f>
        <v>6412592.364404032</v>
      </c>
      <c r="L71" s="4">
        <f>'Baseline System Analysis'!L29-L34</f>
        <v>5385232.8797742622</v>
      </c>
      <c r="M71" s="4">
        <f>'Baseline System Analysis'!M29-M34</f>
        <v>6340117.1212563487</v>
      </c>
      <c r="N71" s="4">
        <f>'Baseline System Analysis'!N29-N34</f>
        <v>6361112.9189538537</v>
      </c>
      <c r="O71" s="4">
        <f>'Baseline System Analysis'!O29-O34</f>
        <v>8895771.1264487375</v>
      </c>
      <c r="P71" s="4">
        <f>'Baseline System Analysis'!P29-P34</f>
        <v>11481103.835917845</v>
      </c>
      <c r="Q71" s="4">
        <f>'Baseline System Analysis'!Q29-Q34</f>
        <v>12843987.910857875</v>
      </c>
      <c r="R71" s="4">
        <f>'Baseline System Analysis'!R29-R34</f>
        <v>13698596.18827603</v>
      </c>
      <c r="S71" s="4">
        <f>'Baseline System Analysis'!S29-S34</f>
        <v>17199347.660875205</v>
      </c>
      <c r="T71" s="4">
        <f>'Baseline System Analysis'!T29-T34</f>
        <v>21372792.810114369</v>
      </c>
      <c r="U71" s="4">
        <f>'Baseline System Analysis'!U29-U34</f>
        <v>24257449.061312743</v>
      </c>
      <c r="V71" s="4">
        <f>'Baseline System Analysis'!V29-V34</f>
        <v>29703520.689742472</v>
      </c>
      <c r="W71" s="4">
        <f>'Baseline System Analysis'!W29-W34</f>
        <v>34774447.076135397</v>
      </c>
      <c r="X71" s="4">
        <f>'Baseline System Analysis'!X29-X34</f>
        <v>42273498.74532187</v>
      </c>
      <c r="Y71" s="4">
        <f>'Baseline System Analysis'!Y29-Y34</f>
        <v>50410415.488010727</v>
      </c>
      <c r="Z71" s="4">
        <f>'Baseline System Analysis'!Z29-Z34</f>
        <v>59093268.855131164</v>
      </c>
      <c r="AA71" s="4">
        <f>'Baseline System Analysis'!AA29-AA34</f>
        <v>69171640.572909713</v>
      </c>
      <c r="AB71" s="4">
        <f>'Baseline System Analysis'!AB29-AB34</f>
        <v>78550030.396897003</v>
      </c>
      <c r="AC71" s="4">
        <f>'Baseline System Analysis'!AC29-AC34</f>
        <v>87122315.028975233</v>
      </c>
      <c r="AD71" s="4">
        <f>'Baseline System Analysis'!AD29-AD34</f>
        <v>93547197.104675725</v>
      </c>
    </row>
    <row r="72" spans="1:30" x14ac:dyDescent="0.35">
      <c r="A72" s="72" t="s">
        <v>24</v>
      </c>
      <c r="B72" s="72" t="s">
        <v>31</v>
      </c>
      <c r="C72" s="18">
        <f>NPV('Cost Assumptions'!$B$3,D72:AD72)</f>
        <v>135193609.54693171</v>
      </c>
      <c r="D72" s="4">
        <f>SUM(D70:D71)</f>
        <v>1063657.9446743694</v>
      </c>
      <c r="E72" s="4">
        <f t="shared" ref="E72:AD72" si="16">SUM(E70:E71)</f>
        <v>2680061.6150300433</v>
      </c>
      <c r="F72" s="4">
        <f t="shared" si="16"/>
        <v>3933315.8362532724</v>
      </c>
      <c r="G72" s="4">
        <f t="shared" si="16"/>
        <v>5281190.0375569807</v>
      </c>
      <c r="H72" s="4">
        <f t="shared" si="16"/>
        <v>6651734.7595149251</v>
      </c>
      <c r="I72" s="4">
        <f t="shared" si="16"/>
        <v>6609797.3088231366</v>
      </c>
      <c r="J72" s="4">
        <f t="shared" si="16"/>
        <v>9110943.4596953914</v>
      </c>
      <c r="K72" s="4">
        <f t="shared" si="16"/>
        <v>7760337.8198925797</v>
      </c>
      <c r="L72" s="4">
        <f t="shared" si="16"/>
        <v>6528432.747015126</v>
      </c>
      <c r="M72" s="4">
        <f t="shared" si="16"/>
        <v>7680347.1691731354</v>
      </c>
      <c r="N72" s="4">
        <f t="shared" si="16"/>
        <v>7572984.1467385292</v>
      </c>
      <c r="O72" s="4">
        <f t="shared" si="16"/>
        <v>10740611.135503121</v>
      </c>
      <c r="P72" s="4">
        <f t="shared" si="16"/>
        <v>13837998.861568179</v>
      </c>
      <c r="Q72" s="4">
        <f t="shared" si="16"/>
        <v>15596228.69008752</v>
      </c>
      <c r="R72" s="4">
        <f t="shared" si="16"/>
        <v>16811555.580313511</v>
      </c>
      <c r="S72" s="4">
        <f t="shared" si="16"/>
        <v>21065377.708963141</v>
      </c>
      <c r="T72" s="4">
        <f t="shared" si="16"/>
        <v>26172836.186598368</v>
      </c>
      <c r="U72" s="4">
        <f t="shared" si="16"/>
        <v>29862805.558795154</v>
      </c>
      <c r="V72" s="4">
        <f t="shared" si="16"/>
        <v>36577702.176435769</v>
      </c>
      <c r="W72" s="4">
        <f t="shared" si="16"/>
        <v>42774023.739813834</v>
      </c>
      <c r="X72" s="4">
        <f t="shared" si="16"/>
        <v>52027782.12938793</v>
      </c>
      <c r="Y72" s="4">
        <f t="shared" si="16"/>
        <v>61946033.464807354</v>
      </c>
      <c r="Z72" s="4">
        <f t="shared" si="16"/>
        <v>72512297.989191815</v>
      </c>
      <c r="AA72" s="4">
        <f t="shared" si="16"/>
        <v>84714887.28982538</v>
      </c>
      <c r="AB72" s="4">
        <f t="shared" si="16"/>
        <v>96134109.029008418</v>
      </c>
      <c r="AC72" s="4">
        <f t="shared" si="16"/>
        <v>106518606.03297719</v>
      </c>
      <c r="AD72" s="4">
        <f t="shared" si="16"/>
        <v>114376235.66400889</v>
      </c>
    </row>
    <row r="74" spans="1:30" x14ac:dyDescent="0.35">
      <c r="A74" s="72" t="s">
        <v>117</v>
      </c>
      <c r="B74" s="72" t="s">
        <v>144</v>
      </c>
      <c r="C74" s="18">
        <f>NPV('Cost Assumptions'!$B$3,D74:AD74)</f>
        <v>207361752.67986608</v>
      </c>
      <c r="D74" s="53">
        <f>ABS((D50*D61*1000*'Cost Assumptions'!$B$6)/'Cost Assumptions'!$B$14)</f>
        <v>6621897.8890077285</v>
      </c>
      <c r="E74" s="53">
        <f>ABS((E50*E61*1000*'Cost Assumptions'!$B$6)/'Cost Assumptions'!$B$14)</f>
        <v>9025240.0833087191</v>
      </c>
      <c r="F74" s="53">
        <f>ABS((F50*F61*1000*'Cost Assumptions'!$B$6)/'Cost Assumptions'!$B$14)</f>
        <v>11544610.701144125</v>
      </c>
      <c r="G74" s="53">
        <f>ABS((G50*G61*1000*'Cost Assumptions'!$B$6)/'Cost Assumptions'!$B$14)</f>
        <v>14184309.074819231</v>
      </c>
      <c r="H74" s="53">
        <f>ABS((H50*H61*1000*'Cost Assumptions'!$B$6)/'Cost Assumptions'!$B$14)</f>
        <v>16948776.985489886</v>
      </c>
      <c r="I74" s="53">
        <f>ABS((I50*I61*1000*'Cost Assumptions'!$B$6)/'Cost Assumptions'!$B$14)</f>
        <v>19842603.098522302</v>
      </c>
      <c r="J74" s="53">
        <f>ABS((J50*J61*1000*'Cost Assumptions'!$B$6)/'Cost Assumptions'!$B$14)</f>
        <v>22870527.531590406</v>
      </c>
      <c r="K74" s="53">
        <f>ABS((K50*K61*1000*'Cost Assumptions'!$B$6)/'Cost Assumptions'!$B$14)</f>
        <v>22841542.609588388</v>
      </c>
      <c r="L74" s="53">
        <f>ABS((L50*L61*1000*'Cost Assumptions'!$B$6)/'Cost Assumptions'!$B$14)</f>
        <v>22796814.361779023</v>
      </c>
      <c r="M74" s="53">
        <f>ABS((M50*M61*1000*'Cost Assumptions'!$B$6)/'Cost Assumptions'!$B$14)</f>
        <v>18201663.851003204</v>
      </c>
      <c r="N74" s="53">
        <f>ABS((N50*N61*1000*'Cost Assumptions'!$B$6)/'Cost Assumptions'!$B$14)</f>
        <v>22078347.206995543</v>
      </c>
      <c r="O74" s="53">
        <f>ABS((O50*O61*1000*'Cost Assumptions'!$B$6)/'Cost Assumptions'!$B$14)</f>
        <v>27489608.933048781</v>
      </c>
      <c r="P74" s="53">
        <f>ABS((P50*P61*1000*'Cost Assumptions'!$B$6)/'Cost Assumptions'!$B$14)</f>
        <v>29252436.534241784</v>
      </c>
      <c r="Q74" s="53">
        <f>ABS((Q50*Q61*1000*'Cost Assumptions'!$B$6)/'Cost Assumptions'!$B$14)</f>
        <v>31086224.509911269</v>
      </c>
      <c r="R74" s="53">
        <f>ABS((R50*R61*1000*'Cost Assumptions'!$B$6)/'Cost Assumptions'!$B$14)</f>
        <v>32993419.11153033</v>
      </c>
      <c r="S74" s="53">
        <f>ABS((S50*S61*1000*'Cost Assumptions'!$B$6)/'Cost Assumptions'!$B$14)</f>
        <v>34976544.552911662</v>
      </c>
      <c r="T74" s="53">
        <f>ABS((T50*T61*1000*'Cost Assumptions'!$B$6)/'Cost Assumptions'!$B$14)</f>
        <v>37038205.379417345</v>
      </c>
      <c r="U74" s="53">
        <f>ABS((U50*U61*1000*'Cost Assumptions'!$B$6)/'Cost Assumptions'!$B$14)</f>
        <v>39181088.90690273</v>
      </c>
      <c r="V74" s="53">
        <f>ABS((V50*V61*1000*'Cost Assumptions'!$B$6)/'Cost Assumptions'!$B$14)</f>
        <v>41407967.732400253</v>
      </c>
      <c r="W74" s="53">
        <f>ABS((W50*W61*1000*'Cost Assumptions'!$B$6)/'Cost Assumptions'!$B$14)</f>
        <v>43721702.318605848</v>
      </c>
      <c r="X74" s="53">
        <f>ABS((X50*X61*1000*'Cost Assumptions'!$B$6)/'Cost Assumptions'!$B$14)</f>
        <v>46125243.654288985</v>
      </c>
      <c r="Y74" s="53">
        <f>ABS((Y50*Y61*1000*'Cost Assumptions'!$B$6)/'Cost Assumptions'!$B$14)</f>
        <v>48621635.992807105</v>
      </c>
      <c r="Z74" s="53">
        <f>ABS((Z50*Z61*1000*'Cost Assumptions'!$B$6)/'Cost Assumptions'!$B$14)</f>
        <v>51214019.670967244</v>
      </c>
      <c r="AA74" s="53">
        <f>ABS((AA50*AA61*1000*'Cost Assumptions'!$B$6)/'Cost Assumptions'!$B$14)</f>
        <v>53905634.010539882</v>
      </c>
      <c r="AB74" s="53">
        <f>ABS((AB50*AB61*1000*'Cost Assumptions'!$B$6)/'Cost Assumptions'!$B$14)</f>
        <v>56699820.304796793</v>
      </c>
      <c r="AC74" s="53">
        <f>ABS((AC50*AC61*1000*'Cost Assumptions'!$B$6)/'Cost Assumptions'!$B$14)</f>
        <v>59600024.892509967</v>
      </c>
      <c r="AD74" s="53">
        <f>ABS((AD50*AD61*1000*'Cost Assumptions'!$B$6)/'Cost Assumptions'!$B$14)</f>
        <v>62609802.321918212</v>
      </c>
    </row>
    <row r="75" spans="1:30" x14ac:dyDescent="0.35">
      <c r="A75" s="72" t="s">
        <v>119</v>
      </c>
      <c r="B75" s="72" t="s">
        <v>144</v>
      </c>
      <c r="C75" s="18">
        <f>NPV('Cost Assumptions'!$B$3,D75:AD75)</f>
        <v>854254218.59947979</v>
      </c>
      <c r="D75" s="53">
        <f>ABS((D50*D63*1000*'Cost Assumptions'!$B$7)/'Cost Assumptions'!$B$14)</f>
        <v>27279785.8511209</v>
      </c>
      <c r="E75" s="53">
        <f>ABS((E50*E63*1000*'Cost Assumptions'!$B$7)/'Cost Assumptions'!$B$14)</f>
        <v>37180672.498184308</v>
      </c>
      <c r="F75" s="53">
        <f>ABS((F50*F63*1000*'Cost Assumptions'!$B$7)/'Cost Assumptions'!$B$14)</f>
        <v>47559553.611443922</v>
      </c>
      <c r="G75" s="53">
        <f>ABS((G50*G63*1000*'Cost Assumptions'!$B$7)/'Cost Assumptions'!$B$14)</f>
        <v>58434140.860055134</v>
      </c>
      <c r="H75" s="53">
        <f>ABS((H50*H63*1000*'Cost Assumptions'!$B$7)/'Cost Assumptions'!$B$14)</f>
        <v>69822732.750089809</v>
      </c>
      <c r="I75" s="53">
        <f>ABS((I50*I63*1000*'Cost Assumptions'!$B$7)/'Cost Assumptions'!$B$14)</f>
        <v>81744232.896588638</v>
      </c>
      <c r="J75" s="53">
        <f>ABS((J50*J63*1000*'Cost Assumptions'!$B$7)/'Cost Assumptions'!$B$14)</f>
        <v>94218168.842443585</v>
      </c>
      <c r="K75" s="53">
        <f>ABS((K50*K63*1000*'Cost Assumptions'!$B$7)/'Cost Assumptions'!$B$14)</f>
        <v>94098761.615334406</v>
      </c>
      <c r="L75" s="53">
        <f>ABS((L50*L63*1000*'Cost Assumptions'!$B$7)/'Cost Assumptions'!$B$14)</f>
        <v>93914497.671343237</v>
      </c>
      <c r="M75" s="53">
        <f>ABS((M50*M63*1000*'Cost Assumptions'!$B$7)/'Cost Assumptions'!$B$14)</f>
        <v>74984166.218223035</v>
      </c>
      <c r="N75" s="53">
        <f>ABS((N50*N63*1000*'Cost Assumptions'!$B$7)/'Cost Assumptions'!$B$14)</f>
        <v>90954677.019911468</v>
      </c>
      <c r="O75" s="53">
        <f>ABS((O50*O63*1000*'Cost Assumptions'!$B$7)/'Cost Assumptions'!$B$14)</f>
        <v>113247086.77092011</v>
      </c>
      <c r="P75" s="53">
        <f>ABS((P50*P63*1000*'Cost Assumptions'!$B$7)/'Cost Assumptions'!$B$14)</f>
        <v>120509288.67421708</v>
      </c>
      <c r="Q75" s="53">
        <f>ABS((Q50*Q63*1000*'Cost Assumptions'!$B$7)/'Cost Assumptions'!$B$14)</f>
        <v>128063821.24344707</v>
      </c>
      <c r="R75" s="53">
        <f>ABS((R50*R63*1000*'Cost Assumptions'!$B$7)/'Cost Assumptions'!$B$14)</f>
        <v>135920762.13571715</v>
      </c>
      <c r="S75" s="53">
        <f>ABS((S50*S63*1000*'Cost Assumptions'!$B$7)/'Cost Assumptions'!$B$14)</f>
        <v>144090510.18432361</v>
      </c>
      <c r="T75" s="53">
        <f>ABS((T50*T63*1000*'Cost Assumptions'!$B$7)/'Cost Assumptions'!$B$14)</f>
        <v>152583795.15902558</v>
      </c>
      <c r="U75" s="53">
        <f>ABS((U50*U63*1000*'Cost Assumptions'!$B$7)/'Cost Assumptions'!$B$14)</f>
        <v>161411687.81359744</v>
      </c>
      <c r="V75" s="53">
        <f>ABS((V50*V63*1000*'Cost Assumptions'!$B$7)/'Cost Assumptions'!$B$14)</f>
        <v>170585610.22892344</v>
      </c>
      <c r="W75" s="53">
        <f>ABS((W50*W63*1000*'Cost Assumptions'!$B$7)/'Cost Assumptions'!$B$14)</f>
        <v>180117346.46013233</v>
      </c>
      <c r="X75" s="53">
        <f>ABS((X50*X63*1000*'Cost Assumptions'!$B$7)/'Cost Assumptions'!$B$14)</f>
        <v>190019053.49650857</v>
      </c>
      <c r="Y75" s="53">
        <f>ABS((Y50*Y63*1000*'Cost Assumptions'!$B$7)/'Cost Assumptions'!$B$14)</f>
        <v>200303272.54316595</v>
      </c>
      <c r="Z75" s="53">
        <f>ABS((Z50*Z63*1000*'Cost Assumptions'!$B$7)/'Cost Assumptions'!$B$14)</f>
        <v>210982940.63372093</v>
      </c>
      <c r="AA75" s="53">
        <f>ABS((AA50*AA63*1000*'Cost Assumptions'!$B$7)/'Cost Assumptions'!$B$14)</f>
        <v>222071402.58346424</v>
      </c>
      <c r="AB75" s="53">
        <f>ABS((AB50*AB63*1000*'Cost Assumptions'!$B$7)/'Cost Assumptions'!$B$14)</f>
        <v>233582423.29279867</v>
      </c>
      <c r="AC75" s="53">
        <f>ABS((AC50*AC63*1000*'Cost Assumptions'!$B$7)/'Cost Assumptions'!$B$14)</f>
        <v>245530200.41098502</v>
      </c>
      <c r="AD75" s="53">
        <f>ABS((AD50*AD63*1000*'Cost Assumptions'!$B$7)/'Cost Assumptions'!$B$14)</f>
        <v>257929377.3705225</v>
      </c>
    </row>
    <row r="76" spans="1:30" x14ac:dyDescent="0.35">
      <c r="A76" s="72" t="s">
        <v>24</v>
      </c>
      <c r="B76" s="72" t="s">
        <v>144</v>
      </c>
      <c r="C76" s="18">
        <f>NPV('Cost Assumptions'!$B$3,D76:AD76)</f>
        <v>1061615971.279346</v>
      </c>
      <c r="D76" s="53">
        <f>SUM(D74:D75)</f>
        <v>33901683.740128629</v>
      </c>
      <c r="E76" s="53">
        <f t="shared" ref="E76:AD76" si="17">SUM(E74:E75)</f>
        <v>46205912.581493028</v>
      </c>
      <c r="F76" s="53">
        <f t="shared" si="17"/>
        <v>59104164.312588051</v>
      </c>
      <c r="G76" s="53">
        <f t="shared" si="17"/>
        <v>72618449.934874371</v>
      </c>
      <c r="H76" s="53">
        <f t="shared" si="17"/>
        <v>86771509.735579699</v>
      </c>
      <c r="I76" s="53">
        <f t="shared" si="17"/>
        <v>101586835.99511094</v>
      </c>
      <c r="J76" s="53">
        <f t="shared" si="17"/>
        <v>117088696.37403399</v>
      </c>
      <c r="K76" s="53">
        <f t="shared" si="17"/>
        <v>116940304.22492279</v>
      </c>
      <c r="L76" s="53">
        <f t="shared" si="17"/>
        <v>116711312.03312226</v>
      </c>
      <c r="M76" s="53">
        <f t="shared" si="17"/>
        <v>93185830.069226235</v>
      </c>
      <c r="N76" s="53">
        <f t="shared" si="17"/>
        <v>113033024.22690701</v>
      </c>
      <c r="O76" s="53">
        <f t="shared" si="17"/>
        <v>140736695.70396888</v>
      </c>
      <c r="P76" s="53">
        <f t="shared" si="17"/>
        <v>149761725.20845887</v>
      </c>
      <c r="Q76" s="53">
        <f t="shared" si="17"/>
        <v>159150045.75335833</v>
      </c>
      <c r="R76" s="53">
        <f t="shared" si="17"/>
        <v>168914181.24724749</v>
      </c>
      <c r="S76" s="53">
        <f t="shared" si="17"/>
        <v>179067054.73723528</v>
      </c>
      <c r="T76" s="53">
        <f t="shared" si="17"/>
        <v>189622000.53844291</v>
      </c>
      <c r="U76" s="53">
        <f t="shared" si="17"/>
        <v>200592776.72050017</v>
      </c>
      <c r="V76" s="53">
        <f t="shared" si="17"/>
        <v>211993577.96132368</v>
      </c>
      <c r="W76" s="53">
        <f t="shared" si="17"/>
        <v>223839048.77873817</v>
      </c>
      <c r="X76" s="53">
        <f t="shared" si="17"/>
        <v>236144297.15079755</v>
      </c>
      <c r="Y76" s="53">
        <f t="shared" si="17"/>
        <v>248924908.53597307</v>
      </c>
      <c r="Z76" s="53">
        <f t="shared" si="17"/>
        <v>262196960.30468819</v>
      </c>
      <c r="AA76" s="53">
        <f t="shared" si="17"/>
        <v>275977036.59400409</v>
      </c>
      <c r="AB76" s="53">
        <f t="shared" si="17"/>
        <v>290282243.59759545</v>
      </c>
      <c r="AC76" s="53">
        <f t="shared" si="17"/>
        <v>305130225.30349499</v>
      </c>
      <c r="AD76" s="53">
        <f t="shared" si="17"/>
        <v>320539179.69244069</v>
      </c>
    </row>
    <row r="77" spans="1:30" x14ac:dyDescent="0.35">
      <c r="A77" s="72"/>
      <c r="B77" s="72"/>
      <c r="C77" s="18"/>
      <c r="D77" s="53"/>
      <c r="E77" s="53"/>
      <c r="F77" s="53"/>
      <c r="G77" s="53"/>
      <c r="H77" s="53"/>
      <c r="I77" s="53"/>
      <c r="J77" s="53"/>
      <c r="K77" s="53"/>
      <c r="L77" s="53"/>
      <c r="M77" s="53"/>
      <c r="N77" s="53"/>
      <c r="O77" s="53"/>
      <c r="P77" s="53"/>
      <c r="Q77" s="53"/>
      <c r="R77" s="53"/>
      <c r="S77" s="53"/>
      <c r="T77" s="53"/>
      <c r="U77" s="53"/>
      <c r="V77" s="53"/>
      <c r="W77" s="53"/>
      <c r="X77" s="53"/>
      <c r="Y77" s="53"/>
      <c r="Z77" s="53"/>
      <c r="AA77" s="53"/>
      <c r="AB77" s="53"/>
      <c r="AC77" s="53"/>
      <c r="AD77" s="53"/>
    </row>
    <row r="78" spans="1:30" x14ac:dyDescent="0.35">
      <c r="A78" s="72" t="s">
        <v>117</v>
      </c>
      <c r="B78" s="72" t="s">
        <v>152</v>
      </c>
      <c r="C78" s="18">
        <f>NPV('Cost Assumptions'!$B$3,D78:AD78)</f>
        <v>0</v>
      </c>
      <c r="D78" s="53">
        <f>ABS(((MIN(ABS(D51),'Baseline System Analysis'!D14)*D62*1000*'Cost Assumptions'!$B$6)*'Cost Assumptions'!$B$13))</f>
        <v>0</v>
      </c>
      <c r="E78" s="53">
        <f>ABS(((MIN(ABS(E51),'Baseline System Analysis'!E14)*E62*1000*'Cost Assumptions'!$B$6)*'Cost Assumptions'!$B$13))</f>
        <v>0</v>
      </c>
      <c r="F78" s="53">
        <f>ABS(((MIN(ABS(F51),'Baseline System Analysis'!F14)*F62*1000*'Cost Assumptions'!$B$6)*'Cost Assumptions'!$B$13))</f>
        <v>0</v>
      </c>
      <c r="G78" s="53">
        <f>ABS(((MIN(ABS(G51),'Baseline System Analysis'!G14)*G62*1000*'Cost Assumptions'!$B$6)*'Cost Assumptions'!$B$13))</f>
        <v>0</v>
      </c>
      <c r="H78" s="53">
        <f>ABS(((MIN(ABS(H51),'Baseline System Analysis'!H14)*H62*1000*'Cost Assumptions'!$B$6)*'Cost Assumptions'!$B$13))</f>
        <v>0</v>
      </c>
      <c r="I78" s="53">
        <f>ABS(((MIN(ABS(I51),'Baseline System Analysis'!I14)*I62*1000*'Cost Assumptions'!$B$6)*'Cost Assumptions'!$B$13))</f>
        <v>0</v>
      </c>
      <c r="J78" s="53">
        <f>ABS(((MIN(ABS(J51),'Baseline System Analysis'!J14)*J62*1000*'Cost Assumptions'!$B$6)*'Cost Assumptions'!$B$13))</f>
        <v>0</v>
      </c>
      <c r="K78" s="53">
        <f>ABS(((MIN(ABS(K51),'Baseline System Analysis'!K14)*K62*1000*'Cost Assumptions'!$B$6)*'Cost Assumptions'!$B$13))</f>
        <v>0</v>
      </c>
      <c r="L78" s="53">
        <f>ABS(((MIN(ABS(L51),'Baseline System Analysis'!L14)*L62*1000*'Cost Assumptions'!$B$6)*'Cost Assumptions'!$B$13))</f>
        <v>0</v>
      </c>
      <c r="M78" s="53">
        <f>ABS(((MIN(ABS(M51),'Baseline System Analysis'!M14)*M62*1000*'Cost Assumptions'!$B$6)*'Cost Assumptions'!$B$13))</f>
        <v>0</v>
      </c>
      <c r="N78" s="53">
        <f>ABS(((MIN(ABS(N51),'Baseline System Analysis'!N14)*N62*1000*'Cost Assumptions'!$B$6)*'Cost Assumptions'!$B$13))</f>
        <v>0</v>
      </c>
      <c r="O78" s="53">
        <f>ABS(((MIN(ABS(O51),'Baseline System Analysis'!O14)*O62*1000*'Cost Assumptions'!$B$6)*'Cost Assumptions'!$B$13))</f>
        <v>0</v>
      </c>
      <c r="P78" s="53">
        <f>ABS(((MIN(ABS(P51),'Baseline System Analysis'!P14)*P62*1000*'Cost Assumptions'!$B$6)*'Cost Assumptions'!$B$13))</f>
        <v>0</v>
      </c>
      <c r="Q78" s="53">
        <f>ABS(((MIN(ABS(Q51),'Baseline System Analysis'!Q14)*Q62*1000*'Cost Assumptions'!$B$6)*'Cost Assumptions'!$B$13))</f>
        <v>0</v>
      </c>
      <c r="R78" s="53">
        <f>ABS(((MIN(ABS(R51),'Baseline System Analysis'!R14)*R62*1000*'Cost Assumptions'!$B$6)*'Cost Assumptions'!$B$13))</f>
        <v>0</v>
      </c>
      <c r="S78" s="53">
        <f>ABS(((MIN(ABS(S51),'Baseline System Analysis'!S14)*S62*1000*'Cost Assumptions'!$B$6)*'Cost Assumptions'!$B$13))</f>
        <v>0</v>
      </c>
      <c r="T78" s="53">
        <f>ABS(((MIN(ABS(T51),'Baseline System Analysis'!T14)*T62*1000*'Cost Assumptions'!$B$6)*'Cost Assumptions'!$B$13))</f>
        <v>0</v>
      </c>
      <c r="U78" s="53">
        <f>ABS(((MIN(ABS(U51),'Baseline System Analysis'!U14)*U62*1000*'Cost Assumptions'!$B$6)*'Cost Assumptions'!$B$13))</f>
        <v>0</v>
      </c>
      <c r="V78" s="53">
        <f>ABS(((MIN(ABS(V51),'Baseline System Analysis'!V14)*V62*1000*'Cost Assumptions'!$B$6)*'Cost Assumptions'!$B$13))</f>
        <v>0</v>
      </c>
      <c r="W78" s="53">
        <f>ABS(((MIN(ABS(W51),'Baseline System Analysis'!W14)*W62*1000*'Cost Assumptions'!$B$6)*'Cost Assumptions'!$B$13))</f>
        <v>0</v>
      </c>
      <c r="X78" s="53">
        <f>ABS(((MIN(ABS(X51),'Baseline System Analysis'!X14)*X62*1000*'Cost Assumptions'!$B$6)*'Cost Assumptions'!$B$13))</f>
        <v>0</v>
      </c>
      <c r="Y78" s="53">
        <f>ABS(((MIN(ABS(Y51),'Baseline System Analysis'!Y14)*Y62*1000*'Cost Assumptions'!$B$6)*'Cost Assumptions'!$B$13))</f>
        <v>0</v>
      </c>
      <c r="Z78" s="53">
        <f>ABS(((MIN(ABS(Z51),'Baseline System Analysis'!Z14)*Z62*1000*'Cost Assumptions'!$B$6)*'Cost Assumptions'!$B$13))</f>
        <v>0</v>
      </c>
      <c r="AA78" s="53">
        <f>ABS(((MIN(ABS(AA51),'Baseline System Analysis'!AA14)*AA62*1000*'Cost Assumptions'!$B$6)*'Cost Assumptions'!$B$13))</f>
        <v>0</v>
      </c>
      <c r="AB78" s="53">
        <f>ABS(((MIN(ABS(AB51),'Baseline System Analysis'!AB14)*AB62*1000*'Cost Assumptions'!$B$6)*'Cost Assumptions'!$B$13))</f>
        <v>0</v>
      </c>
      <c r="AC78" s="53">
        <f>ABS(((MIN(ABS(AC51),'Baseline System Analysis'!AC14)*AC62*1000*'Cost Assumptions'!$B$6)*'Cost Assumptions'!$B$13))</f>
        <v>0</v>
      </c>
      <c r="AD78" s="53">
        <f>ABS(((MIN(ABS(AD51),'Baseline System Analysis'!AD14)*AD62*1000*'Cost Assumptions'!$B$6)*'Cost Assumptions'!$B$13))</f>
        <v>0</v>
      </c>
    </row>
    <row r="79" spans="1:30" x14ac:dyDescent="0.35">
      <c r="A79" s="72" t="s">
        <v>119</v>
      </c>
      <c r="B79" s="72" t="s">
        <v>152</v>
      </c>
      <c r="C79" s="18">
        <f>NPV('Cost Assumptions'!$B$3,D79:AD79)</f>
        <v>0</v>
      </c>
      <c r="D79" s="53">
        <f>ABS(((MIN(ABS(D51),'Baseline System Analysis'!D14)*D64*1000*'Cost Assumptions'!$B$6)*'Cost Assumptions'!$B$13))</f>
        <v>0</v>
      </c>
      <c r="E79" s="53">
        <f>ABS(((MIN(ABS(E51),'Baseline System Analysis'!E14)*E64*1000*'Cost Assumptions'!$B$6)*'Cost Assumptions'!$B$13))</f>
        <v>0</v>
      </c>
      <c r="F79" s="53">
        <f>ABS(((MIN(ABS(F51),'Baseline System Analysis'!F14)*F64*1000*'Cost Assumptions'!$B$6)*'Cost Assumptions'!$B$13))</f>
        <v>0</v>
      </c>
      <c r="G79" s="53">
        <f>ABS(((MIN(ABS(G51),'Baseline System Analysis'!G14)*G64*1000*'Cost Assumptions'!$B$6)*'Cost Assumptions'!$B$13))</f>
        <v>0</v>
      </c>
      <c r="H79" s="53">
        <f>ABS(((MIN(ABS(H51),'Baseline System Analysis'!H14)*H64*1000*'Cost Assumptions'!$B$6)*'Cost Assumptions'!$B$13))</f>
        <v>0</v>
      </c>
      <c r="I79" s="53">
        <f>ABS(((MIN(ABS(I51),'Baseline System Analysis'!I14)*I64*1000*'Cost Assumptions'!$B$6)*'Cost Assumptions'!$B$13))</f>
        <v>0</v>
      </c>
      <c r="J79" s="53">
        <f>ABS(((MIN(ABS(J51),'Baseline System Analysis'!J14)*J64*1000*'Cost Assumptions'!$B$6)*'Cost Assumptions'!$B$13))</f>
        <v>0</v>
      </c>
      <c r="K79" s="53">
        <f>ABS(((MIN(ABS(K51),'Baseline System Analysis'!K14)*K64*1000*'Cost Assumptions'!$B$6)*'Cost Assumptions'!$B$13))</f>
        <v>0</v>
      </c>
      <c r="L79" s="53">
        <f>ABS(((MIN(ABS(L51),'Baseline System Analysis'!L14)*L64*1000*'Cost Assumptions'!$B$6)*'Cost Assumptions'!$B$13))</f>
        <v>0</v>
      </c>
      <c r="M79" s="53">
        <f>ABS(((MIN(ABS(M51),'Baseline System Analysis'!M14)*M64*1000*'Cost Assumptions'!$B$6)*'Cost Assumptions'!$B$13))</f>
        <v>0</v>
      </c>
      <c r="N79" s="53">
        <f>ABS(((MIN(ABS(N51),'Baseline System Analysis'!N14)*N64*1000*'Cost Assumptions'!$B$6)*'Cost Assumptions'!$B$13))</f>
        <v>0</v>
      </c>
      <c r="O79" s="53">
        <f>ABS(((MIN(ABS(O51),'Baseline System Analysis'!O14)*O64*1000*'Cost Assumptions'!$B$6)*'Cost Assumptions'!$B$13))</f>
        <v>0</v>
      </c>
      <c r="P79" s="53">
        <f>ABS(((MIN(ABS(P51),'Baseline System Analysis'!P14)*P64*1000*'Cost Assumptions'!$B$6)*'Cost Assumptions'!$B$13))</f>
        <v>0</v>
      </c>
      <c r="Q79" s="53">
        <f>ABS(((MIN(ABS(Q51),'Baseline System Analysis'!Q14)*Q64*1000*'Cost Assumptions'!$B$6)*'Cost Assumptions'!$B$13))</f>
        <v>0</v>
      </c>
      <c r="R79" s="53">
        <f>ABS(((MIN(ABS(R51),'Baseline System Analysis'!R14)*R64*1000*'Cost Assumptions'!$B$6)*'Cost Assumptions'!$B$13))</f>
        <v>0</v>
      </c>
      <c r="S79" s="53">
        <f>ABS(((MIN(ABS(S51),'Baseline System Analysis'!S14)*S64*1000*'Cost Assumptions'!$B$6)*'Cost Assumptions'!$B$13))</f>
        <v>0</v>
      </c>
      <c r="T79" s="53">
        <f>ABS(((MIN(ABS(T51),'Baseline System Analysis'!T14)*T64*1000*'Cost Assumptions'!$B$6)*'Cost Assumptions'!$B$13))</f>
        <v>0</v>
      </c>
      <c r="U79" s="53">
        <f>ABS(((MIN(ABS(U51),'Baseline System Analysis'!U14)*U64*1000*'Cost Assumptions'!$B$6)*'Cost Assumptions'!$B$13))</f>
        <v>0</v>
      </c>
      <c r="V79" s="53">
        <f>ABS(((MIN(ABS(V51),'Baseline System Analysis'!V14)*V64*1000*'Cost Assumptions'!$B$6)*'Cost Assumptions'!$B$13))</f>
        <v>0</v>
      </c>
      <c r="W79" s="53">
        <f>ABS(((MIN(ABS(W51),'Baseline System Analysis'!W14)*W64*1000*'Cost Assumptions'!$B$6)*'Cost Assumptions'!$B$13))</f>
        <v>0</v>
      </c>
      <c r="X79" s="53">
        <f>ABS(((MIN(ABS(X51),'Baseline System Analysis'!X14)*X64*1000*'Cost Assumptions'!$B$6)*'Cost Assumptions'!$B$13))</f>
        <v>0</v>
      </c>
      <c r="Y79" s="53">
        <f>ABS(((MIN(ABS(Y51),'Baseline System Analysis'!Y14)*Y64*1000*'Cost Assumptions'!$B$6)*'Cost Assumptions'!$B$13))</f>
        <v>0</v>
      </c>
      <c r="Z79" s="53">
        <f>ABS(((MIN(ABS(Z51),'Baseline System Analysis'!Z14)*Z64*1000*'Cost Assumptions'!$B$6)*'Cost Assumptions'!$B$13))</f>
        <v>0</v>
      </c>
      <c r="AA79" s="53">
        <f>ABS(((MIN(ABS(AA51),'Baseline System Analysis'!AA14)*AA64*1000*'Cost Assumptions'!$B$6)*'Cost Assumptions'!$B$13))</f>
        <v>0</v>
      </c>
      <c r="AB79" s="53">
        <f>ABS(((MIN(ABS(AB51),'Baseline System Analysis'!AB14)*AB64*1000*'Cost Assumptions'!$B$6)*'Cost Assumptions'!$B$13))</f>
        <v>0</v>
      </c>
      <c r="AC79" s="53">
        <f>ABS(((MIN(ABS(AC51),'Baseline System Analysis'!AC14)*AC64*1000*'Cost Assumptions'!$B$6)*'Cost Assumptions'!$B$13))</f>
        <v>0</v>
      </c>
      <c r="AD79" s="53">
        <f>ABS(((MIN(ABS(AD51),'Baseline System Analysis'!AD14)*AD64*1000*'Cost Assumptions'!$B$6)*'Cost Assumptions'!$B$13))</f>
        <v>0</v>
      </c>
    </row>
    <row r="80" spans="1:30" s="52" customFormat="1" ht="29" x14ac:dyDescent="0.35">
      <c r="A80" s="3" t="s">
        <v>146</v>
      </c>
      <c r="B80" s="72" t="s">
        <v>152</v>
      </c>
      <c r="C80" s="18">
        <f>NPV('Cost Assumptions'!$B$3,D80:AD80)</f>
        <v>0</v>
      </c>
      <c r="D80" s="53">
        <f>SUM(D78:D79)</f>
        <v>0</v>
      </c>
      <c r="E80" s="53">
        <f t="shared" ref="E80:AD80" si="18">SUM(E78:E79)</f>
        <v>0</v>
      </c>
      <c r="F80" s="53">
        <f t="shared" si="18"/>
        <v>0</v>
      </c>
      <c r="G80" s="53">
        <f t="shared" si="18"/>
        <v>0</v>
      </c>
      <c r="H80" s="53">
        <f t="shared" si="18"/>
        <v>0</v>
      </c>
      <c r="I80" s="53">
        <f t="shared" si="18"/>
        <v>0</v>
      </c>
      <c r="J80" s="53">
        <f t="shared" si="18"/>
        <v>0</v>
      </c>
      <c r="K80" s="53">
        <f t="shared" si="18"/>
        <v>0</v>
      </c>
      <c r="L80" s="53">
        <f t="shared" si="18"/>
        <v>0</v>
      </c>
      <c r="M80" s="53">
        <f t="shared" si="18"/>
        <v>0</v>
      </c>
      <c r="N80" s="53">
        <f t="shared" si="18"/>
        <v>0</v>
      </c>
      <c r="O80" s="53">
        <f t="shared" si="18"/>
        <v>0</v>
      </c>
      <c r="P80" s="53">
        <f t="shared" si="18"/>
        <v>0</v>
      </c>
      <c r="Q80" s="53">
        <f t="shared" si="18"/>
        <v>0</v>
      </c>
      <c r="R80" s="53">
        <f t="shared" si="18"/>
        <v>0</v>
      </c>
      <c r="S80" s="53">
        <f t="shared" si="18"/>
        <v>0</v>
      </c>
      <c r="T80" s="53">
        <f t="shared" si="18"/>
        <v>0</v>
      </c>
      <c r="U80" s="53">
        <f t="shared" si="18"/>
        <v>0</v>
      </c>
      <c r="V80" s="53">
        <f t="shared" si="18"/>
        <v>0</v>
      </c>
      <c r="W80" s="53">
        <f t="shared" si="18"/>
        <v>0</v>
      </c>
      <c r="X80" s="53">
        <f t="shared" si="18"/>
        <v>0</v>
      </c>
      <c r="Y80" s="53">
        <f t="shared" si="18"/>
        <v>0</v>
      </c>
      <c r="Z80" s="53">
        <f t="shared" si="18"/>
        <v>0</v>
      </c>
      <c r="AA80" s="53">
        <f t="shared" si="18"/>
        <v>0</v>
      </c>
      <c r="AB80" s="53">
        <f t="shared" si="18"/>
        <v>0</v>
      </c>
      <c r="AC80" s="53">
        <f t="shared" si="18"/>
        <v>0</v>
      </c>
      <c r="AD80" s="53">
        <f t="shared" si="18"/>
        <v>0</v>
      </c>
    </row>
    <row r="81" spans="1:30" s="52" customFormat="1" x14ac:dyDescent="0.35">
      <c r="A81" s="3"/>
      <c r="B81" s="72"/>
      <c r="C81" s="18"/>
      <c r="D81" s="53"/>
      <c r="E81" s="53"/>
      <c r="F81" s="53"/>
      <c r="G81" s="53"/>
      <c r="H81" s="53"/>
      <c r="I81" s="53"/>
      <c r="J81" s="53"/>
      <c r="K81" s="53"/>
      <c r="L81" s="53"/>
      <c r="M81" s="53"/>
      <c r="N81" s="53"/>
      <c r="O81" s="53"/>
      <c r="P81" s="53"/>
      <c r="Q81" s="53"/>
      <c r="R81" s="53"/>
      <c r="S81" s="53"/>
      <c r="T81" s="53"/>
      <c r="U81" s="53"/>
      <c r="V81" s="53"/>
      <c r="W81" s="53"/>
      <c r="X81" s="53"/>
      <c r="Y81" s="53"/>
      <c r="Z81" s="53"/>
      <c r="AA81" s="53"/>
      <c r="AB81" s="53"/>
      <c r="AC81" s="53"/>
      <c r="AD81" s="53"/>
    </row>
    <row r="82" spans="1:30" s="52" customFormat="1" ht="29" x14ac:dyDescent="0.35">
      <c r="A82" s="3" t="s">
        <v>147</v>
      </c>
      <c r="B82" s="72" t="s">
        <v>148</v>
      </c>
      <c r="C82" s="18">
        <f>NPV('Cost Assumptions'!$B$3,D82:AD82)</f>
        <v>158850774.45155588</v>
      </c>
      <c r="D82" s="53">
        <f>('Baseline System Analysis'!D42-D37)</f>
        <v>11220634.218776356</v>
      </c>
      <c r="E82" s="53">
        <f>('Baseline System Analysis'!E42-E37)</f>
        <v>12144918.158391396</v>
      </c>
      <c r="F82" s="53">
        <f>('Baseline System Analysis'!F42-F37)</f>
        <v>12786910.250911316</v>
      </c>
      <c r="G82" s="53">
        <f>('Baseline System Analysis'!G42-G37)</f>
        <v>13549003.839093808</v>
      </c>
      <c r="H82" s="53">
        <f>('Baseline System Analysis'!H42-H37)</f>
        <v>14198581.058293991</v>
      </c>
      <c r="I82" s="53">
        <f>('Baseline System Analysis'!I42-I37)</f>
        <v>15000915.705759082</v>
      </c>
      <c r="J82" s="53">
        <f>('Baseline System Analysis'!J42-J37)</f>
        <v>15909014.271733448</v>
      </c>
      <c r="K82" s="53">
        <f>('Baseline System Analysis'!K42-K37)</f>
        <v>15943271.595302396</v>
      </c>
      <c r="L82" s="53">
        <f>('Baseline System Analysis'!L42-L37)</f>
        <v>15999716.407154804</v>
      </c>
      <c r="M82" s="53">
        <f>('Baseline System Analysis'!M42-M37)</f>
        <v>16077364.969675282</v>
      </c>
      <c r="N82" s="53">
        <f>('Baseline System Analysis'!N42-N37)</f>
        <v>17017237.489677273</v>
      </c>
      <c r="O82" s="53">
        <f>('Baseline System Analysis'!O42-O37)</f>
        <v>18089024.979813445</v>
      </c>
      <c r="P82" s="53">
        <f>('Baseline System Analysis'!P42-P37)</f>
        <v>19073573.17911505</v>
      </c>
      <c r="Q82" s="53">
        <f>('Baseline System Analysis'!Q42-Q37)</f>
        <v>20183246.853354089</v>
      </c>
      <c r="R82" s="53">
        <f>('Baseline System Analysis'!R42-R37)</f>
        <v>21490829.702122267</v>
      </c>
      <c r="S82" s="53">
        <f>('Baseline System Analysis'!S42-S37)</f>
        <v>22579839.787277065</v>
      </c>
      <c r="T82" s="53">
        <f>('Baseline System Analysis'!T42-T37)</f>
        <v>23724942.355195578</v>
      </c>
      <c r="U82" s="53">
        <f>('Baseline System Analysis'!U42-U37)</f>
        <v>24911056.93055214</v>
      </c>
      <c r="V82" s="53">
        <f>('Baseline System Analysis'!V42-V37)</f>
        <v>26196805.959472567</v>
      </c>
      <c r="W82" s="53">
        <f>('Baseline System Analysis'!W42-W37)</f>
        <v>27625844.33481878</v>
      </c>
      <c r="X82" s="53">
        <f>('Baseline System Analysis'!X42-X37)</f>
        <v>29110039.048498206</v>
      </c>
      <c r="Y82" s="53">
        <f>('Baseline System Analysis'!Y42-Y37)</f>
        <v>30411440.882966798</v>
      </c>
      <c r="Z82" s="53">
        <f>('Baseline System Analysis'!Z42-Z37)</f>
        <v>31944711.584258407</v>
      </c>
      <c r="AA82" s="53">
        <f>('Baseline System Analysis'!AA42-AA37)</f>
        <v>33332991.330264848</v>
      </c>
      <c r="AB82" s="53">
        <f>('Baseline System Analysis'!AB42-AB37)</f>
        <v>34748837.665194772</v>
      </c>
      <c r="AC82" s="53">
        <f>('Baseline System Analysis'!AC42-AC37)</f>
        <v>36032493.52792114</v>
      </c>
      <c r="AD82" s="53">
        <f>('Baseline System Analysis'!AD42-AD37)</f>
        <v>37232773.532337174</v>
      </c>
    </row>
    <row r="83" spans="1:30" s="52" customFormat="1" x14ac:dyDescent="0.35">
      <c r="A83" s="72"/>
      <c r="B83" s="72"/>
      <c r="C83" s="72"/>
      <c r="D83" s="72"/>
      <c r="E83" s="72"/>
      <c r="F83" s="72"/>
      <c r="G83" s="72"/>
      <c r="H83" s="72"/>
      <c r="I83" s="72"/>
      <c r="J83" s="72"/>
      <c r="K83" s="72"/>
      <c r="L83" s="72"/>
      <c r="M83" s="72"/>
      <c r="N83" s="72"/>
      <c r="O83" s="72"/>
      <c r="P83" s="72"/>
      <c r="Q83" s="72"/>
      <c r="R83" s="72"/>
      <c r="S83" s="72"/>
      <c r="T83" s="72"/>
      <c r="U83" s="72"/>
      <c r="V83" s="72"/>
      <c r="W83" s="72"/>
      <c r="X83" s="72"/>
      <c r="Y83" s="72"/>
      <c r="Z83" s="72"/>
      <c r="AA83" s="72"/>
      <c r="AB83" s="72"/>
      <c r="AC83" s="72"/>
      <c r="AD83" s="72"/>
    </row>
    <row r="84" spans="1:30" s="52" customFormat="1" ht="20" thickBot="1" x14ac:dyDescent="0.5">
      <c r="A84" s="134" t="s">
        <v>61</v>
      </c>
      <c r="B84" s="182"/>
      <c r="C84" s="18">
        <f>NPV('Cost Assumptions'!$B$3,D84:AD84)/1000000</f>
        <v>1355.8361752385742</v>
      </c>
      <c r="D84" s="53">
        <f>SUM(D68,D72,D76,D80,D82)</f>
        <v>46186416.014971346</v>
      </c>
      <c r="E84" s="53">
        <f t="shared" ref="E84:AD84" si="19">SUM(E68,E72,E76,E80,E82)</f>
        <v>61030693.738625079</v>
      </c>
      <c r="F84" s="53">
        <f t="shared" si="19"/>
        <v>75823553.055781871</v>
      </c>
      <c r="G84" s="53">
        <f t="shared" si="19"/>
        <v>91447167.739873022</v>
      </c>
      <c r="H84" s="53">
        <f t="shared" si="19"/>
        <v>107619710.75405511</v>
      </c>
      <c r="I84" s="53">
        <f t="shared" si="19"/>
        <v>123194795.48267826</v>
      </c>
      <c r="J84" s="53">
        <f t="shared" si="19"/>
        <v>142105261.85076654</v>
      </c>
      <c r="K84" s="53">
        <f t="shared" si="19"/>
        <v>140635817.51077867</v>
      </c>
      <c r="L84" s="53">
        <f t="shared" si="19"/>
        <v>139232771.35370532</v>
      </c>
      <c r="M84" s="53">
        <f t="shared" si="19"/>
        <v>116937348.71697971</v>
      </c>
      <c r="N84" s="53">
        <f t="shared" si="19"/>
        <v>137617805.65986952</v>
      </c>
      <c r="O84" s="53">
        <f t="shared" si="19"/>
        <v>169574939.71985611</v>
      </c>
      <c r="P84" s="53">
        <f t="shared" si="19"/>
        <v>182678413.15631855</v>
      </c>
      <c r="Q84" s="53">
        <f t="shared" si="19"/>
        <v>194931145.2105822</v>
      </c>
      <c r="R84" s="53">
        <f t="shared" si="19"/>
        <v>207214698.45007131</v>
      </c>
      <c r="S84" s="53">
        <f t="shared" si="19"/>
        <v>222706912.16046932</v>
      </c>
      <c r="T84" s="53">
        <f t="shared" si="19"/>
        <v>239510927.01383647</v>
      </c>
      <c r="U84" s="53">
        <f t="shared" si="19"/>
        <v>255387446.20781887</v>
      </c>
      <c r="V84" s="53">
        <f t="shared" si="19"/>
        <v>274818552.15957522</v>
      </c>
      <c r="W84" s="53">
        <f t="shared" si="19"/>
        <v>294319041.98008585</v>
      </c>
      <c r="X84" s="53">
        <f t="shared" si="19"/>
        <v>317391902.51977056</v>
      </c>
      <c r="Y84" s="53">
        <f t="shared" si="19"/>
        <v>341421826.13920587</v>
      </c>
      <c r="Z84" s="53">
        <f t="shared" si="19"/>
        <v>366847397.41444266</v>
      </c>
      <c r="AA84" s="53">
        <f t="shared" si="19"/>
        <v>394272327.03124416</v>
      </c>
      <c r="AB84" s="53">
        <f t="shared" si="19"/>
        <v>421466586.38979405</v>
      </c>
      <c r="AC84" s="53">
        <f t="shared" si="19"/>
        <v>448036705.24323434</v>
      </c>
      <c r="AD84" s="53">
        <f t="shared" si="19"/>
        <v>472557553.54847336</v>
      </c>
    </row>
    <row r="85" spans="1:30" s="52" customFormat="1" ht="20.5" thickTop="1" thickBot="1" x14ac:dyDescent="0.5">
      <c r="A85" s="134" t="s">
        <v>149</v>
      </c>
      <c r="B85" s="134"/>
      <c r="C85" s="18">
        <f>NPV('Cost Assumptions'!$B$3,D85:AD85)/1000000</f>
        <v>1356.2233449017285</v>
      </c>
      <c r="D85" s="53">
        <f>D84+D44</f>
        <v>46199968.014971308</v>
      </c>
      <c r="E85" s="53">
        <f t="shared" ref="E85:AD85" si="20">E84+E44</f>
        <v>61045761.199201971</v>
      </c>
      <c r="F85" s="53">
        <f t="shared" si="20"/>
        <v>75840203.279964536</v>
      </c>
      <c r="G85" s="53">
        <f t="shared" si="20"/>
        <v>91465470.448678881</v>
      </c>
      <c r="H85" s="53">
        <f t="shared" si="20"/>
        <v>107639738.16532521</v>
      </c>
      <c r="I85" s="53">
        <f t="shared" si="20"/>
        <v>123216622.39234282</v>
      </c>
      <c r="J85" s="53">
        <f t="shared" si="20"/>
        <v>142128965.71661323</v>
      </c>
      <c r="K85" s="53">
        <f t="shared" si="20"/>
        <v>140664782.6737251</v>
      </c>
      <c r="L85" s="53">
        <f t="shared" si="20"/>
        <v>139286912.49230564</v>
      </c>
      <c r="M85" s="53">
        <f t="shared" si="20"/>
        <v>117017991.44947173</v>
      </c>
      <c r="N85" s="53">
        <f t="shared" si="20"/>
        <v>137697880.95465955</v>
      </c>
      <c r="O85" s="53">
        <f t="shared" si="20"/>
        <v>169654552.4134779</v>
      </c>
      <c r="P85" s="53">
        <f t="shared" si="20"/>
        <v>182757490.07165441</v>
      </c>
      <c r="Q85" s="53">
        <f t="shared" si="20"/>
        <v>195009609.80078438</v>
      </c>
      <c r="R85" s="53">
        <f t="shared" si="20"/>
        <v>207292470.67581099</v>
      </c>
      <c r="S85" s="53">
        <f t="shared" si="20"/>
        <v>222783908.36315453</v>
      </c>
      <c r="T85" s="53">
        <f t="shared" si="20"/>
        <v>239587059.78467339</v>
      </c>
      <c r="U85" s="53">
        <f t="shared" si="20"/>
        <v>255462624.25258839</v>
      </c>
      <c r="V85" s="53">
        <f t="shared" si="20"/>
        <v>274892680.15899223</v>
      </c>
      <c r="W85" s="53">
        <f t="shared" si="20"/>
        <v>294392020.44560474</v>
      </c>
      <c r="X85" s="53">
        <f t="shared" si="20"/>
        <v>317463627.64469677</v>
      </c>
      <c r="Y85" s="53">
        <f t="shared" si="20"/>
        <v>341492189.64496881</v>
      </c>
      <c r="Z85" s="53">
        <f t="shared" si="20"/>
        <v>366916286.39188111</v>
      </c>
      <c r="AA85" s="53">
        <f t="shared" si="20"/>
        <v>394339623.7767508</v>
      </c>
      <c r="AB85" s="53">
        <f t="shared" si="20"/>
        <v>421532168.23616135</v>
      </c>
      <c r="AC85" s="53">
        <f t="shared" si="20"/>
        <v>448100444.38503945</v>
      </c>
      <c r="AD85" s="53">
        <f t="shared" si="20"/>
        <v>472619316.86183411</v>
      </c>
    </row>
    <row r="86" spans="1:30" ht="15" thickTop="1" x14ac:dyDescent="0.35">
      <c r="A86" s="72"/>
      <c r="B86" s="72"/>
      <c r="C86" s="72"/>
      <c r="D86" s="72"/>
      <c r="E86" s="72"/>
      <c r="F86" s="72"/>
      <c r="G86" s="72"/>
      <c r="H86" s="72"/>
      <c r="I86" s="72"/>
      <c r="J86" s="72"/>
      <c r="K86" s="72"/>
      <c r="L86" s="72"/>
      <c r="M86" s="72"/>
      <c r="N86" s="72"/>
      <c r="O86" s="72"/>
      <c r="P86" s="72"/>
      <c r="Q86" s="72"/>
      <c r="R86" s="72"/>
      <c r="S86" s="72"/>
      <c r="T86" s="72"/>
      <c r="U86" s="72"/>
      <c r="V86" s="72"/>
      <c r="W86" s="72"/>
      <c r="X86" s="72"/>
      <c r="Y86" s="72"/>
      <c r="Z86" s="72"/>
      <c r="AA86" s="72"/>
      <c r="AB86" s="72"/>
      <c r="AC86" s="72"/>
      <c r="AD86" s="72"/>
    </row>
    <row r="87" spans="1:30" ht="20" thickBot="1" x14ac:dyDescent="0.5">
      <c r="A87" s="134" t="s">
        <v>150</v>
      </c>
      <c r="B87" s="134"/>
      <c r="C87" s="18">
        <f>Summary!$D$17</f>
        <v>270</v>
      </c>
      <c r="D87" s="72"/>
      <c r="E87" s="72"/>
      <c r="F87" s="72"/>
      <c r="G87" s="72"/>
      <c r="H87" s="72"/>
      <c r="I87" s="72"/>
      <c r="J87" s="72"/>
      <c r="K87" s="72"/>
      <c r="L87" s="72"/>
      <c r="M87" s="72"/>
      <c r="N87" s="72"/>
      <c r="O87" s="72"/>
      <c r="P87" s="72"/>
      <c r="Q87" s="72"/>
      <c r="R87" s="72"/>
      <c r="S87" s="72"/>
      <c r="T87" s="72"/>
      <c r="U87" s="72"/>
      <c r="V87" s="72"/>
      <c r="W87" s="72"/>
      <c r="X87" s="72"/>
      <c r="Y87" s="72"/>
      <c r="Z87" s="72"/>
      <c r="AA87" s="72"/>
      <c r="AB87" s="72"/>
      <c r="AC87" s="72"/>
      <c r="AD87" s="72"/>
    </row>
    <row r="88" spans="1:30" ht="15" thickTop="1" x14ac:dyDescent="0.35">
      <c r="A88" s="72"/>
      <c r="B88" s="72"/>
      <c r="C88" s="72"/>
      <c r="D88" s="72"/>
      <c r="E88" s="72"/>
      <c r="F88" s="72"/>
      <c r="G88" s="72"/>
      <c r="H88" s="72"/>
      <c r="I88" s="72"/>
      <c r="J88" s="72"/>
      <c r="K88" s="72"/>
      <c r="L88" s="72"/>
      <c r="M88" s="72"/>
      <c r="N88" s="72"/>
      <c r="O88" s="72"/>
      <c r="P88" s="72"/>
      <c r="Q88" s="72"/>
      <c r="R88" s="72"/>
      <c r="S88" s="72"/>
      <c r="T88" s="72"/>
      <c r="U88" s="72"/>
      <c r="V88" s="72"/>
      <c r="W88" s="72"/>
      <c r="X88" s="72"/>
      <c r="Y88" s="72"/>
      <c r="Z88" s="72"/>
      <c r="AA88" s="72"/>
      <c r="AB88" s="72"/>
      <c r="AC88" s="72"/>
      <c r="AD88" s="72"/>
    </row>
    <row r="89" spans="1:30" ht="20" thickBot="1" x14ac:dyDescent="0.5">
      <c r="A89" s="134" t="s">
        <v>7</v>
      </c>
      <c r="B89" s="134"/>
      <c r="C89" s="46">
        <f>C85/C87</f>
        <v>5.0230494255619575</v>
      </c>
      <c r="D89" s="72"/>
      <c r="E89" s="72"/>
      <c r="F89" s="72"/>
      <c r="G89" s="72"/>
      <c r="H89" s="72"/>
      <c r="I89" s="72"/>
      <c r="J89" s="72"/>
      <c r="K89" s="72"/>
      <c r="L89" s="72"/>
      <c r="M89" s="72"/>
      <c r="N89" s="72"/>
      <c r="O89" s="72"/>
      <c r="P89" s="72"/>
      <c r="Q89" s="72"/>
      <c r="R89" s="72"/>
      <c r="S89" s="72"/>
      <c r="T89" s="72"/>
      <c r="U89" s="72"/>
      <c r="V89" s="72"/>
      <c r="W89" s="72"/>
      <c r="X89" s="72"/>
      <c r="Y89" s="72"/>
      <c r="Z89" s="72"/>
      <c r="AA89" s="72"/>
      <c r="AB89" s="72"/>
      <c r="AC89" s="72"/>
      <c r="AD89" s="72"/>
    </row>
    <row r="90" spans="1:30" ht="15" thickTop="1" x14ac:dyDescent="0.35">
      <c r="A90" s="72"/>
      <c r="B90" s="72"/>
      <c r="C90" s="72"/>
      <c r="D90" s="72"/>
      <c r="E90" s="72"/>
      <c r="F90" s="72"/>
      <c r="G90" s="72"/>
      <c r="H90" s="72"/>
      <c r="I90" s="72"/>
      <c r="J90" s="72"/>
      <c r="K90" s="72"/>
      <c r="L90" s="72"/>
      <c r="M90" s="72"/>
      <c r="N90" s="72"/>
      <c r="O90" s="72"/>
      <c r="P90" s="72"/>
      <c r="Q90" s="72"/>
      <c r="R90" s="72"/>
      <c r="S90" s="72"/>
      <c r="T90" s="72"/>
      <c r="U90" s="72"/>
      <c r="V90" s="72"/>
      <c r="W90" s="72"/>
      <c r="X90" s="72"/>
      <c r="Y90" s="72"/>
      <c r="Z90" s="72"/>
      <c r="AA90" s="72"/>
      <c r="AB90" s="72"/>
      <c r="AC90" s="72"/>
      <c r="AD90" s="72"/>
    </row>
    <row r="91" spans="1:30" s="52" customFormat="1" ht="42.65" customHeight="1" thickBot="1" x14ac:dyDescent="0.5">
      <c r="A91" s="181" t="s">
        <v>156</v>
      </c>
      <c r="B91" s="181"/>
      <c r="C91" s="72"/>
      <c r="D91" s="4">
        <v>0</v>
      </c>
      <c r="E91" s="4">
        <v>0</v>
      </c>
      <c r="F91" s="4">
        <v>0</v>
      </c>
      <c r="G91" s="4">
        <v>0</v>
      </c>
      <c r="H91" s="4">
        <v>0</v>
      </c>
      <c r="I91" s="4">
        <v>0</v>
      </c>
      <c r="J91" s="4">
        <v>0</v>
      </c>
      <c r="K91" s="4">
        <v>0</v>
      </c>
      <c r="L91" s="4">
        <v>0</v>
      </c>
      <c r="M91" s="4">
        <v>0</v>
      </c>
      <c r="N91" s="4">
        <v>0</v>
      </c>
      <c r="O91" s="4">
        <v>0</v>
      </c>
      <c r="P91" s="4">
        <v>0</v>
      </c>
      <c r="Q91" s="4">
        <v>0</v>
      </c>
      <c r="R91" s="4">
        <v>0</v>
      </c>
      <c r="S91" s="4">
        <v>0</v>
      </c>
      <c r="T91" s="4">
        <v>0</v>
      </c>
      <c r="U91" s="4">
        <v>0</v>
      </c>
      <c r="V91" s="4">
        <v>0</v>
      </c>
      <c r="W91" s="4">
        <v>0</v>
      </c>
      <c r="X91" s="4">
        <v>0</v>
      </c>
      <c r="Y91" s="4">
        <v>0</v>
      </c>
      <c r="Z91" s="4">
        <v>0</v>
      </c>
      <c r="AA91" s="4">
        <v>0</v>
      </c>
      <c r="AB91" s="4">
        <v>0</v>
      </c>
      <c r="AC91" s="4">
        <v>0</v>
      </c>
      <c r="AD91" s="4">
        <v>0</v>
      </c>
    </row>
    <row r="92" spans="1:30" ht="15" thickTop="1" x14ac:dyDescent="0.35">
      <c r="A92" s="72"/>
      <c r="B92" s="72"/>
      <c r="C92" s="72"/>
      <c r="D92" s="72"/>
      <c r="E92" s="72"/>
      <c r="F92" s="72"/>
      <c r="G92" s="72"/>
      <c r="H92" s="72"/>
      <c r="I92" s="72"/>
      <c r="J92" s="72"/>
      <c r="K92" s="72"/>
      <c r="L92" s="72"/>
      <c r="M92" s="72"/>
      <c r="N92" s="72"/>
      <c r="O92" s="72"/>
      <c r="P92" s="72"/>
      <c r="Q92" s="72"/>
      <c r="R92" s="72"/>
      <c r="S92" s="72"/>
      <c r="T92" s="72"/>
      <c r="U92" s="72"/>
      <c r="V92" s="72"/>
      <c r="W92" s="72"/>
      <c r="X92" s="72"/>
      <c r="Y92" s="72"/>
      <c r="Z92" s="72"/>
      <c r="AA92" s="72"/>
      <c r="AB92" s="72"/>
      <c r="AC92" s="72"/>
      <c r="AD92" s="72"/>
    </row>
  </sheetData>
  <mergeCells count="8">
    <mergeCell ref="B2:B15"/>
    <mergeCell ref="B18:B32"/>
    <mergeCell ref="A91:B91"/>
    <mergeCell ref="A59:AD60"/>
    <mergeCell ref="A84:B84"/>
    <mergeCell ref="A87:B87"/>
    <mergeCell ref="A89:B89"/>
    <mergeCell ref="A85:B85"/>
  </mergeCells>
  <pageMargins left="0.7" right="0.7" top="0.75" bottom="0.75" header="0.3" footer="0.3"/>
  <pageSetup orientation="portrait" horizontalDpi="1200" verticalDpi="12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D91"/>
  <sheetViews>
    <sheetView zoomScale="84" zoomScaleNormal="84" workbookViewId="0"/>
  </sheetViews>
  <sheetFormatPr defaultRowHeight="14.5" x14ac:dyDescent="0.35"/>
  <cols>
    <col min="1" max="1" width="21" customWidth="1"/>
    <col min="2" max="2" width="26.7265625" bestFit="1" customWidth="1"/>
    <col min="3" max="3" width="22.81640625" customWidth="1"/>
    <col min="4" max="4" width="20.26953125" customWidth="1"/>
    <col min="5" max="30" width="15" bestFit="1" customWidth="1"/>
  </cols>
  <sheetData>
    <row r="1" spans="1:30" ht="20" thickBot="1" x14ac:dyDescent="0.5">
      <c r="A1" s="113"/>
      <c r="B1" s="122"/>
      <c r="C1" s="113" t="s">
        <v>105</v>
      </c>
      <c r="D1" s="113">
        <v>2022</v>
      </c>
      <c r="E1" s="113">
        <v>2023</v>
      </c>
      <c r="F1" s="113">
        <v>2024</v>
      </c>
      <c r="G1" s="113">
        <v>2025</v>
      </c>
      <c r="H1" s="113">
        <v>2026</v>
      </c>
      <c r="I1" s="113">
        <v>2027</v>
      </c>
      <c r="J1" s="113">
        <v>2028</v>
      </c>
      <c r="K1" s="113">
        <v>2029</v>
      </c>
      <c r="L1" s="113">
        <v>2030</v>
      </c>
      <c r="M1" s="113">
        <v>2031</v>
      </c>
      <c r="N1" s="113">
        <v>2032</v>
      </c>
      <c r="O1" s="113">
        <v>2033</v>
      </c>
      <c r="P1" s="113">
        <v>2034</v>
      </c>
      <c r="Q1" s="113">
        <v>2035</v>
      </c>
      <c r="R1" s="113">
        <v>2036</v>
      </c>
      <c r="S1" s="113">
        <v>2037</v>
      </c>
      <c r="T1" s="113">
        <v>2038</v>
      </c>
      <c r="U1" s="113">
        <v>2039</v>
      </c>
      <c r="V1" s="113">
        <v>2040</v>
      </c>
      <c r="W1" s="113">
        <v>2041</v>
      </c>
      <c r="X1" s="113">
        <v>2042</v>
      </c>
      <c r="Y1" s="113">
        <v>2043</v>
      </c>
      <c r="Z1" s="113">
        <v>2044</v>
      </c>
      <c r="AA1" s="113">
        <v>2045</v>
      </c>
      <c r="AB1" s="113">
        <v>2046</v>
      </c>
      <c r="AC1" s="113">
        <v>2047</v>
      </c>
      <c r="AD1" s="113">
        <v>2048</v>
      </c>
    </row>
    <row r="2" spans="1:30" ht="15" thickTop="1" x14ac:dyDescent="0.35">
      <c r="A2" s="72"/>
      <c r="B2" s="174" t="s">
        <v>26</v>
      </c>
      <c r="C2" s="72" t="s">
        <v>107</v>
      </c>
      <c r="D2" s="53">
        <f>'Baseline System Analysis'!D2</f>
        <v>49666.999999999534</v>
      </c>
      <c r="E2" s="53">
        <f>'Baseline System Analysis'!E2</f>
        <v>50103.790384614935</v>
      </c>
      <c r="F2" s="53">
        <f>'Baseline System Analysis'!F2</f>
        <v>50540.580769230335</v>
      </c>
      <c r="G2" s="53">
        <f>'Baseline System Analysis'!G2</f>
        <v>50977.371153845736</v>
      </c>
      <c r="H2" s="53">
        <f>'Baseline System Analysis'!H2</f>
        <v>51414.161538461136</v>
      </c>
      <c r="I2" s="53">
        <f>'Baseline System Analysis'!I2</f>
        <v>51850.951923076536</v>
      </c>
      <c r="J2" s="53">
        <f>'Baseline System Analysis'!J2</f>
        <v>52287.742307691937</v>
      </c>
      <c r="K2" s="53">
        <f>'Baseline System Analysis'!K2</f>
        <v>51698.184615384183</v>
      </c>
      <c r="L2" s="53">
        <f>'Baseline System Analysis'!L2</f>
        <v>51988.353846153419</v>
      </c>
      <c r="M2" s="53">
        <f>'Baseline System Analysis'!M2</f>
        <v>52278.523076922655</v>
      </c>
      <c r="N2" s="53">
        <f>'Baseline System Analysis'!N2</f>
        <v>52568.69230769189</v>
      </c>
      <c r="O2" s="53">
        <f>'Baseline System Analysis'!O2</f>
        <v>52858.861538461126</v>
      </c>
      <c r="P2" s="53">
        <f>'Baseline System Analysis'!P2</f>
        <v>53149.030769230361</v>
      </c>
      <c r="Q2" s="53">
        <f>'Baseline System Analysis'!Q2</f>
        <v>53439.199999999597</v>
      </c>
      <c r="R2" s="53">
        <f>'Baseline System Analysis'!R2</f>
        <v>53729.369230768832</v>
      </c>
      <c r="S2" s="53">
        <f>'Baseline System Analysis'!S2</f>
        <v>54019.538461538068</v>
      </c>
      <c r="T2" s="53">
        <f>'Baseline System Analysis'!T2</f>
        <v>54309.707692307304</v>
      </c>
      <c r="U2" s="53">
        <f>'Baseline System Analysis'!U2</f>
        <v>54599.876923076539</v>
      </c>
      <c r="V2" s="53">
        <f>'Baseline System Analysis'!V2</f>
        <v>54890.046153845775</v>
      </c>
      <c r="W2" s="53">
        <f>'Baseline System Analysis'!W2</f>
        <v>55180.21538461501</v>
      </c>
      <c r="X2" s="53">
        <f>'Baseline System Analysis'!X2</f>
        <v>55470.384615384246</v>
      </c>
      <c r="Y2" s="53">
        <f>'Baseline System Analysis'!Y2</f>
        <v>55760.553846153482</v>
      </c>
      <c r="Z2" s="53">
        <f>'Baseline System Analysis'!Z2</f>
        <v>56050.723076922717</v>
      </c>
      <c r="AA2" s="53">
        <f>'Baseline System Analysis'!AA2</f>
        <v>56340.892307691953</v>
      </c>
      <c r="AB2" s="53">
        <f>'Baseline System Analysis'!AB2</f>
        <v>56631.061538461188</v>
      </c>
      <c r="AC2" s="53">
        <f>'Baseline System Analysis'!AC2</f>
        <v>56921.230769230424</v>
      </c>
      <c r="AD2" s="53">
        <f>'Baseline System Analysis'!AD2</f>
        <v>57211.399999999638</v>
      </c>
    </row>
    <row r="3" spans="1:30" x14ac:dyDescent="0.35">
      <c r="A3" s="72" t="s">
        <v>30</v>
      </c>
      <c r="B3" s="176"/>
      <c r="C3" s="72" t="s">
        <v>31</v>
      </c>
      <c r="D3" s="53">
        <f>'Baseline System Analysis'!D3</f>
        <v>10</v>
      </c>
      <c r="E3" s="53">
        <f>'Baseline System Analysis'!E3</f>
        <v>20.5</v>
      </c>
      <c r="F3" s="53">
        <f>'Baseline System Analysis'!F3</f>
        <v>29.879999999999995</v>
      </c>
      <c r="G3" s="53">
        <f>'Baseline System Analysis'!G3</f>
        <v>39.259999999999991</v>
      </c>
      <c r="H3" s="53">
        <f>'Baseline System Analysis'!H3</f>
        <v>48.639999999999986</v>
      </c>
      <c r="I3" s="53">
        <f>'Baseline System Analysis'!I3</f>
        <v>58.019999999999982</v>
      </c>
      <c r="J3" s="53">
        <f>'Baseline System Analysis'!J3</f>
        <v>67.399999999999977</v>
      </c>
      <c r="K3" s="53">
        <f>'Baseline System Analysis'!K3</f>
        <v>57.599999999999966</v>
      </c>
      <c r="L3" s="53">
        <f>'Baseline System Analysis'!L3</f>
        <v>49.800000000000011</v>
      </c>
      <c r="M3" s="53">
        <f>'Baseline System Analysis'!M3</f>
        <v>41.5</v>
      </c>
      <c r="N3" s="53">
        <f>'Baseline System Analysis'!N3</f>
        <v>53.700000000000017</v>
      </c>
      <c r="O3" s="53">
        <f>'Baseline System Analysis'!O3</f>
        <v>75.066666666666691</v>
      </c>
      <c r="P3" s="53">
        <f>'Baseline System Analysis'!P3</f>
        <v>96.433333333333366</v>
      </c>
      <c r="Q3" s="53">
        <f>'Baseline System Analysis'!Q3</f>
        <v>117.80000000000004</v>
      </c>
      <c r="R3" s="53">
        <f>'Baseline System Analysis'!R3</f>
        <v>139.16666666666671</v>
      </c>
      <c r="S3" s="53">
        <f>'Baseline System Analysis'!S3</f>
        <v>160.53333333333339</v>
      </c>
      <c r="T3" s="53">
        <f>'Baseline System Analysis'!T3</f>
        <v>181.90000000000003</v>
      </c>
      <c r="U3" s="53">
        <f>'Baseline System Analysis'!U3</f>
        <v>244.23000000000002</v>
      </c>
      <c r="V3" s="53">
        <f>'Baseline System Analysis'!V3</f>
        <v>306.56</v>
      </c>
      <c r="W3" s="53">
        <f>'Baseline System Analysis'!W3</f>
        <v>368.89</v>
      </c>
      <c r="X3" s="53">
        <f>'Baseline System Analysis'!X3</f>
        <v>431.21999999999997</v>
      </c>
      <c r="Y3" s="53">
        <f>'Baseline System Analysis'!Y3</f>
        <v>453.7000000000001</v>
      </c>
      <c r="Z3" s="53">
        <f>'Baseline System Analysis'!Z3</f>
        <v>524.00000000000011</v>
      </c>
      <c r="AA3" s="53">
        <f>'Baseline System Analysis'!AA3</f>
        <v>594.30000000000007</v>
      </c>
      <c r="AB3" s="53">
        <f>'Baseline System Analysis'!AB3</f>
        <v>664.6</v>
      </c>
      <c r="AC3" s="53">
        <f>'Baseline System Analysis'!AC3</f>
        <v>734.9</v>
      </c>
      <c r="AD3" s="53">
        <f>'Baseline System Analysis'!AD3</f>
        <v>805.2</v>
      </c>
    </row>
    <row r="4" spans="1:30" x14ac:dyDescent="0.35">
      <c r="A4" s="72" t="s">
        <v>30</v>
      </c>
      <c r="B4" s="176"/>
      <c r="C4" s="72" t="s">
        <v>32</v>
      </c>
      <c r="D4" s="53">
        <f>'Baseline System Analysis'!D4</f>
        <v>2</v>
      </c>
      <c r="E4" s="53">
        <f>'Baseline System Analysis'!E4</f>
        <v>3</v>
      </c>
      <c r="F4" s="53">
        <f>'Baseline System Analysis'!F4</f>
        <v>4.6799999999999953</v>
      </c>
      <c r="G4" s="53">
        <f>'Baseline System Analysis'!G4</f>
        <v>6.3599999999999905</v>
      </c>
      <c r="H4" s="53">
        <f>'Baseline System Analysis'!H4</f>
        <v>8.0399999999999867</v>
      </c>
      <c r="I4" s="53">
        <f>'Baseline System Analysis'!I4</f>
        <v>9.7199999999999829</v>
      </c>
      <c r="J4" s="53">
        <f>'Baseline System Analysis'!J4</f>
        <v>11.399999999999977</v>
      </c>
      <c r="K4" s="53">
        <f>'Baseline System Analysis'!K4</f>
        <v>10.199999999999989</v>
      </c>
      <c r="L4" s="53">
        <f>'Baseline System Analysis'!L4</f>
        <v>8.5999999999999943</v>
      </c>
      <c r="M4" s="53">
        <f>'Baseline System Analysis'!M4</f>
        <v>6.8000000000000114</v>
      </c>
      <c r="N4" s="53">
        <f>'Baseline System Analysis'!N4</f>
        <v>9.6000000000000227</v>
      </c>
      <c r="O4" s="53">
        <f>'Baseline System Analysis'!O4</f>
        <v>11.333333333333352</v>
      </c>
      <c r="P4" s="53">
        <f>'Baseline System Analysis'!P4</f>
        <v>13.066666666666681</v>
      </c>
      <c r="Q4" s="53">
        <f>'Baseline System Analysis'!Q4</f>
        <v>14.80000000000001</v>
      </c>
      <c r="R4" s="53">
        <f>'Baseline System Analysis'!R4</f>
        <v>16.533333333333339</v>
      </c>
      <c r="S4" s="53">
        <f>'Baseline System Analysis'!S4</f>
        <v>18.266666666666669</v>
      </c>
      <c r="T4" s="53">
        <f>'Baseline System Analysis'!T4</f>
        <v>20</v>
      </c>
      <c r="U4" s="53">
        <f>'Baseline System Analysis'!U4</f>
        <v>21.860000000000003</v>
      </c>
      <c r="V4" s="53">
        <f>'Baseline System Analysis'!V4</f>
        <v>23.720000000000006</v>
      </c>
      <c r="W4" s="53">
        <f>'Baseline System Analysis'!W4</f>
        <v>25.580000000000009</v>
      </c>
      <c r="X4" s="53">
        <f>'Baseline System Analysis'!X4</f>
        <v>27.440000000000012</v>
      </c>
      <c r="Y4" s="53">
        <f>'Baseline System Analysis'!Y4</f>
        <v>29.300000000000011</v>
      </c>
      <c r="Z4" s="53">
        <f>'Baseline System Analysis'!Z4</f>
        <v>30.480000000000008</v>
      </c>
      <c r="AA4" s="53">
        <f>'Baseline System Analysis'!AA4</f>
        <v>31.660000000000004</v>
      </c>
      <c r="AB4" s="53">
        <f>'Baseline System Analysis'!AB4</f>
        <v>32.839999999999996</v>
      </c>
      <c r="AC4" s="53">
        <f>'Baseline System Analysis'!AC4</f>
        <v>34.019999999999989</v>
      </c>
      <c r="AD4" s="53">
        <f>'Baseline System Analysis'!AD4</f>
        <v>35.199999999999989</v>
      </c>
    </row>
    <row r="5" spans="1:30" x14ac:dyDescent="0.35">
      <c r="A5" s="72" t="s">
        <v>30</v>
      </c>
      <c r="B5" s="176"/>
      <c r="C5" s="72" t="s">
        <v>33</v>
      </c>
      <c r="D5" s="53">
        <f>'Baseline System Analysis'!D5</f>
        <v>8.4812112193331513E-2</v>
      </c>
      <c r="E5" s="53">
        <f>'Baseline System Analysis'!E5</f>
        <v>0.24283371212350299</v>
      </c>
      <c r="F5" s="53">
        <f>'Baseline System Analysis'!F5</f>
        <v>0.34046276046663143</v>
      </c>
      <c r="G5" s="53">
        <f>'Baseline System Analysis'!G5</f>
        <v>0.43809180880975984</v>
      </c>
      <c r="H5" s="53">
        <f>'Baseline System Analysis'!H5</f>
        <v>0.53572085715288831</v>
      </c>
      <c r="I5" s="53">
        <f>'Baseline System Analysis'!I5</f>
        <v>0.63334990549601677</v>
      </c>
      <c r="J5" s="53">
        <f>'Baseline System Analysis'!J5</f>
        <v>0.73097895383914513</v>
      </c>
      <c r="K5" s="53">
        <f>'Baseline System Analysis'!K5</f>
        <v>0.61764830497225676</v>
      </c>
      <c r="L5" s="53">
        <f>'Baseline System Analysis'!L5</f>
        <v>0.52957812632109091</v>
      </c>
      <c r="M5" s="53">
        <f>'Baseline System Analysis'!M5</f>
        <v>0.48185121670948772</v>
      </c>
      <c r="N5" s="53">
        <f>'Baseline System Analysis'!N5</f>
        <v>0.56680711827214547</v>
      </c>
      <c r="O5" s="53">
        <f>'Baseline System Analysis'!O5</f>
        <v>0.96980348799493798</v>
      </c>
      <c r="P5" s="53">
        <f>'Baseline System Analysis'!P5</f>
        <v>1.3727998577177305</v>
      </c>
      <c r="Q5" s="53">
        <f>'Baseline System Analysis'!Q5</f>
        <v>1.775796227440523</v>
      </c>
      <c r="R5" s="53">
        <f>'Baseline System Analysis'!R5</f>
        <v>2.1787925971633153</v>
      </c>
      <c r="S5" s="53">
        <f>'Baseline System Analysis'!S5</f>
        <v>2.5817889668861076</v>
      </c>
      <c r="T5" s="53">
        <f>'Baseline System Analysis'!T5</f>
        <v>2.9847853366089003</v>
      </c>
      <c r="U5" s="53">
        <f>'Baseline System Analysis'!U5</f>
        <v>21.070525908414965</v>
      </c>
      <c r="V5" s="53">
        <f>'Baseline System Analysis'!V5</f>
        <v>39.156266480221028</v>
      </c>
      <c r="W5" s="53">
        <f>'Baseline System Analysis'!W5</f>
        <v>57.242007052027091</v>
      </c>
      <c r="X5" s="53">
        <f>'Baseline System Analysis'!X5</f>
        <v>75.327747623833147</v>
      </c>
      <c r="Y5" s="53">
        <f>'Baseline System Analysis'!Y5</f>
        <v>93.413488195639218</v>
      </c>
      <c r="Z5" s="53">
        <f>'Baseline System Analysis'!Z5</f>
        <v>81.062212021092932</v>
      </c>
      <c r="AA5" s="53">
        <f>'Baseline System Analysis'!AA5</f>
        <v>68.710935846546647</v>
      </c>
      <c r="AB5" s="53">
        <f>'Baseline System Analysis'!AB5</f>
        <v>56.359659672000362</v>
      </c>
      <c r="AC5" s="53">
        <f>'Baseline System Analysis'!AC5</f>
        <v>44.008383497454076</v>
      </c>
      <c r="AD5" s="53">
        <f>'Baseline System Analysis'!AD5</f>
        <v>31.657107322907791</v>
      </c>
    </row>
    <row r="6" spans="1:30" x14ac:dyDescent="0.35">
      <c r="A6" s="72" t="s">
        <v>30</v>
      </c>
      <c r="B6" s="176"/>
      <c r="C6" s="72" t="s">
        <v>34</v>
      </c>
      <c r="D6" s="53">
        <f>'Baseline System Analysis'!D6</f>
        <v>6.0580080138093939E-3</v>
      </c>
      <c r="E6" s="53">
        <f>'Baseline System Analysis'!E6</f>
        <v>1.7771756236396739E-2</v>
      </c>
      <c r="F6" s="53">
        <f>'Baseline System Analysis'!F6</f>
        <v>2.504677784712513E-2</v>
      </c>
      <c r="G6" s="53">
        <f>'Baseline System Analysis'!G6</f>
        <v>3.2321799457853517E-2</v>
      </c>
      <c r="H6" s="53">
        <f>'Baseline System Analysis'!H6</f>
        <v>3.9596821068581908E-2</v>
      </c>
      <c r="I6" s="53">
        <f>'Baseline System Analysis'!I6</f>
        <v>4.6871842679310299E-2</v>
      </c>
      <c r="J6" s="53">
        <f>'Baseline System Analysis'!J6</f>
        <v>5.414686429003869E-2</v>
      </c>
      <c r="K6" s="53">
        <f>'Baseline System Analysis'!K6</f>
        <v>4.57170533491131E-2</v>
      </c>
      <c r="L6" s="53">
        <f>'Baseline System Analysis'!L6</f>
        <v>3.8991796004088156E-2</v>
      </c>
      <c r="M6" s="53">
        <f>'Baseline System Analysis'!M6</f>
        <v>3.1792887361975948E-2</v>
      </c>
      <c r="N6" s="53">
        <f>'Baseline System Analysis'!N6</f>
        <v>4.2212624824281168E-2</v>
      </c>
      <c r="O6" s="53">
        <f>'Baseline System Analysis'!O6</f>
        <v>5.9766414638595444E-2</v>
      </c>
      <c r="P6" s="53">
        <f>'Baseline System Analysis'!P6</f>
        <v>7.7320204452909727E-2</v>
      </c>
      <c r="Q6" s="53">
        <f>'Baseline System Analysis'!Q6</f>
        <v>9.487399426722401E-2</v>
      </c>
      <c r="R6" s="53">
        <f>'Baseline System Analysis'!R6</f>
        <v>0.11242778408153829</v>
      </c>
      <c r="S6" s="53">
        <f>'Baseline System Analysis'!S6</f>
        <v>0.12998157389585258</v>
      </c>
      <c r="T6" s="53">
        <f>'Baseline System Analysis'!T6</f>
        <v>0.14753536371016684</v>
      </c>
      <c r="U6" s="53">
        <f>'Baseline System Analysis'!U6</f>
        <v>0.40051087482777559</v>
      </c>
      <c r="V6" s="53">
        <f>'Baseline System Analysis'!V6</f>
        <v>0.65348638594538433</v>
      </c>
      <c r="W6" s="53">
        <f>'Baseline System Analysis'!W6</f>
        <v>0.90646189706299307</v>
      </c>
      <c r="X6" s="53">
        <f>'Baseline System Analysis'!X6</f>
        <v>1.1594374081806018</v>
      </c>
      <c r="Y6" s="53">
        <f>'Baseline System Analysis'!Y6</f>
        <v>1.4124129192982104</v>
      </c>
      <c r="Z6" s="53">
        <f>'Baseline System Analysis'!Z6</f>
        <v>1.2710233198999881</v>
      </c>
      <c r="AA6" s="53">
        <f>'Baseline System Analysis'!AA6</f>
        <v>1.1296337205017657</v>
      </c>
      <c r="AB6" s="53">
        <f>'Baseline System Analysis'!AB6</f>
        <v>0.98824412110354332</v>
      </c>
      <c r="AC6" s="53">
        <f>'Baseline System Analysis'!AC6</f>
        <v>0.84685452170532094</v>
      </c>
      <c r="AD6" s="53">
        <f>'Baseline System Analysis'!AD6</f>
        <v>0.70546492230709823</v>
      </c>
    </row>
    <row r="7" spans="1:30" x14ac:dyDescent="0.35">
      <c r="A7" s="72" t="s">
        <v>30</v>
      </c>
      <c r="B7" s="176"/>
      <c r="C7" s="72" t="s">
        <v>35</v>
      </c>
      <c r="D7" s="53">
        <f>'Baseline System Analysis'!D7</f>
        <v>14</v>
      </c>
      <c r="E7" s="53">
        <f>'Baseline System Analysis'!E7</f>
        <v>21</v>
      </c>
      <c r="F7" s="53">
        <f>'Baseline System Analysis'!F7</f>
        <v>23.2</v>
      </c>
      <c r="G7" s="53">
        <f>'Baseline System Analysis'!G7</f>
        <v>25.4</v>
      </c>
      <c r="H7" s="53">
        <f>'Baseline System Analysis'!H7</f>
        <v>27.599999999999998</v>
      </c>
      <c r="I7" s="53">
        <f>'Baseline System Analysis'!I7</f>
        <v>29.799999999999997</v>
      </c>
      <c r="J7" s="53">
        <f>'Baseline System Analysis'!J7</f>
        <v>32</v>
      </c>
      <c r="K7" s="53">
        <f>'Baseline System Analysis'!K7</f>
        <v>30</v>
      </c>
      <c r="L7" s="53">
        <f>'Baseline System Analysis'!L7</f>
        <v>29</v>
      </c>
      <c r="M7" s="53">
        <f>'Baseline System Analysis'!M7</f>
        <v>29</v>
      </c>
      <c r="N7" s="53">
        <f>'Baseline System Analysis'!N7</f>
        <v>29</v>
      </c>
      <c r="O7" s="53">
        <f>'Baseline System Analysis'!O7</f>
        <v>32.666666666666664</v>
      </c>
      <c r="P7" s="53">
        <f>'Baseline System Analysis'!P7</f>
        <v>36.333333333333329</v>
      </c>
      <c r="Q7" s="53">
        <f>'Baseline System Analysis'!Q7</f>
        <v>39.999999999999993</v>
      </c>
      <c r="R7" s="53">
        <f>'Baseline System Analysis'!R7</f>
        <v>43.666666666666657</v>
      </c>
      <c r="S7" s="53">
        <f>'Baseline System Analysis'!S7</f>
        <v>47.333333333333321</v>
      </c>
      <c r="T7" s="53">
        <f>'Baseline System Analysis'!T7</f>
        <v>51</v>
      </c>
      <c r="U7" s="53">
        <f>'Baseline System Analysis'!U7</f>
        <v>56.6</v>
      </c>
      <c r="V7" s="53">
        <f>'Baseline System Analysis'!V7</f>
        <v>62.2</v>
      </c>
      <c r="W7" s="53">
        <f>'Baseline System Analysis'!W7</f>
        <v>67.8</v>
      </c>
      <c r="X7" s="53">
        <f>'Baseline System Analysis'!X7</f>
        <v>73.399999999999991</v>
      </c>
      <c r="Y7" s="53">
        <f>'Baseline System Analysis'!Y7</f>
        <v>79</v>
      </c>
      <c r="Z7" s="53">
        <f>'Baseline System Analysis'!Z7</f>
        <v>82</v>
      </c>
      <c r="AA7" s="53">
        <f>'Baseline System Analysis'!AA7</f>
        <v>85</v>
      </c>
      <c r="AB7" s="53">
        <f>'Baseline System Analysis'!AB7</f>
        <v>88</v>
      </c>
      <c r="AC7" s="53">
        <f>'Baseline System Analysis'!AC7</f>
        <v>91</v>
      </c>
      <c r="AD7" s="53">
        <f>'Baseline System Analysis'!AD7</f>
        <v>94</v>
      </c>
    </row>
    <row r="8" spans="1:30" x14ac:dyDescent="0.35">
      <c r="A8" s="72" t="s">
        <v>39</v>
      </c>
      <c r="B8" s="176"/>
      <c r="C8" s="72" t="s">
        <v>31</v>
      </c>
      <c r="D8" s="53">
        <f>'Baseline System Analysis'!D8</f>
        <v>22.2</v>
      </c>
      <c r="E8" s="53">
        <f>'Baseline System Analysis'!E8</f>
        <v>65.8</v>
      </c>
      <c r="F8" s="53">
        <f>'Baseline System Analysis'!F8</f>
        <v>102.72</v>
      </c>
      <c r="G8" s="53">
        <f>'Baseline System Analysis'!G8</f>
        <v>139.63999999999999</v>
      </c>
      <c r="H8" s="53">
        <f>'Baseline System Analysis'!H8</f>
        <v>176.56</v>
      </c>
      <c r="I8" s="53">
        <f>'Baseline System Analysis'!I8</f>
        <v>213.48000000000002</v>
      </c>
      <c r="J8" s="53">
        <f>'Baseline System Analysis'!J8</f>
        <v>250.4</v>
      </c>
      <c r="K8" s="53">
        <f>'Baseline System Analysis'!K8</f>
        <v>216.60000000000014</v>
      </c>
      <c r="L8" s="53">
        <f>'Baseline System Analysis'!L8</f>
        <v>182.59999999999991</v>
      </c>
      <c r="M8" s="53">
        <f>'Baseline System Analysis'!M8</f>
        <v>151.20000000000005</v>
      </c>
      <c r="N8" s="53">
        <f>'Baseline System Analysis'!N8</f>
        <v>202.60000000000014</v>
      </c>
      <c r="O8" s="53">
        <f>'Baseline System Analysis'!O8</f>
        <v>292.1666666666668</v>
      </c>
      <c r="P8" s="53">
        <f>'Baseline System Analysis'!P8</f>
        <v>381.73333333333346</v>
      </c>
      <c r="Q8" s="53">
        <f>'Baseline System Analysis'!Q8</f>
        <v>471.30000000000013</v>
      </c>
      <c r="R8" s="53">
        <f>'Baseline System Analysis'!R8</f>
        <v>560.86666666666679</v>
      </c>
      <c r="S8" s="53">
        <f>'Baseline System Analysis'!S8</f>
        <v>650.43333333333339</v>
      </c>
      <c r="T8" s="53">
        <f>'Baseline System Analysis'!T8</f>
        <v>740</v>
      </c>
      <c r="U8" s="53">
        <f>'Baseline System Analysis'!U8</f>
        <v>930.87999999999988</v>
      </c>
      <c r="V8" s="53">
        <f>'Baseline System Analysis'!V8</f>
        <v>1121.7599999999998</v>
      </c>
      <c r="W8" s="53">
        <f>'Baseline System Analysis'!W8</f>
        <v>1312.6399999999996</v>
      </c>
      <c r="X8" s="53">
        <f>'Baseline System Analysis'!X8</f>
        <v>1503.5199999999995</v>
      </c>
      <c r="Y8" s="53">
        <f>'Baseline System Analysis'!Y8</f>
        <v>1694.3999999999994</v>
      </c>
      <c r="Z8" s="53">
        <f>'Baseline System Analysis'!Z8</f>
        <v>1887.3999999999994</v>
      </c>
      <c r="AA8" s="53">
        <f>'Baseline System Analysis'!AA8</f>
        <v>2080.3999999999996</v>
      </c>
      <c r="AB8" s="53">
        <f>'Baseline System Analysis'!AB8</f>
        <v>2273.3999999999996</v>
      </c>
      <c r="AC8" s="53">
        <f>'Baseline System Analysis'!AC8</f>
        <v>2466.3999999999996</v>
      </c>
      <c r="AD8" s="53">
        <f>'Baseline System Analysis'!AD8</f>
        <v>2659.3999999999996</v>
      </c>
    </row>
    <row r="9" spans="1:30" x14ac:dyDescent="0.35">
      <c r="A9" s="72" t="s">
        <v>39</v>
      </c>
      <c r="B9" s="176"/>
      <c r="C9" s="72" t="s">
        <v>32</v>
      </c>
      <c r="D9" s="53">
        <f>'Baseline System Analysis'!D9</f>
        <v>13</v>
      </c>
      <c r="E9" s="53">
        <f>'Baseline System Analysis'!E9</f>
        <v>27</v>
      </c>
      <c r="F9" s="53">
        <f>'Baseline System Analysis'!F9</f>
        <v>34.519999999999982</v>
      </c>
      <c r="G9" s="53">
        <f>'Baseline System Analysis'!G9</f>
        <v>42.039999999999964</v>
      </c>
      <c r="H9" s="53">
        <f>'Baseline System Analysis'!H9</f>
        <v>49.559999999999945</v>
      </c>
      <c r="I9" s="53">
        <f>'Baseline System Analysis'!I9</f>
        <v>57.079999999999927</v>
      </c>
      <c r="J9" s="53">
        <f>'Baseline System Analysis'!J9</f>
        <v>64.599999999999909</v>
      </c>
      <c r="K9" s="53">
        <f>'Baseline System Analysis'!K9</f>
        <v>59.799999999999955</v>
      </c>
      <c r="L9" s="53">
        <f>'Baseline System Analysis'!L9</f>
        <v>52.799999999999955</v>
      </c>
      <c r="M9" s="53">
        <f>'Baseline System Analysis'!M9</f>
        <v>46</v>
      </c>
      <c r="N9" s="53">
        <f>'Baseline System Analysis'!N9</f>
        <v>57.400000000000091</v>
      </c>
      <c r="O9" s="53">
        <f>'Baseline System Analysis'!O9</f>
        <v>67.333333333333414</v>
      </c>
      <c r="P9" s="53">
        <f>'Baseline System Analysis'!P9</f>
        <v>77.266666666666737</v>
      </c>
      <c r="Q9" s="53">
        <f>'Baseline System Analysis'!Q9</f>
        <v>87.20000000000006</v>
      </c>
      <c r="R9" s="53">
        <f>'Baseline System Analysis'!R9</f>
        <v>97.133333333333383</v>
      </c>
      <c r="S9" s="53">
        <f>'Baseline System Analysis'!S9</f>
        <v>107.06666666666671</v>
      </c>
      <c r="T9" s="53">
        <f>'Baseline System Analysis'!T9</f>
        <v>117</v>
      </c>
      <c r="U9" s="53">
        <f>'Baseline System Analysis'!U9</f>
        <v>126.6</v>
      </c>
      <c r="V9" s="53">
        <f>'Baseline System Analysis'!V9</f>
        <v>136.19999999999999</v>
      </c>
      <c r="W9" s="53">
        <f>'Baseline System Analysis'!W9</f>
        <v>145.79999999999998</v>
      </c>
      <c r="X9" s="53">
        <f>'Baseline System Analysis'!X9</f>
        <v>155.39999999999998</v>
      </c>
      <c r="Y9" s="53">
        <f>'Baseline System Analysis'!Y9</f>
        <v>165</v>
      </c>
      <c r="Z9" s="53">
        <f>'Baseline System Analysis'!Z9</f>
        <v>171.84</v>
      </c>
      <c r="AA9" s="53">
        <f>'Baseline System Analysis'!AA9</f>
        <v>178.68</v>
      </c>
      <c r="AB9" s="53">
        <f>'Baseline System Analysis'!AB9</f>
        <v>185.52</v>
      </c>
      <c r="AC9" s="53">
        <f>'Baseline System Analysis'!AC9</f>
        <v>192.36</v>
      </c>
      <c r="AD9" s="53">
        <f>'Baseline System Analysis'!AD9</f>
        <v>199.20000000000005</v>
      </c>
    </row>
    <row r="10" spans="1:30" x14ac:dyDescent="0.35">
      <c r="A10" s="72" t="s">
        <v>39</v>
      </c>
      <c r="B10" s="176"/>
      <c r="C10" s="72" t="s">
        <v>33</v>
      </c>
      <c r="D10" s="53">
        <f>'Baseline System Analysis'!D10</f>
        <v>4.7253529883901121E-2</v>
      </c>
      <c r="E10" s="53">
        <f>'Baseline System Analysis'!E10</f>
        <v>0.28011551949195379</v>
      </c>
      <c r="F10" s="53">
        <f>'Baseline System Analysis'!F10</f>
        <v>0.59718244793816533</v>
      </c>
      <c r="G10" s="53">
        <f>'Baseline System Analysis'!G10</f>
        <v>0.91424937638437687</v>
      </c>
      <c r="H10" s="53">
        <f>'Baseline System Analysis'!H10</f>
        <v>1.2313163048305884</v>
      </c>
      <c r="I10" s="53">
        <f>'Baseline System Analysis'!I10</f>
        <v>1.5483832332767999</v>
      </c>
      <c r="J10" s="53">
        <f>'Baseline System Analysis'!J10</f>
        <v>1.8654501617230115</v>
      </c>
      <c r="K10" s="53">
        <f>'Baseline System Analysis'!K10</f>
        <v>1.6136441894137561</v>
      </c>
      <c r="L10" s="53">
        <f>'Baseline System Analysis'!L10</f>
        <v>1.1660127779459895</v>
      </c>
      <c r="M10" s="53">
        <f>'Baseline System Analysis'!M10</f>
        <v>0.80458713045561225</v>
      </c>
      <c r="N10" s="53">
        <f>'Baseline System Analysis'!N10</f>
        <v>0.56680711827214547</v>
      </c>
      <c r="O10" s="53">
        <f>'Baseline System Analysis'!O10</f>
        <v>3.0445179689462347</v>
      </c>
      <c r="P10" s="53">
        <f>'Baseline System Analysis'!P10</f>
        <v>4.5886299372095039</v>
      </c>
      <c r="Q10" s="53">
        <f>'Baseline System Analysis'!Q10</f>
        <v>6.1327419054727734</v>
      </c>
      <c r="R10" s="53">
        <f>'Baseline System Analysis'!R10</f>
        <v>7.676853873736043</v>
      </c>
      <c r="S10" s="53">
        <f>'Baseline System Analysis'!S10</f>
        <v>9.2209658419993126</v>
      </c>
      <c r="T10" s="53">
        <f>'Baseline System Analysis'!T10</f>
        <v>10.765077810262582</v>
      </c>
      <c r="U10" s="53">
        <f>'Baseline System Analysis'!U10</f>
        <v>11.285969377257926</v>
      </c>
      <c r="V10" s="53">
        <f>'Baseline System Analysis'!V10</f>
        <v>11.80686094425327</v>
      </c>
      <c r="W10" s="53">
        <f>'Baseline System Analysis'!W10</f>
        <v>12.327752511248613</v>
      </c>
      <c r="X10" s="53">
        <f>'Baseline System Analysis'!X10</f>
        <v>12.848644078243957</v>
      </c>
      <c r="Y10" s="53">
        <f>'Baseline System Analysis'!Y10</f>
        <v>13.369535645239303</v>
      </c>
      <c r="Z10" s="53">
        <f>'Baseline System Analysis'!Z10</f>
        <v>31.024884631077057</v>
      </c>
      <c r="AA10" s="53">
        <f>'Baseline System Analysis'!AA10</f>
        <v>48.680233616914812</v>
      </c>
      <c r="AB10" s="53">
        <f>'Baseline System Analysis'!AB10</f>
        <v>66.335582602752567</v>
      </c>
      <c r="AC10" s="53">
        <f>'Baseline System Analysis'!AC10</f>
        <v>83.990931588590314</v>
      </c>
      <c r="AD10" s="53">
        <f>'Baseline System Analysis'!AD10</f>
        <v>101.64628057442808</v>
      </c>
    </row>
    <row r="11" spans="1:30" x14ac:dyDescent="0.35">
      <c r="A11" s="72" t="s">
        <v>39</v>
      </c>
      <c r="B11" s="176"/>
      <c r="C11" s="72" t="s">
        <v>34</v>
      </c>
      <c r="D11" s="53">
        <f>'Baseline System Analysis'!D11</f>
        <v>2.3626764941950561E-2</v>
      </c>
      <c r="E11" s="53">
        <f>'Baseline System Analysis'!E11</f>
        <v>7.0028879872988448E-2</v>
      </c>
      <c r="F11" s="53">
        <f>'Baseline System Analysis'!F11</f>
        <v>0.10932167994761965</v>
      </c>
      <c r="G11" s="53">
        <f>'Baseline System Analysis'!G11</f>
        <v>0.14861448002225086</v>
      </c>
      <c r="H11" s="53">
        <f>'Baseline System Analysis'!H11</f>
        <v>0.18790728009688207</v>
      </c>
      <c r="I11" s="53">
        <f>'Baseline System Analysis'!I11</f>
        <v>0.22720008017151327</v>
      </c>
      <c r="J11" s="53">
        <f>'Baseline System Analysis'!J11</f>
        <v>0.26649288024614448</v>
      </c>
      <c r="K11" s="53">
        <f>'Baseline System Analysis'!K11</f>
        <v>0.23052059848767945</v>
      </c>
      <c r="L11" s="53">
        <f>'Baseline System Analysis'!L11</f>
        <v>0.19433546299099821</v>
      </c>
      <c r="M11" s="53">
        <f>'Baseline System Analysis'!M11</f>
        <v>0.16091742609112245</v>
      </c>
      <c r="N11" s="53">
        <f>'Baseline System Analysis'!N11</f>
        <v>4.2212624824281168E-2</v>
      </c>
      <c r="O11" s="53">
        <f>'Baseline System Analysis'!O11</f>
        <v>0.30677545020347896</v>
      </c>
      <c r="P11" s="53">
        <f>'Baseline System Analysis'!P11</f>
        <v>0.39920718602367722</v>
      </c>
      <c r="Q11" s="53">
        <f>'Baseline System Analysis'!Q11</f>
        <v>0.49163892184387548</v>
      </c>
      <c r="R11" s="53">
        <f>'Baseline System Analysis'!R11</f>
        <v>0.58407065766407373</v>
      </c>
      <c r="S11" s="53">
        <f>'Baseline System Analysis'!S11</f>
        <v>0.67650239348427199</v>
      </c>
      <c r="T11" s="53">
        <f>'Baseline System Analysis'!T11</f>
        <v>0.76893412930447014</v>
      </c>
      <c r="U11" s="53">
        <f>'Baseline System Analysis'!U11</f>
        <v>0.69278283231502535</v>
      </c>
      <c r="V11" s="53">
        <f>'Baseline System Analysis'!V11</f>
        <v>0.61663153532558057</v>
      </c>
      <c r="W11" s="53">
        <f>'Baseline System Analysis'!W11</f>
        <v>0.54048023833613579</v>
      </c>
      <c r="X11" s="53">
        <f>'Baseline System Analysis'!X11</f>
        <v>0.464328941346691</v>
      </c>
      <c r="Y11" s="53">
        <f>'Baseline System Analysis'!Y11</f>
        <v>0.38817764435724611</v>
      </c>
      <c r="Z11" s="53">
        <f>'Baseline System Analysis'!Z11</f>
        <v>0.85998146994216484</v>
      </c>
      <c r="AA11" s="53">
        <f>'Baseline System Analysis'!AA11</f>
        <v>1.3317852955270837</v>
      </c>
      <c r="AB11" s="53">
        <f>'Baseline System Analysis'!AB11</f>
        <v>1.8035891211120025</v>
      </c>
      <c r="AC11" s="53">
        <f>'Baseline System Analysis'!AC11</f>
        <v>2.2753929466969214</v>
      </c>
      <c r="AD11" s="53">
        <f>'Baseline System Analysis'!AD11</f>
        <v>2.74719677228184</v>
      </c>
    </row>
    <row r="12" spans="1:30" x14ac:dyDescent="0.35">
      <c r="A12" s="72" t="s">
        <v>39</v>
      </c>
      <c r="B12" s="176"/>
      <c r="C12" s="72" t="s">
        <v>35</v>
      </c>
      <c r="D12" s="53">
        <f>'Baseline System Analysis'!D12</f>
        <v>2</v>
      </c>
      <c r="E12" s="53">
        <f>'Baseline System Analysis'!E12</f>
        <v>4</v>
      </c>
      <c r="F12" s="53">
        <f>'Baseline System Analysis'!F12</f>
        <v>4.5999999999999996</v>
      </c>
      <c r="G12" s="53">
        <f>'Baseline System Analysis'!G12</f>
        <v>5.1999999999999993</v>
      </c>
      <c r="H12" s="53">
        <f>'Baseline System Analysis'!H12</f>
        <v>5.7999999999999989</v>
      </c>
      <c r="I12" s="53">
        <f>'Baseline System Analysis'!I12</f>
        <v>6.3999999999999986</v>
      </c>
      <c r="J12" s="53">
        <f>'Baseline System Analysis'!J12</f>
        <v>7</v>
      </c>
      <c r="K12" s="53">
        <f>'Baseline System Analysis'!K12</f>
        <v>7</v>
      </c>
      <c r="L12" s="53">
        <f>'Baseline System Analysis'!L12</f>
        <v>6</v>
      </c>
      <c r="M12" s="53">
        <f>'Baseline System Analysis'!M12</f>
        <v>5</v>
      </c>
      <c r="N12" s="53">
        <f>'Baseline System Analysis'!N12</f>
        <v>7</v>
      </c>
      <c r="O12" s="53">
        <f>'Baseline System Analysis'!O12</f>
        <v>8.1666666666666661</v>
      </c>
      <c r="P12" s="53">
        <f>'Baseline System Analysis'!P12</f>
        <v>9.3333333333333321</v>
      </c>
      <c r="Q12" s="53">
        <f>'Baseline System Analysis'!Q12</f>
        <v>10.499999999999998</v>
      </c>
      <c r="R12" s="53">
        <f>'Baseline System Analysis'!R12</f>
        <v>11.666666666666664</v>
      </c>
      <c r="S12" s="53">
        <f>'Baseline System Analysis'!S12</f>
        <v>12.83333333333333</v>
      </c>
      <c r="T12" s="53">
        <f>'Baseline System Analysis'!T12</f>
        <v>14</v>
      </c>
      <c r="U12" s="53">
        <f>'Baseline System Analysis'!U12</f>
        <v>17</v>
      </c>
      <c r="V12" s="53">
        <f>'Baseline System Analysis'!V12</f>
        <v>20</v>
      </c>
      <c r="W12" s="53">
        <f>'Baseline System Analysis'!W12</f>
        <v>23</v>
      </c>
      <c r="X12" s="53">
        <f>'Baseline System Analysis'!X12</f>
        <v>26</v>
      </c>
      <c r="Y12" s="53">
        <f>'Baseline System Analysis'!Y12</f>
        <v>29</v>
      </c>
      <c r="Z12" s="53">
        <f>'Baseline System Analysis'!Z12</f>
        <v>30.6</v>
      </c>
      <c r="AA12" s="53">
        <f>'Baseline System Analysis'!AA12</f>
        <v>32.200000000000003</v>
      </c>
      <c r="AB12" s="53">
        <f>'Baseline System Analysis'!AB12</f>
        <v>33.800000000000004</v>
      </c>
      <c r="AC12" s="53">
        <f>'Baseline System Analysis'!AC12</f>
        <v>35.400000000000006</v>
      </c>
      <c r="AD12" s="53">
        <f>'Baseline System Analysis'!AD12</f>
        <v>37</v>
      </c>
    </row>
    <row r="13" spans="1:30" s="52" customFormat="1" x14ac:dyDescent="0.35">
      <c r="A13" s="72" t="s">
        <v>30</v>
      </c>
      <c r="B13" s="176"/>
      <c r="C13" s="72" t="s">
        <v>108</v>
      </c>
      <c r="D13" s="53">
        <f>'Baseline System Analysis'!D13</f>
        <v>5445.825674993449</v>
      </c>
      <c r="E13" s="53">
        <f>'Baseline System Analysis'!E13</f>
        <v>7241.293555071361</v>
      </c>
      <c r="F13" s="53">
        <f>'Baseline System Analysis'!F13</f>
        <v>9036.7614351492721</v>
      </c>
      <c r="G13" s="53">
        <f>'Baseline System Analysis'!G13</f>
        <v>10832.229315227183</v>
      </c>
      <c r="H13" s="53">
        <f>'Baseline System Analysis'!H13</f>
        <v>12627.697195305094</v>
      </c>
      <c r="I13" s="53">
        <f>'Baseline System Analysis'!I13</f>
        <v>14423.165075383005</v>
      </c>
      <c r="J13" s="53">
        <f>'Baseline System Analysis'!J13</f>
        <v>16218.632955460916</v>
      </c>
      <c r="K13" s="53">
        <f>'Baseline System Analysis'!K13</f>
        <v>15620.143662101613</v>
      </c>
      <c r="L13" s="53">
        <f>'Baseline System Analysis'!L13</f>
        <v>15021.654368742309</v>
      </c>
      <c r="M13" s="53">
        <f>'Baseline System Analysis'!M13</f>
        <v>13525.43113534405</v>
      </c>
      <c r="N13" s="53">
        <f>'Baseline System Analysis'!N13</f>
        <v>14423.165075383005</v>
      </c>
      <c r="O13" s="53">
        <f>'Baseline System Analysis'!O13</f>
        <v>16913.232955460899</v>
      </c>
      <c r="P13" s="53">
        <f>'Baseline System Analysis'!P13</f>
        <v>17831.369243247562</v>
      </c>
      <c r="Q13" s="53">
        <f>'Baseline System Analysis'!Q13</f>
        <v>18749.505531034225</v>
      </c>
      <c r="R13" s="53">
        <f>'Baseline System Analysis'!R13</f>
        <v>19667.641818820888</v>
      </c>
      <c r="S13" s="53">
        <f>'Baseline System Analysis'!S13</f>
        <v>20585.778106607551</v>
      </c>
      <c r="T13" s="53">
        <f>'Baseline System Analysis'!T13</f>
        <v>21503.914394394214</v>
      </c>
      <c r="U13" s="53">
        <f>'Baseline System Analysis'!U13</f>
        <v>22422.050682180878</v>
      </c>
      <c r="V13" s="53">
        <f>'Baseline System Analysis'!V13</f>
        <v>23340.186969967541</v>
      </c>
      <c r="W13" s="53">
        <f>'Baseline System Analysis'!W13</f>
        <v>24258.323257754204</v>
      </c>
      <c r="X13" s="53">
        <f>'Baseline System Analysis'!X13</f>
        <v>25176.459545540867</v>
      </c>
      <c r="Y13" s="53">
        <f>'Baseline System Analysis'!Y13</f>
        <v>26094.59583332753</v>
      </c>
      <c r="Z13" s="53">
        <f>'Baseline System Analysis'!Z13</f>
        <v>27012.732121114193</v>
      </c>
      <c r="AA13" s="53">
        <f>'Baseline System Analysis'!AA13</f>
        <v>27930.868408900857</v>
      </c>
      <c r="AB13" s="53">
        <f>'Baseline System Analysis'!AB13</f>
        <v>28849.00469668752</v>
      </c>
      <c r="AC13" s="53">
        <f>'Baseline System Analysis'!AC13</f>
        <v>29767.140984474183</v>
      </c>
      <c r="AD13" s="53">
        <f>'Baseline System Analysis'!AD13</f>
        <v>30685.277272260842</v>
      </c>
    </row>
    <row r="14" spans="1:30" s="52" customFormat="1" x14ac:dyDescent="0.35">
      <c r="A14" s="72" t="s">
        <v>30</v>
      </c>
      <c r="B14" s="176"/>
      <c r="C14" s="72" t="s">
        <v>109</v>
      </c>
      <c r="D14" s="53">
        <f>'Baseline System Analysis'!D14</f>
        <v>192864.66620394157</v>
      </c>
      <c r="E14" s="53">
        <f>'Baseline System Analysis'!E14</f>
        <v>195239.2419650236</v>
      </c>
      <c r="F14" s="53">
        <f>'Baseline System Analysis'!F14</f>
        <v>196366.76544203321</v>
      </c>
      <c r="G14" s="53">
        <f>'Baseline System Analysis'!G14</f>
        <v>197525.37556068008</v>
      </c>
      <c r="H14" s="53">
        <f>'Baseline System Analysis'!H14</f>
        <v>198743.92387830256</v>
      </c>
      <c r="I14" s="53">
        <f>'Baseline System Analysis'!I14</f>
        <v>200140.93841202525</v>
      </c>
      <c r="J14" s="53">
        <f>'Baseline System Analysis'!J14</f>
        <v>201537.7102617296</v>
      </c>
      <c r="K14" s="53">
        <f>'Baseline System Analysis'!K14</f>
        <v>200616.89493678272</v>
      </c>
      <c r="L14" s="53">
        <f>'Baseline System Analysis'!L14</f>
        <v>199696.14928779242</v>
      </c>
      <c r="M14" s="53">
        <f>'Baseline System Analysis'!M14</f>
        <v>198775.23322502323</v>
      </c>
      <c r="N14" s="53">
        <f>'Baseline System Analysis'!N14</f>
        <v>200250.33489773443</v>
      </c>
      <c r="O14" s="53">
        <f>'Baseline System Analysis'!O14</f>
        <v>201766.1654636735</v>
      </c>
      <c r="P14" s="53">
        <f>'Baseline System Analysis'!P14</f>
        <v>203325.96278464468</v>
      </c>
      <c r="Q14" s="53">
        <f>'Baseline System Analysis'!Q14</f>
        <v>204856.96017693213</v>
      </c>
      <c r="R14" s="53">
        <f>'Baseline System Analysis'!R14</f>
        <v>206421.18825616254</v>
      </c>
      <c r="S14" s="53">
        <f>'Baseline System Analysis'!S14</f>
        <v>208013.70502273936</v>
      </c>
      <c r="T14" s="53">
        <f>'Baseline System Analysis'!T14</f>
        <v>209643.37199318074</v>
      </c>
      <c r="U14" s="53">
        <f>'Baseline System Analysis'!U14</f>
        <v>211125.2902170599</v>
      </c>
      <c r="V14" s="53">
        <f>'Baseline System Analysis'!V14</f>
        <v>212613.854578328</v>
      </c>
      <c r="W14" s="53">
        <f>'Baseline System Analysis'!W14</f>
        <v>214101.90769825791</v>
      </c>
      <c r="X14" s="53">
        <f>'Baseline System Analysis'!X14</f>
        <v>215599.50398982322</v>
      </c>
      <c r="Y14" s="53">
        <f>'Baseline System Analysis'!Y14</f>
        <v>216849.14823265999</v>
      </c>
      <c r="Z14" s="53">
        <f>'Baseline System Analysis'!Z14</f>
        <v>218069.3108916957</v>
      </c>
      <c r="AA14" s="53">
        <f>'Baseline System Analysis'!AA14</f>
        <v>219248.74465750376</v>
      </c>
      <c r="AB14" s="53">
        <f>'Baseline System Analysis'!AB14</f>
        <v>220395.79980526475</v>
      </c>
      <c r="AC14" s="53">
        <f>'Baseline System Analysis'!AC14</f>
        <v>221214.46760051764</v>
      </c>
      <c r="AD14" s="53">
        <f>'Baseline System Analysis'!AD14</f>
        <v>221946.05395460132</v>
      </c>
    </row>
    <row r="15" spans="1:30" s="52" customFormat="1" x14ac:dyDescent="0.35">
      <c r="A15" s="72" t="s">
        <v>30</v>
      </c>
      <c r="B15" s="176"/>
      <c r="C15" s="72" t="s">
        <v>110</v>
      </c>
      <c r="D15" s="53">
        <f>'Baseline System Analysis'!D15</f>
        <v>57814.1637958055</v>
      </c>
      <c r="E15" s="53">
        <f>'Baseline System Analysis'!E15</f>
        <v>62191.746894023359</v>
      </c>
      <c r="F15" s="53">
        <f>'Baseline System Analysis'!F15</f>
        <v>64361.105239567863</v>
      </c>
      <c r="G15" s="53">
        <f>'Baseline System Analysis'!G15</f>
        <v>66628.501001105484</v>
      </c>
      <c r="H15" s="53">
        <f>'Baseline System Analysis'!H15</f>
        <v>69068.22672153436</v>
      </c>
      <c r="I15" s="53">
        <f>'Baseline System Analysis'!I15</f>
        <v>71918.961016641551</v>
      </c>
      <c r="J15" s="53">
        <f>'Baseline System Analysis'!J15</f>
        <v>74820.679205256296</v>
      </c>
      <c r="K15" s="53">
        <f>'Baseline System Analysis'!K15</f>
        <v>72899.28225345345</v>
      </c>
      <c r="L15" s="53">
        <f>'Baseline System Analysis'!L15</f>
        <v>71006.352594376862</v>
      </c>
      <c r="M15" s="53">
        <f>'Baseline System Analysis'!M15</f>
        <v>69131.616141376318</v>
      </c>
      <c r="N15" s="53">
        <f>'Baseline System Analysis'!N15</f>
        <v>72143.764963991809</v>
      </c>
      <c r="O15" s="53">
        <f>'Baseline System Analysis'!O15</f>
        <v>75301.925896232133</v>
      </c>
      <c r="P15" s="53">
        <f>'Baseline System Analysis'!P15</f>
        <v>78629.627518656707</v>
      </c>
      <c r="Q15" s="53">
        <f>'Baseline System Analysis'!Q15</f>
        <v>81951.057574073071</v>
      </c>
      <c r="R15" s="53">
        <f>'Baseline System Analysis'!R15</f>
        <v>85383.424638269789</v>
      </c>
      <c r="S15" s="53">
        <f>'Baseline System Analysis'!S15</f>
        <v>88945.971119594135</v>
      </c>
      <c r="T15" s="53">
        <f>'Baseline System Analysis'!T15</f>
        <v>92676.895920951385</v>
      </c>
      <c r="U15" s="53">
        <f>'Baseline System Analysis'!U15</f>
        <v>96145.729908431153</v>
      </c>
      <c r="V15" s="53">
        <f>'Baseline System Analysis'!V15</f>
        <v>99700.858162341799</v>
      </c>
      <c r="W15" s="53">
        <f>'Baseline System Analysis'!W15</f>
        <v>103340.20977892888</v>
      </c>
      <c r="X15" s="53">
        <f>'Baseline System Analysis'!X15</f>
        <v>107065.51818072386</v>
      </c>
      <c r="Y15" s="53">
        <f>'Baseline System Analysis'!Y15</f>
        <v>110237.64392344528</v>
      </c>
      <c r="Z15" s="53">
        <f>'Baseline System Analysis'!Z15</f>
        <v>113355.67104643886</v>
      </c>
      <c r="AA15" s="53">
        <f>'Baseline System Analysis'!AA15</f>
        <v>116394.79841235251</v>
      </c>
      <c r="AB15" s="53">
        <f>'Baseline System Analysis'!AB15</f>
        <v>119393.94598127359</v>
      </c>
      <c r="AC15" s="53">
        <f>'Baseline System Analysis'!AC15</f>
        <v>121552.79504833522</v>
      </c>
      <c r="AD15" s="53">
        <f>'Baseline System Analysis'!AD15</f>
        <v>123501.36707164065</v>
      </c>
    </row>
    <row r="17" spans="1:30" ht="20" thickBot="1" x14ac:dyDescent="0.5">
      <c r="A17" s="113"/>
      <c r="B17" s="122"/>
      <c r="C17" s="113" t="s">
        <v>105</v>
      </c>
      <c r="D17" s="113">
        <v>2022</v>
      </c>
      <c r="E17" s="113">
        <v>2023</v>
      </c>
      <c r="F17" s="113">
        <v>2024</v>
      </c>
      <c r="G17" s="113">
        <v>2025</v>
      </c>
      <c r="H17" s="113">
        <v>2026</v>
      </c>
      <c r="I17" s="113">
        <v>2027</v>
      </c>
      <c r="J17" s="113">
        <v>2028</v>
      </c>
      <c r="K17" s="113">
        <v>2029</v>
      </c>
      <c r="L17" s="113">
        <v>2030</v>
      </c>
      <c r="M17" s="113">
        <v>2031</v>
      </c>
      <c r="N17" s="113">
        <v>2032</v>
      </c>
      <c r="O17" s="113">
        <v>2033</v>
      </c>
      <c r="P17" s="113">
        <v>2034</v>
      </c>
      <c r="Q17" s="113">
        <v>2035</v>
      </c>
      <c r="R17" s="113">
        <v>2036</v>
      </c>
      <c r="S17" s="113">
        <v>2037</v>
      </c>
      <c r="T17" s="113">
        <v>2038</v>
      </c>
      <c r="U17" s="113">
        <v>2039</v>
      </c>
      <c r="V17" s="113">
        <v>2040</v>
      </c>
      <c r="W17" s="113">
        <v>2041</v>
      </c>
      <c r="X17" s="113">
        <v>2042</v>
      </c>
      <c r="Y17" s="113">
        <v>2043</v>
      </c>
      <c r="Z17" s="113">
        <v>2044</v>
      </c>
      <c r="AA17" s="113">
        <v>2045</v>
      </c>
      <c r="AB17" s="113">
        <v>2046</v>
      </c>
      <c r="AC17" s="113">
        <v>2047</v>
      </c>
      <c r="AD17" s="113">
        <v>2048</v>
      </c>
    </row>
    <row r="18" spans="1:30" ht="49.75" customHeight="1" thickTop="1" x14ac:dyDescent="0.35">
      <c r="A18" s="72"/>
      <c r="B18" s="179" t="s">
        <v>19</v>
      </c>
      <c r="C18" s="72" t="s">
        <v>107</v>
      </c>
      <c r="D18" s="53">
        <v>44182.400000000191</v>
      </c>
      <c r="E18" s="53">
        <v>44577.579038461765</v>
      </c>
      <c r="F18" s="53">
        <v>44972.758076923339</v>
      </c>
      <c r="G18" s="53">
        <v>45367.937115384913</v>
      </c>
      <c r="H18" s="53">
        <v>45763.116153846488</v>
      </c>
      <c r="I18" s="53">
        <v>46158.295192308062</v>
      </c>
      <c r="J18" s="53">
        <v>46553.474230769636</v>
      </c>
      <c r="K18" s="53">
        <v>45135.340000000469</v>
      </c>
      <c r="L18" s="53">
        <v>44990.690000000373</v>
      </c>
      <c r="M18" s="53">
        <v>44840.080000000438</v>
      </c>
      <c r="N18" s="53">
        <v>45077.670000000384</v>
      </c>
      <c r="O18" s="53">
        <v>45309.738437500426</v>
      </c>
      <c r="P18" s="53">
        <v>45541.806875000468</v>
      </c>
      <c r="Q18" s="53">
        <v>45773.87531250051</v>
      </c>
      <c r="R18" s="53">
        <v>46005.943750000552</v>
      </c>
      <c r="S18" s="53">
        <v>46238.012187500593</v>
      </c>
      <c r="T18" s="53">
        <v>46470.080625000635</v>
      </c>
      <c r="U18" s="53">
        <v>46702.149062500677</v>
      </c>
      <c r="V18" s="53">
        <v>46934.217500000719</v>
      </c>
      <c r="W18" s="53">
        <v>47166.285937500761</v>
      </c>
      <c r="X18" s="53">
        <v>47398.354375000803</v>
      </c>
      <c r="Y18" s="53">
        <v>47630.422812500845</v>
      </c>
      <c r="Z18" s="53">
        <v>47862.491250000887</v>
      </c>
      <c r="AA18" s="53">
        <v>48094.559687500929</v>
      </c>
      <c r="AB18" s="53">
        <v>48326.628125000971</v>
      </c>
      <c r="AC18" s="53">
        <v>48558.696562501013</v>
      </c>
      <c r="AD18" s="53">
        <v>48789.647500001083</v>
      </c>
    </row>
    <row r="19" spans="1:30" x14ac:dyDescent="0.35">
      <c r="A19" s="72" t="s">
        <v>30</v>
      </c>
      <c r="B19" s="180"/>
      <c r="C19" s="72" t="s">
        <v>31</v>
      </c>
      <c r="D19" s="53">
        <v>0</v>
      </c>
      <c r="E19" s="53">
        <v>0</v>
      </c>
      <c r="F19" s="53">
        <v>0</v>
      </c>
      <c r="G19" s="53">
        <v>0</v>
      </c>
      <c r="H19" s="53">
        <v>0</v>
      </c>
      <c r="I19" s="53">
        <v>0</v>
      </c>
      <c r="J19" s="53">
        <v>0</v>
      </c>
      <c r="K19" s="53">
        <v>0</v>
      </c>
      <c r="L19" s="53">
        <v>0</v>
      </c>
      <c r="M19" s="53">
        <v>0</v>
      </c>
      <c r="N19" s="53">
        <v>0</v>
      </c>
      <c r="O19" s="53">
        <v>0</v>
      </c>
      <c r="P19" s="53">
        <v>0</v>
      </c>
      <c r="Q19" s="53">
        <v>0</v>
      </c>
      <c r="R19" s="53">
        <v>0</v>
      </c>
      <c r="S19" s="53">
        <v>0</v>
      </c>
      <c r="T19" s="53">
        <v>0</v>
      </c>
      <c r="U19" s="53">
        <v>0</v>
      </c>
      <c r="V19" s="53">
        <v>0</v>
      </c>
      <c r="W19" s="53">
        <v>0</v>
      </c>
      <c r="X19" s="53">
        <v>0</v>
      </c>
      <c r="Y19" s="53">
        <v>0</v>
      </c>
      <c r="Z19" s="53">
        <v>0</v>
      </c>
      <c r="AA19" s="53">
        <v>0</v>
      </c>
      <c r="AB19" s="53">
        <v>0</v>
      </c>
      <c r="AC19" s="53">
        <v>0</v>
      </c>
      <c r="AD19" s="53">
        <v>0</v>
      </c>
    </row>
    <row r="20" spans="1:30" x14ac:dyDescent="0.35">
      <c r="A20" s="72" t="s">
        <v>30</v>
      </c>
      <c r="B20" s="180"/>
      <c r="C20" s="72" t="s">
        <v>32</v>
      </c>
      <c r="D20" s="53">
        <v>0</v>
      </c>
      <c r="E20" s="53">
        <v>0</v>
      </c>
      <c r="F20" s="53">
        <v>0</v>
      </c>
      <c r="G20" s="53">
        <v>0</v>
      </c>
      <c r="H20" s="53">
        <v>0</v>
      </c>
      <c r="I20" s="53">
        <v>0</v>
      </c>
      <c r="J20" s="53">
        <v>0</v>
      </c>
      <c r="K20" s="53">
        <v>0</v>
      </c>
      <c r="L20" s="53">
        <v>0</v>
      </c>
      <c r="M20" s="53">
        <v>0</v>
      </c>
      <c r="N20" s="53">
        <v>0</v>
      </c>
      <c r="O20" s="53">
        <v>0</v>
      </c>
      <c r="P20" s="53">
        <v>0</v>
      </c>
      <c r="Q20" s="53">
        <v>0</v>
      </c>
      <c r="R20" s="53">
        <v>0</v>
      </c>
      <c r="S20" s="53">
        <v>0</v>
      </c>
      <c r="T20" s="53">
        <v>0</v>
      </c>
      <c r="U20" s="53">
        <v>0</v>
      </c>
      <c r="V20" s="53">
        <v>0</v>
      </c>
      <c r="W20" s="53">
        <v>0</v>
      </c>
      <c r="X20" s="53">
        <v>0</v>
      </c>
      <c r="Y20" s="53">
        <v>0</v>
      </c>
      <c r="Z20" s="53">
        <v>0</v>
      </c>
      <c r="AA20" s="53">
        <v>0</v>
      </c>
      <c r="AB20" s="53">
        <v>0</v>
      </c>
      <c r="AC20" s="53">
        <v>0</v>
      </c>
      <c r="AD20" s="53">
        <v>0</v>
      </c>
    </row>
    <row r="21" spans="1:30" x14ac:dyDescent="0.35">
      <c r="A21" s="72" t="s">
        <v>30</v>
      </c>
      <c r="B21" s="180"/>
      <c r="C21" s="72" t="s">
        <v>33</v>
      </c>
      <c r="D21" s="53">
        <v>0</v>
      </c>
      <c r="E21" s="53">
        <v>0</v>
      </c>
      <c r="F21" s="53">
        <v>0</v>
      </c>
      <c r="G21" s="53">
        <v>0</v>
      </c>
      <c r="H21" s="53">
        <v>0</v>
      </c>
      <c r="I21" s="53">
        <v>0</v>
      </c>
      <c r="J21" s="53">
        <v>0</v>
      </c>
      <c r="K21" s="53">
        <v>0</v>
      </c>
      <c r="L21" s="53">
        <v>0</v>
      </c>
      <c r="M21" s="53">
        <v>0</v>
      </c>
      <c r="N21" s="53">
        <v>0</v>
      </c>
      <c r="O21" s="53">
        <v>0</v>
      </c>
      <c r="P21" s="53">
        <v>0</v>
      </c>
      <c r="Q21" s="53">
        <v>0</v>
      </c>
      <c r="R21" s="53">
        <v>0</v>
      </c>
      <c r="S21" s="53">
        <v>0</v>
      </c>
      <c r="T21" s="53">
        <v>0</v>
      </c>
      <c r="U21" s="53">
        <v>0</v>
      </c>
      <c r="V21" s="53">
        <v>0</v>
      </c>
      <c r="W21" s="53">
        <v>0</v>
      </c>
      <c r="X21" s="53">
        <v>0</v>
      </c>
      <c r="Y21" s="53">
        <v>0</v>
      </c>
      <c r="Z21" s="53">
        <v>0</v>
      </c>
      <c r="AA21" s="53">
        <v>0</v>
      </c>
      <c r="AB21" s="53">
        <v>0</v>
      </c>
      <c r="AC21" s="53">
        <v>0</v>
      </c>
      <c r="AD21" s="53">
        <v>0</v>
      </c>
    </row>
    <row r="22" spans="1:30" x14ac:dyDescent="0.35">
      <c r="A22" s="72" t="s">
        <v>30</v>
      </c>
      <c r="B22" s="180"/>
      <c r="C22" s="72" t="s">
        <v>34</v>
      </c>
      <c r="D22" s="53">
        <v>0</v>
      </c>
      <c r="E22" s="53">
        <v>0</v>
      </c>
      <c r="F22" s="53">
        <v>0</v>
      </c>
      <c r="G22" s="53">
        <v>0</v>
      </c>
      <c r="H22" s="53">
        <v>0</v>
      </c>
      <c r="I22" s="53">
        <v>0</v>
      </c>
      <c r="J22" s="53">
        <v>0</v>
      </c>
      <c r="K22" s="53">
        <v>0</v>
      </c>
      <c r="L22" s="53">
        <v>0</v>
      </c>
      <c r="M22" s="53">
        <v>0</v>
      </c>
      <c r="N22" s="53">
        <v>0</v>
      </c>
      <c r="O22" s="53">
        <v>0</v>
      </c>
      <c r="P22" s="53">
        <v>0</v>
      </c>
      <c r="Q22" s="53">
        <v>0</v>
      </c>
      <c r="R22" s="53">
        <v>0</v>
      </c>
      <c r="S22" s="53">
        <v>0</v>
      </c>
      <c r="T22" s="53">
        <v>0</v>
      </c>
      <c r="U22" s="53">
        <v>0</v>
      </c>
      <c r="V22" s="53">
        <v>0</v>
      </c>
      <c r="W22" s="53">
        <v>0</v>
      </c>
      <c r="X22" s="53">
        <v>0</v>
      </c>
      <c r="Y22" s="53">
        <v>0</v>
      </c>
      <c r="Z22" s="53">
        <v>0</v>
      </c>
      <c r="AA22" s="53">
        <v>0</v>
      </c>
      <c r="AB22" s="53">
        <v>0</v>
      </c>
      <c r="AC22" s="53">
        <v>0</v>
      </c>
      <c r="AD22" s="53">
        <v>0</v>
      </c>
    </row>
    <row r="23" spans="1:30" x14ac:dyDescent="0.35">
      <c r="A23" s="72" t="s">
        <v>30</v>
      </c>
      <c r="B23" s="180"/>
      <c r="C23" s="72" t="s">
        <v>35</v>
      </c>
      <c r="D23" s="53">
        <v>0</v>
      </c>
      <c r="E23" s="53">
        <v>0</v>
      </c>
      <c r="F23" s="53">
        <v>0</v>
      </c>
      <c r="G23" s="53">
        <v>0</v>
      </c>
      <c r="H23" s="53">
        <v>0</v>
      </c>
      <c r="I23" s="53">
        <v>0</v>
      </c>
      <c r="J23" s="53">
        <v>0</v>
      </c>
      <c r="K23" s="53">
        <v>0</v>
      </c>
      <c r="L23" s="53">
        <v>0</v>
      </c>
      <c r="M23" s="53">
        <v>0</v>
      </c>
      <c r="N23" s="53">
        <v>0</v>
      </c>
      <c r="O23" s="53">
        <v>0</v>
      </c>
      <c r="P23" s="53">
        <v>0</v>
      </c>
      <c r="Q23" s="53">
        <v>0</v>
      </c>
      <c r="R23" s="53">
        <v>0</v>
      </c>
      <c r="S23" s="53">
        <v>0</v>
      </c>
      <c r="T23" s="53">
        <v>0</v>
      </c>
      <c r="U23" s="53">
        <v>0</v>
      </c>
      <c r="V23" s="53">
        <v>0</v>
      </c>
      <c r="W23" s="53">
        <v>0</v>
      </c>
      <c r="X23" s="53">
        <v>0</v>
      </c>
      <c r="Y23" s="53">
        <v>0</v>
      </c>
      <c r="Z23" s="53">
        <v>0</v>
      </c>
      <c r="AA23" s="53">
        <v>0</v>
      </c>
      <c r="AB23" s="53">
        <v>0</v>
      </c>
      <c r="AC23" s="53">
        <v>0</v>
      </c>
      <c r="AD23" s="53">
        <v>0</v>
      </c>
    </row>
    <row r="24" spans="1:30" x14ac:dyDescent="0.35">
      <c r="A24" s="72" t="s">
        <v>30</v>
      </c>
      <c r="B24" s="180"/>
      <c r="C24" s="72" t="s">
        <v>108</v>
      </c>
      <c r="D24" s="53">
        <v>1522.8473114437365</v>
      </c>
      <c r="E24" s="53">
        <v>1930.4719110095548</v>
      </c>
      <c r="F24" s="53">
        <v>2338.0965105753721</v>
      </c>
      <c r="G24" s="53">
        <v>2745.7211101411895</v>
      </c>
      <c r="H24" s="53">
        <v>3153.3457097070077</v>
      </c>
      <c r="I24" s="53">
        <v>3560.970309272825</v>
      </c>
      <c r="J24" s="53">
        <v>3968.5949088386424</v>
      </c>
      <c r="K24" s="53">
        <v>4640.9262642566164</v>
      </c>
      <c r="L24" s="53">
        <v>5313.2576196745904</v>
      </c>
      <c r="M24" s="53">
        <v>5985.5889750925644</v>
      </c>
      <c r="N24" s="53">
        <v>5649.4232973835769</v>
      </c>
      <c r="O24" s="53">
        <v>9531.5856600133138</v>
      </c>
      <c r="P24" s="53">
        <v>10245.339079548507</v>
      </c>
      <c r="Q24" s="53">
        <v>10959.092499083697</v>
      </c>
      <c r="R24" s="53">
        <v>11672.845918618888</v>
      </c>
      <c r="S24" s="53">
        <v>12386.599338154081</v>
      </c>
      <c r="T24" s="53">
        <v>13100.352757689274</v>
      </c>
      <c r="U24" s="53">
        <v>13814.106177224465</v>
      </c>
      <c r="V24" s="53">
        <v>14527.859596759658</v>
      </c>
      <c r="W24" s="53">
        <v>15241.61301629485</v>
      </c>
      <c r="X24" s="53">
        <v>15955.366435830043</v>
      </c>
      <c r="Y24" s="53">
        <v>16669.119855365236</v>
      </c>
      <c r="Z24" s="53">
        <v>17382.873274900427</v>
      </c>
      <c r="AA24" s="53">
        <v>18096.626694435621</v>
      </c>
      <c r="AB24" s="53">
        <v>18810.380113970816</v>
      </c>
      <c r="AC24" s="53">
        <v>19524.133533506007</v>
      </c>
      <c r="AD24" s="53">
        <v>19840.466202151485</v>
      </c>
    </row>
    <row r="25" spans="1:30" x14ac:dyDescent="0.35">
      <c r="A25" s="72" t="s">
        <v>30</v>
      </c>
      <c r="B25" s="180"/>
      <c r="C25" s="72" t="s">
        <v>109</v>
      </c>
      <c r="D25" s="53">
        <v>57103.936361443899</v>
      </c>
      <c r="E25" s="53">
        <v>58857.636802995294</v>
      </c>
      <c r="F25" s="53">
        <v>59699.604292192569</v>
      </c>
      <c r="G25" s="53">
        <v>60571.994976654853</v>
      </c>
      <c r="H25" s="53">
        <v>61496.862856449363</v>
      </c>
      <c r="I25" s="53">
        <v>62558.652125257882</v>
      </c>
      <c r="J25" s="53">
        <v>63631.234854205577</v>
      </c>
      <c r="K25" s="53">
        <v>62922.938237303424</v>
      </c>
      <c r="L25" s="53">
        <v>62220.125424158556</v>
      </c>
      <c r="M25" s="53">
        <v>61520.666306301217</v>
      </c>
      <c r="N25" s="53">
        <v>62642.038504534867</v>
      </c>
      <c r="O25" s="53">
        <v>63807.626255529016</v>
      </c>
      <c r="P25" s="53">
        <v>65017.058517143574</v>
      </c>
      <c r="Q25" s="53">
        <v>66209.802510491398</v>
      </c>
      <c r="R25" s="53">
        <v>67437.558856957592</v>
      </c>
      <c r="S25" s="53">
        <v>68700.885250575069</v>
      </c>
      <c r="T25" s="53">
        <v>70007.322750740437</v>
      </c>
      <c r="U25" s="53">
        <v>71205.507403887852</v>
      </c>
      <c r="V25" s="53">
        <v>72422.109342624419</v>
      </c>
      <c r="W25" s="53">
        <v>73645.383964761277</v>
      </c>
      <c r="X25" s="53">
        <v>74886.791985944961</v>
      </c>
      <c r="Y25" s="53">
        <v>75927.384850531758</v>
      </c>
      <c r="Z25" s="53">
        <v>76947.725070139422</v>
      </c>
      <c r="AA25" s="53">
        <v>77938.966841738176</v>
      </c>
      <c r="AB25" s="53">
        <v>78904.913534439198</v>
      </c>
      <c r="AC25" s="53">
        <v>79596.323095474188</v>
      </c>
      <c r="AD25" s="53">
        <v>80217.636755124244</v>
      </c>
    </row>
    <row r="26" spans="1:30" s="66" customFormat="1" x14ac:dyDescent="0.35">
      <c r="A26" s="72" t="s">
        <v>30</v>
      </c>
      <c r="B26" s="180"/>
      <c r="C26" s="72" t="s">
        <v>110</v>
      </c>
      <c r="D26" s="53">
        <v>12005.742388310644</v>
      </c>
      <c r="E26" s="53">
        <v>13453.795810550442</v>
      </c>
      <c r="F26" s="53">
        <v>14178.895505687933</v>
      </c>
      <c r="G26" s="53">
        <v>14937.289889946736</v>
      </c>
      <c r="H26" s="53">
        <v>15757.259264294846</v>
      </c>
      <c r="I26" s="53">
        <v>16749.929712255991</v>
      </c>
      <c r="J26" s="53">
        <v>17791.860822773771</v>
      </c>
      <c r="K26" s="53">
        <v>17102.178534687038</v>
      </c>
      <c r="L26" s="53">
        <v>16427.92661329859</v>
      </c>
      <c r="M26" s="53">
        <v>15778.935384712835</v>
      </c>
      <c r="N26" s="53">
        <v>16830.182307625055</v>
      </c>
      <c r="O26" s="53">
        <v>17964.232568119845</v>
      </c>
      <c r="P26" s="53">
        <v>19172.993892940663</v>
      </c>
      <c r="Q26" s="53">
        <v>20408.244012219388</v>
      </c>
      <c r="R26" s="53">
        <v>21719.841816308581</v>
      </c>
      <c r="S26" s="53">
        <v>23098.232402396668</v>
      </c>
      <c r="T26" s="53">
        <v>24567.067809266879</v>
      </c>
      <c r="U26" s="53">
        <v>25931.813610748104</v>
      </c>
      <c r="V26" s="53">
        <v>27355.456690486957</v>
      </c>
      <c r="W26" s="53">
        <v>28834.207174863826</v>
      </c>
      <c r="X26" s="53">
        <v>30356.280271679123</v>
      </c>
      <c r="Y26" s="53">
        <v>31653.106096667285</v>
      </c>
      <c r="Z26" s="53">
        <v>32946.701426055333</v>
      </c>
      <c r="AA26" s="53">
        <v>34221.36206716107</v>
      </c>
      <c r="AB26" s="53">
        <v>35477.918686007208</v>
      </c>
      <c r="AC26" s="53">
        <v>36390.764092497091</v>
      </c>
      <c r="AD26" s="53">
        <v>37223.134674636945</v>
      </c>
    </row>
    <row r="27" spans="1:30" x14ac:dyDescent="0.35">
      <c r="A27" s="72" t="s">
        <v>39</v>
      </c>
      <c r="B27" s="180"/>
      <c r="C27" s="72" t="s">
        <v>31</v>
      </c>
      <c r="D27" s="53">
        <v>0</v>
      </c>
      <c r="E27" s="53">
        <v>0</v>
      </c>
      <c r="F27" s="53">
        <v>0</v>
      </c>
      <c r="G27" s="53">
        <v>0</v>
      </c>
      <c r="H27" s="53">
        <v>0</v>
      </c>
      <c r="I27" s="53">
        <v>0</v>
      </c>
      <c r="J27" s="53">
        <v>0</v>
      </c>
      <c r="K27" s="53">
        <v>0</v>
      </c>
      <c r="L27" s="53">
        <v>0</v>
      </c>
      <c r="M27" s="53">
        <v>0</v>
      </c>
      <c r="N27" s="53">
        <v>0</v>
      </c>
      <c r="O27" s="53">
        <v>0</v>
      </c>
      <c r="P27" s="53">
        <v>0</v>
      </c>
      <c r="Q27" s="53">
        <v>0</v>
      </c>
      <c r="R27" s="53">
        <v>0</v>
      </c>
      <c r="S27" s="53">
        <v>0</v>
      </c>
      <c r="T27" s="53">
        <v>0</v>
      </c>
      <c r="U27" s="53">
        <v>0</v>
      </c>
      <c r="V27" s="53">
        <v>0</v>
      </c>
      <c r="W27" s="53">
        <v>0</v>
      </c>
      <c r="X27" s="53">
        <v>0</v>
      </c>
      <c r="Y27" s="53">
        <v>0</v>
      </c>
      <c r="Z27" s="53">
        <v>0</v>
      </c>
      <c r="AA27" s="53">
        <v>0</v>
      </c>
      <c r="AB27" s="53">
        <v>0</v>
      </c>
      <c r="AC27" s="53">
        <v>0</v>
      </c>
      <c r="AD27" s="53">
        <v>0</v>
      </c>
    </row>
    <row r="28" spans="1:30" x14ac:dyDescent="0.35">
      <c r="A28" s="72" t="s">
        <v>39</v>
      </c>
      <c r="B28" s="180"/>
      <c r="C28" s="72" t="s">
        <v>32</v>
      </c>
      <c r="D28" s="53">
        <v>0</v>
      </c>
      <c r="E28" s="53">
        <v>0</v>
      </c>
      <c r="F28" s="53">
        <v>0</v>
      </c>
      <c r="G28" s="53">
        <v>0</v>
      </c>
      <c r="H28" s="53">
        <v>0</v>
      </c>
      <c r="I28" s="53">
        <v>0</v>
      </c>
      <c r="J28" s="53">
        <v>0</v>
      </c>
      <c r="K28" s="53">
        <v>0</v>
      </c>
      <c r="L28" s="53">
        <v>0</v>
      </c>
      <c r="M28" s="53">
        <v>0</v>
      </c>
      <c r="N28" s="53">
        <v>0</v>
      </c>
      <c r="O28" s="53">
        <v>0</v>
      </c>
      <c r="P28" s="53">
        <v>0</v>
      </c>
      <c r="Q28" s="53">
        <v>0</v>
      </c>
      <c r="R28" s="53">
        <v>0</v>
      </c>
      <c r="S28" s="53">
        <v>0</v>
      </c>
      <c r="T28" s="53">
        <v>0</v>
      </c>
      <c r="U28" s="53">
        <v>0</v>
      </c>
      <c r="V28" s="53">
        <v>0</v>
      </c>
      <c r="W28" s="53">
        <v>0</v>
      </c>
      <c r="X28" s="53">
        <v>0</v>
      </c>
      <c r="Y28" s="53">
        <v>0</v>
      </c>
      <c r="Z28" s="53">
        <v>0</v>
      </c>
      <c r="AA28" s="53">
        <v>0</v>
      </c>
      <c r="AB28" s="53">
        <v>0</v>
      </c>
      <c r="AC28" s="53">
        <v>0</v>
      </c>
      <c r="AD28" s="53">
        <v>0</v>
      </c>
    </row>
    <row r="29" spans="1:30" x14ac:dyDescent="0.35">
      <c r="A29" s="72" t="s">
        <v>39</v>
      </c>
      <c r="B29" s="180"/>
      <c r="C29" s="72" t="s">
        <v>33</v>
      </c>
      <c r="D29" s="53">
        <v>0</v>
      </c>
      <c r="E29" s="53">
        <v>0</v>
      </c>
      <c r="F29" s="53">
        <v>0</v>
      </c>
      <c r="G29" s="53">
        <v>0</v>
      </c>
      <c r="H29" s="53">
        <v>0</v>
      </c>
      <c r="I29" s="53">
        <v>0</v>
      </c>
      <c r="J29" s="53">
        <v>0</v>
      </c>
      <c r="K29" s="53">
        <v>0</v>
      </c>
      <c r="L29" s="53">
        <v>0</v>
      </c>
      <c r="M29" s="53">
        <v>0</v>
      </c>
      <c r="N29" s="53">
        <v>0</v>
      </c>
      <c r="O29" s="53">
        <v>0</v>
      </c>
      <c r="P29" s="53">
        <v>0</v>
      </c>
      <c r="Q29" s="53">
        <v>0</v>
      </c>
      <c r="R29" s="53">
        <v>0</v>
      </c>
      <c r="S29" s="53">
        <v>0</v>
      </c>
      <c r="T29" s="53">
        <v>0</v>
      </c>
      <c r="U29" s="53">
        <v>0</v>
      </c>
      <c r="V29" s="53">
        <v>0</v>
      </c>
      <c r="W29" s="53">
        <v>0</v>
      </c>
      <c r="X29" s="53">
        <v>0</v>
      </c>
      <c r="Y29" s="53">
        <v>0</v>
      </c>
      <c r="Z29" s="53">
        <v>0</v>
      </c>
      <c r="AA29" s="53">
        <v>0</v>
      </c>
      <c r="AB29" s="53">
        <v>0</v>
      </c>
      <c r="AC29" s="53">
        <v>0</v>
      </c>
      <c r="AD29" s="53">
        <v>0</v>
      </c>
    </row>
    <row r="30" spans="1:30" x14ac:dyDescent="0.35">
      <c r="A30" s="72" t="s">
        <v>39</v>
      </c>
      <c r="B30" s="180"/>
      <c r="C30" s="72" t="s">
        <v>34</v>
      </c>
      <c r="D30" s="53">
        <v>0</v>
      </c>
      <c r="E30" s="53">
        <v>0</v>
      </c>
      <c r="F30" s="53">
        <v>0</v>
      </c>
      <c r="G30" s="53">
        <v>0</v>
      </c>
      <c r="H30" s="53">
        <v>0</v>
      </c>
      <c r="I30" s="53">
        <v>0</v>
      </c>
      <c r="J30" s="53">
        <v>0</v>
      </c>
      <c r="K30" s="53">
        <v>0</v>
      </c>
      <c r="L30" s="53">
        <v>0</v>
      </c>
      <c r="M30" s="53">
        <v>0</v>
      </c>
      <c r="N30" s="53">
        <v>0</v>
      </c>
      <c r="O30" s="53">
        <v>0</v>
      </c>
      <c r="P30" s="53">
        <v>0</v>
      </c>
      <c r="Q30" s="53">
        <v>0</v>
      </c>
      <c r="R30" s="53">
        <v>0</v>
      </c>
      <c r="S30" s="53">
        <v>0</v>
      </c>
      <c r="T30" s="53">
        <v>0</v>
      </c>
      <c r="U30" s="53">
        <v>0</v>
      </c>
      <c r="V30" s="53">
        <v>0</v>
      </c>
      <c r="W30" s="53">
        <v>0</v>
      </c>
      <c r="X30" s="53">
        <v>0</v>
      </c>
      <c r="Y30" s="53">
        <v>0</v>
      </c>
      <c r="Z30" s="53">
        <v>0</v>
      </c>
      <c r="AA30" s="53">
        <v>0</v>
      </c>
      <c r="AB30" s="53">
        <v>0</v>
      </c>
      <c r="AC30" s="53">
        <v>0</v>
      </c>
      <c r="AD30" s="53">
        <v>0</v>
      </c>
    </row>
    <row r="31" spans="1:30" x14ac:dyDescent="0.35">
      <c r="A31" s="72" t="s">
        <v>39</v>
      </c>
      <c r="B31" s="180"/>
      <c r="C31" s="72" t="s">
        <v>35</v>
      </c>
      <c r="D31" s="53">
        <v>0</v>
      </c>
      <c r="E31" s="53">
        <v>0</v>
      </c>
      <c r="F31" s="53">
        <v>0</v>
      </c>
      <c r="G31" s="53">
        <v>0</v>
      </c>
      <c r="H31" s="53">
        <v>0</v>
      </c>
      <c r="I31" s="53">
        <v>0</v>
      </c>
      <c r="J31" s="53">
        <v>0</v>
      </c>
      <c r="K31" s="53">
        <v>0</v>
      </c>
      <c r="L31" s="53">
        <v>0</v>
      </c>
      <c r="M31" s="53">
        <v>0</v>
      </c>
      <c r="N31" s="53">
        <v>0</v>
      </c>
      <c r="O31" s="53">
        <v>0</v>
      </c>
      <c r="P31" s="53">
        <v>0</v>
      </c>
      <c r="Q31" s="53">
        <v>0</v>
      </c>
      <c r="R31" s="53">
        <v>0</v>
      </c>
      <c r="S31" s="53">
        <v>0</v>
      </c>
      <c r="T31" s="53">
        <v>0</v>
      </c>
      <c r="U31" s="53">
        <v>0</v>
      </c>
      <c r="V31" s="53">
        <v>0</v>
      </c>
      <c r="W31" s="53">
        <v>0</v>
      </c>
      <c r="X31" s="53">
        <v>0</v>
      </c>
      <c r="Y31" s="53">
        <v>0</v>
      </c>
      <c r="Z31" s="53">
        <v>0</v>
      </c>
      <c r="AA31" s="53">
        <v>0</v>
      </c>
      <c r="AB31" s="53">
        <v>0</v>
      </c>
      <c r="AC31" s="53">
        <v>0</v>
      </c>
      <c r="AD31" s="53">
        <v>0</v>
      </c>
    </row>
    <row r="32" spans="1:30" x14ac:dyDescent="0.35">
      <c r="A32" s="72" t="s">
        <v>130</v>
      </c>
      <c r="B32" s="72" t="s">
        <v>111</v>
      </c>
      <c r="C32" s="72" t="s">
        <v>131</v>
      </c>
      <c r="D32" s="53">
        <v>0</v>
      </c>
      <c r="E32" s="53">
        <v>0</v>
      </c>
      <c r="F32" s="53">
        <v>0</v>
      </c>
      <c r="G32" s="53">
        <v>0</v>
      </c>
      <c r="H32" s="53">
        <v>0</v>
      </c>
      <c r="I32" s="53">
        <v>0</v>
      </c>
      <c r="J32" s="53">
        <v>0</v>
      </c>
      <c r="K32" s="53">
        <v>0</v>
      </c>
      <c r="L32" s="53">
        <v>0</v>
      </c>
      <c r="M32" s="53">
        <v>0</v>
      </c>
      <c r="N32" s="53">
        <v>0</v>
      </c>
      <c r="O32" s="53">
        <v>0</v>
      </c>
      <c r="P32" s="53">
        <v>0</v>
      </c>
      <c r="Q32" s="53">
        <v>0</v>
      </c>
      <c r="R32" s="53">
        <v>0</v>
      </c>
      <c r="S32" s="53">
        <v>0</v>
      </c>
      <c r="T32" s="53">
        <v>0</v>
      </c>
      <c r="U32" s="53">
        <v>0</v>
      </c>
      <c r="V32" s="53">
        <v>0</v>
      </c>
      <c r="W32" s="53">
        <v>0</v>
      </c>
      <c r="X32" s="53">
        <v>0</v>
      </c>
      <c r="Y32" s="53">
        <v>0</v>
      </c>
      <c r="Z32" s="53">
        <v>0</v>
      </c>
      <c r="AA32" s="53">
        <v>0</v>
      </c>
      <c r="AB32" s="53">
        <v>0</v>
      </c>
      <c r="AC32" s="53">
        <v>0</v>
      </c>
      <c r="AD32" s="53">
        <v>0</v>
      </c>
    </row>
    <row r="33" spans="1:30" x14ac:dyDescent="0.35">
      <c r="A33" s="72" t="s">
        <v>130</v>
      </c>
      <c r="B33" s="72" t="s">
        <v>132</v>
      </c>
      <c r="C33" s="72" t="s">
        <v>131</v>
      </c>
      <c r="D33" s="53">
        <v>0</v>
      </c>
      <c r="E33" s="53">
        <v>0</v>
      </c>
      <c r="F33" s="53">
        <v>0</v>
      </c>
      <c r="G33" s="53">
        <v>0</v>
      </c>
      <c r="H33" s="53">
        <v>0</v>
      </c>
      <c r="I33" s="53">
        <v>0</v>
      </c>
      <c r="J33" s="53">
        <v>0</v>
      </c>
      <c r="K33" s="53">
        <v>0</v>
      </c>
      <c r="L33" s="53">
        <v>0</v>
      </c>
      <c r="M33" s="53">
        <v>0</v>
      </c>
      <c r="N33" s="53">
        <v>0</v>
      </c>
      <c r="O33" s="53">
        <v>0</v>
      </c>
      <c r="P33" s="53">
        <v>0</v>
      </c>
      <c r="Q33" s="53">
        <v>0</v>
      </c>
      <c r="R33" s="53">
        <v>0</v>
      </c>
      <c r="S33" s="53">
        <v>0</v>
      </c>
      <c r="T33" s="53">
        <v>0</v>
      </c>
      <c r="U33" s="53">
        <v>0</v>
      </c>
      <c r="V33" s="53">
        <v>0</v>
      </c>
      <c r="W33" s="53">
        <v>0</v>
      </c>
      <c r="X33" s="53">
        <v>0</v>
      </c>
      <c r="Y33" s="53">
        <v>0</v>
      </c>
      <c r="Z33" s="53">
        <v>0</v>
      </c>
      <c r="AA33" s="53">
        <v>0</v>
      </c>
      <c r="AB33" s="53">
        <v>0</v>
      </c>
      <c r="AC33" s="53">
        <v>0</v>
      </c>
      <c r="AD33" s="53">
        <v>0</v>
      </c>
    </row>
    <row r="34" spans="1:30" s="52" customFormat="1" x14ac:dyDescent="0.35">
      <c r="A34" s="72" t="s">
        <v>133</v>
      </c>
      <c r="B34" s="72" t="s">
        <v>111</v>
      </c>
      <c r="C34" s="72" t="s">
        <v>131</v>
      </c>
      <c r="D34" s="53">
        <v>0</v>
      </c>
      <c r="E34" s="53">
        <v>0</v>
      </c>
      <c r="F34" s="53">
        <v>0</v>
      </c>
      <c r="G34" s="53">
        <v>0</v>
      </c>
      <c r="H34" s="53">
        <v>0</v>
      </c>
      <c r="I34" s="53">
        <v>0</v>
      </c>
      <c r="J34" s="53">
        <v>0</v>
      </c>
      <c r="K34" s="53">
        <v>0</v>
      </c>
      <c r="L34" s="53">
        <v>0</v>
      </c>
      <c r="M34" s="53">
        <v>0</v>
      </c>
      <c r="N34" s="53">
        <v>0</v>
      </c>
      <c r="O34" s="53">
        <v>0</v>
      </c>
      <c r="P34" s="53">
        <v>0</v>
      </c>
      <c r="Q34" s="53">
        <v>0</v>
      </c>
      <c r="R34" s="53">
        <v>0</v>
      </c>
      <c r="S34" s="53">
        <v>0</v>
      </c>
      <c r="T34" s="53">
        <v>0</v>
      </c>
      <c r="U34" s="53">
        <v>0</v>
      </c>
      <c r="V34" s="53">
        <v>0</v>
      </c>
      <c r="W34" s="53">
        <v>0</v>
      </c>
      <c r="X34" s="53">
        <v>0</v>
      </c>
      <c r="Y34" s="53">
        <v>0</v>
      </c>
      <c r="Z34" s="53">
        <v>0</v>
      </c>
      <c r="AA34" s="53">
        <v>0</v>
      </c>
      <c r="AB34" s="53">
        <v>0</v>
      </c>
      <c r="AC34" s="53">
        <v>0</v>
      </c>
      <c r="AD34" s="53">
        <v>0</v>
      </c>
    </row>
    <row r="35" spans="1:30" s="52" customFormat="1" x14ac:dyDescent="0.35">
      <c r="A35" s="72" t="s">
        <v>133</v>
      </c>
      <c r="B35" s="72" t="s">
        <v>132</v>
      </c>
      <c r="C35" s="72" t="s">
        <v>131</v>
      </c>
      <c r="D35" s="53">
        <v>0</v>
      </c>
      <c r="E35" s="53">
        <v>0</v>
      </c>
      <c r="F35" s="53">
        <v>0</v>
      </c>
      <c r="G35" s="53">
        <v>0</v>
      </c>
      <c r="H35" s="53">
        <v>0</v>
      </c>
      <c r="I35" s="53">
        <v>0</v>
      </c>
      <c r="J35" s="53">
        <v>0</v>
      </c>
      <c r="K35" s="53">
        <v>0</v>
      </c>
      <c r="L35" s="53">
        <v>0</v>
      </c>
      <c r="M35" s="53">
        <v>0</v>
      </c>
      <c r="N35" s="53">
        <v>0</v>
      </c>
      <c r="O35" s="53">
        <v>0</v>
      </c>
      <c r="P35" s="53">
        <v>0</v>
      </c>
      <c r="Q35" s="53">
        <v>0</v>
      </c>
      <c r="R35" s="53">
        <v>0</v>
      </c>
      <c r="S35" s="53">
        <v>0</v>
      </c>
      <c r="T35" s="53">
        <v>0</v>
      </c>
      <c r="U35" s="53">
        <v>0</v>
      </c>
      <c r="V35" s="53">
        <v>0</v>
      </c>
      <c r="W35" s="53">
        <v>0</v>
      </c>
      <c r="X35" s="53">
        <v>0</v>
      </c>
      <c r="Y35" s="53">
        <v>0</v>
      </c>
      <c r="Z35" s="53">
        <v>0</v>
      </c>
      <c r="AA35" s="53">
        <v>0</v>
      </c>
      <c r="AB35" s="53">
        <v>0</v>
      </c>
      <c r="AC35" s="53">
        <v>0</v>
      </c>
      <c r="AD35" s="53">
        <v>0</v>
      </c>
    </row>
    <row r="36" spans="1:30" ht="29" x14ac:dyDescent="0.35">
      <c r="A36" s="3" t="s">
        <v>134</v>
      </c>
      <c r="B36" s="3" t="s">
        <v>135</v>
      </c>
      <c r="C36" s="72" t="s">
        <v>131</v>
      </c>
      <c r="D36" s="53">
        <v>3761250.6800769637</v>
      </c>
      <c r="E36" s="53">
        <v>4284487.0478109475</v>
      </c>
      <c r="F36" s="53">
        <v>4606811.8681702176</v>
      </c>
      <c r="G36" s="53">
        <v>4995927.6228458928</v>
      </c>
      <c r="H36" s="53">
        <v>5329720.061800546</v>
      </c>
      <c r="I36" s="53">
        <v>5796906.5791987414</v>
      </c>
      <c r="J36" s="53">
        <v>6339283.6767848125</v>
      </c>
      <c r="K36" s="53">
        <v>6199636.4515161188</v>
      </c>
      <c r="L36" s="53">
        <v>6137390.4038204541</v>
      </c>
      <c r="M36" s="53">
        <v>6039759.2997415457</v>
      </c>
      <c r="N36" s="53">
        <v>6578075.4012449076</v>
      </c>
      <c r="O36" s="53">
        <v>7231916.6265456565</v>
      </c>
      <c r="P36" s="53">
        <v>7805029.2316837218</v>
      </c>
      <c r="Q36" s="53">
        <v>8551105.2609355804</v>
      </c>
      <c r="R36" s="53">
        <v>9288340.8959175143</v>
      </c>
      <c r="S36" s="53">
        <v>9994730.9368542321</v>
      </c>
      <c r="T36" s="53">
        <v>10926172.235548047</v>
      </c>
      <c r="U36" s="53">
        <v>11789094.516402824</v>
      </c>
      <c r="V36" s="53">
        <v>12593607.037611647</v>
      </c>
      <c r="W36" s="53">
        <v>13521454.161354581</v>
      </c>
      <c r="X36" s="53">
        <v>14574371.287482273</v>
      </c>
      <c r="Y36" s="53">
        <v>15540641.081071621</v>
      </c>
      <c r="Z36" s="53">
        <v>16596015.877818776</v>
      </c>
      <c r="AA36" s="53">
        <v>17613528.779471602</v>
      </c>
      <c r="AB36" s="53">
        <v>18605991.624943413</v>
      </c>
      <c r="AC36" s="53">
        <v>19459357.551235754</v>
      </c>
      <c r="AD36" s="53">
        <v>20370726.363484394</v>
      </c>
    </row>
    <row r="37" spans="1:30" x14ac:dyDescent="0.35">
      <c r="A37" s="72"/>
      <c r="B37" s="72"/>
      <c r="C37" s="72"/>
      <c r="D37" s="53">
        <v>0</v>
      </c>
      <c r="E37" s="53">
        <v>0</v>
      </c>
      <c r="F37" s="53">
        <v>0</v>
      </c>
      <c r="G37" s="53">
        <v>0</v>
      </c>
      <c r="H37" s="53">
        <v>0</v>
      </c>
      <c r="I37" s="53">
        <v>0</v>
      </c>
      <c r="J37" s="53">
        <v>0</v>
      </c>
      <c r="K37" s="53">
        <v>0</v>
      </c>
      <c r="L37" s="53">
        <v>0</v>
      </c>
      <c r="M37" s="53">
        <v>0</v>
      </c>
      <c r="N37" s="53">
        <v>0</v>
      </c>
      <c r="O37" s="53">
        <v>0</v>
      </c>
      <c r="P37" s="53">
        <v>0</v>
      </c>
      <c r="Q37" s="53">
        <v>0</v>
      </c>
      <c r="R37" s="53">
        <v>0</v>
      </c>
      <c r="S37" s="53">
        <v>0</v>
      </c>
      <c r="T37" s="53">
        <v>0</v>
      </c>
      <c r="U37" s="53">
        <v>0</v>
      </c>
      <c r="V37" s="53">
        <v>0</v>
      </c>
      <c r="W37" s="53">
        <v>0</v>
      </c>
      <c r="X37" s="53">
        <v>0</v>
      </c>
      <c r="Y37" s="53">
        <v>0</v>
      </c>
      <c r="Z37" s="53">
        <v>0</v>
      </c>
      <c r="AA37" s="53">
        <v>0</v>
      </c>
      <c r="AB37" s="53">
        <v>0</v>
      </c>
      <c r="AC37" s="53">
        <v>0</v>
      </c>
      <c r="AD37" s="53">
        <v>0</v>
      </c>
    </row>
    <row r="38" spans="1:30" x14ac:dyDescent="0.35">
      <c r="A38" s="72"/>
      <c r="B38" s="72"/>
      <c r="C38" s="72" t="s">
        <v>136</v>
      </c>
      <c r="D38" s="53">
        <f>'Cost Assumptions'!$B$4</f>
        <v>40</v>
      </c>
      <c r="E38" s="53">
        <f>D38*'Cost Assumptions'!$B$5</f>
        <v>41</v>
      </c>
      <c r="F38" s="53">
        <f>E38*'Cost Assumptions'!$B$5</f>
        <v>42.024999999999999</v>
      </c>
      <c r="G38" s="53">
        <f>F38*'Cost Assumptions'!$B$5</f>
        <v>43.075624999999995</v>
      </c>
      <c r="H38" s="9">
        <f>G38*'Cost Assumptions'!$B$5</f>
        <v>44.152515624999992</v>
      </c>
      <c r="I38" s="9">
        <f>H38*'Cost Assumptions'!$B$5</f>
        <v>45.256328515624986</v>
      </c>
      <c r="J38" s="9">
        <f>I38*'Cost Assumptions'!$B$5</f>
        <v>46.387736728515605</v>
      </c>
      <c r="K38" s="9">
        <f>J38*'Cost Assumptions'!$B$5</f>
        <v>47.547430146728495</v>
      </c>
      <c r="L38" s="9">
        <f>K38*'Cost Assumptions'!$B$5</f>
        <v>48.736115900396705</v>
      </c>
      <c r="M38" s="9">
        <f>L38*'Cost Assumptions'!$B$5</f>
        <v>49.954518797906616</v>
      </c>
      <c r="N38" s="9">
        <f>M38*'Cost Assumptions'!$B$5</f>
        <v>51.203381767854275</v>
      </c>
      <c r="O38" s="9">
        <f>N38*'Cost Assumptions'!$B$5</f>
        <v>52.483466312050624</v>
      </c>
      <c r="P38" s="9">
        <f>O38*'Cost Assumptions'!$B$5</f>
        <v>53.795552969851883</v>
      </c>
      <c r="Q38" s="9">
        <f>P38*'Cost Assumptions'!$B$5</f>
        <v>55.140441794098173</v>
      </c>
      <c r="R38" s="9">
        <f>Q38*'Cost Assumptions'!$B$5</f>
        <v>56.518952838950625</v>
      </c>
      <c r="S38" s="9">
        <f>R38*'Cost Assumptions'!$B$5</f>
        <v>57.931926659924386</v>
      </c>
      <c r="T38" s="9">
        <f>S38*'Cost Assumptions'!$B$5</f>
        <v>59.380224826422491</v>
      </c>
      <c r="U38" s="9">
        <f>T38*'Cost Assumptions'!$B$5</f>
        <v>60.864730447083048</v>
      </c>
      <c r="V38" s="9">
        <f>U38*'Cost Assumptions'!$B$5</f>
        <v>62.386348708260115</v>
      </c>
      <c r="W38" s="9">
        <f>V38*'Cost Assumptions'!$B$5</f>
        <v>63.946007425966613</v>
      </c>
      <c r="X38" s="9">
        <f>W38*'Cost Assumptions'!$B$5</f>
        <v>65.544657611615776</v>
      </c>
      <c r="Y38" s="9">
        <f>X38*'Cost Assumptions'!$B$5</f>
        <v>67.183274051906167</v>
      </c>
      <c r="Z38" s="9">
        <f>Y38*'Cost Assumptions'!$B$5</f>
        <v>68.862855903203823</v>
      </c>
      <c r="AA38" s="9">
        <f>Z38*'Cost Assumptions'!$B$5</f>
        <v>70.584427300783915</v>
      </c>
      <c r="AB38" s="9">
        <f>AA38*'Cost Assumptions'!$B$5</f>
        <v>72.349037983303504</v>
      </c>
      <c r="AC38" s="9">
        <f>AB38*'Cost Assumptions'!$B$5</f>
        <v>74.157763932886084</v>
      </c>
      <c r="AD38" s="9">
        <f>AC38*'Cost Assumptions'!$B$5</f>
        <v>76.011708031208229</v>
      </c>
    </row>
    <row r="39" spans="1:30" x14ac:dyDescent="0.35">
      <c r="A39" s="72"/>
      <c r="B39" s="72"/>
      <c r="C39" s="72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</row>
    <row r="40" spans="1:30" ht="23.5" x14ac:dyDescent="0.55000000000000004">
      <c r="A40" s="72"/>
      <c r="B40" s="178" t="s">
        <v>137</v>
      </c>
      <c r="C40" s="178"/>
      <c r="D40" s="178"/>
      <c r="E40" s="178"/>
      <c r="F40" s="178"/>
      <c r="G40" s="178"/>
      <c r="H40" s="178"/>
      <c r="I40" s="178"/>
      <c r="J40" s="178"/>
      <c r="K40" s="178"/>
      <c r="L40" s="178"/>
      <c r="M40" s="178"/>
      <c r="N40" s="178"/>
      <c r="O40" s="178"/>
      <c r="P40" s="178"/>
      <c r="Q40" s="178"/>
      <c r="R40" s="178"/>
      <c r="S40" s="178"/>
      <c r="T40" s="178"/>
      <c r="U40" s="178"/>
      <c r="V40" s="178"/>
      <c r="W40" s="178"/>
      <c r="X40" s="178"/>
      <c r="Y40" s="178"/>
      <c r="Z40" s="178"/>
      <c r="AA40" s="178"/>
      <c r="AB40" s="178"/>
      <c r="AC40" s="178"/>
      <c r="AD40" s="178"/>
    </row>
    <row r="41" spans="1:30" ht="20" thickBot="1" x14ac:dyDescent="0.5">
      <c r="A41" s="113"/>
      <c r="B41" s="122" t="s">
        <v>138</v>
      </c>
      <c r="C41" s="113" t="s">
        <v>105</v>
      </c>
      <c r="D41" s="113">
        <v>2022</v>
      </c>
      <c r="E41" s="113">
        <v>2023</v>
      </c>
      <c r="F41" s="113">
        <v>2024</v>
      </c>
      <c r="G41" s="113">
        <v>2025</v>
      </c>
      <c r="H41" s="113">
        <v>2026</v>
      </c>
      <c r="I41" s="113">
        <v>2027</v>
      </c>
      <c r="J41" s="113">
        <v>2028</v>
      </c>
      <c r="K41" s="113">
        <v>2029</v>
      </c>
      <c r="L41" s="113">
        <v>2030</v>
      </c>
      <c r="M41" s="113">
        <v>2031</v>
      </c>
      <c r="N41" s="113">
        <v>2032</v>
      </c>
      <c r="O41" s="113">
        <v>2033</v>
      </c>
      <c r="P41" s="113">
        <v>2034</v>
      </c>
      <c r="Q41" s="113">
        <v>2035</v>
      </c>
      <c r="R41" s="113">
        <v>2036</v>
      </c>
      <c r="S41" s="113">
        <v>2037</v>
      </c>
      <c r="T41" s="113">
        <v>2038</v>
      </c>
      <c r="U41" s="113">
        <v>2039</v>
      </c>
      <c r="V41" s="113">
        <v>2040</v>
      </c>
      <c r="W41" s="113">
        <v>2041</v>
      </c>
      <c r="X41" s="113">
        <v>2042</v>
      </c>
      <c r="Y41" s="113">
        <v>2043</v>
      </c>
      <c r="Z41" s="113">
        <v>2044</v>
      </c>
      <c r="AA41" s="113">
        <v>2045</v>
      </c>
      <c r="AB41" s="113">
        <v>2046</v>
      </c>
      <c r="AC41" s="113">
        <v>2047</v>
      </c>
      <c r="AD41" s="113">
        <v>2048</v>
      </c>
    </row>
    <row r="42" spans="1:30" ht="15" thickTop="1" x14ac:dyDescent="0.35">
      <c r="A42" s="72"/>
      <c r="B42" s="10">
        <f>NPV('Cost Assumptions'!$B$3,'SDG&amp;E and Central BESS in VS'!D42:'SDG&amp;E and Central BESS in VS'!AD42)</f>
        <v>60340.26370151517</v>
      </c>
      <c r="C42" s="72" t="s">
        <v>107</v>
      </c>
      <c r="D42" s="53">
        <f t="shared" ref="D42:AD42" si="0">D2-D18</f>
        <v>5484.5999999993437</v>
      </c>
      <c r="E42" s="53">
        <f t="shared" si="0"/>
        <v>5526.2113461531699</v>
      </c>
      <c r="F42" s="53">
        <f t="shared" si="0"/>
        <v>5567.822692306996</v>
      </c>
      <c r="G42" s="53">
        <f t="shared" si="0"/>
        <v>5609.4340384608222</v>
      </c>
      <c r="H42" s="53">
        <f t="shared" si="0"/>
        <v>5651.0453846146484</v>
      </c>
      <c r="I42" s="53">
        <f t="shared" si="0"/>
        <v>5692.6567307684745</v>
      </c>
      <c r="J42" s="53">
        <f t="shared" si="0"/>
        <v>5734.2680769223007</v>
      </c>
      <c r="K42" s="53">
        <f t="shared" si="0"/>
        <v>6562.844615383714</v>
      </c>
      <c r="L42" s="53">
        <f t="shared" si="0"/>
        <v>6997.6638461530456</v>
      </c>
      <c r="M42" s="53">
        <f t="shared" si="0"/>
        <v>7438.4430769222163</v>
      </c>
      <c r="N42" s="53">
        <f t="shared" si="0"/>
        <v>7491.0223076915063</v>
      </c>
      <c r="O42" s="53">
        <f t="shared" si="0"/>
        <v>7549.1231009607</v>
      </c>
      <c r="P42" s="53">
        <f t="shared" si="0"/>
        <v>7607.2238942298936</v>
      </c>
      <c r="Q42" s="53">
        <f t="shared" si="0"/>
        <v>7665.3246874990873</v>
      </c>
      <c r="R42" s="53">
        <f t="shared" si="0"/>
        <v>7723.425480768281</v>
      </c>
      <c r="S42" s="53">
        <f t="shared" si="0"/>
        <v>7781.5262740374746</v>
      </c>
      <c r="T42" s="53">
        <f t="shared" si="0"/>
        <v>7839.6270673066683</v>
      </c>
      <c r="U42" s="53">
        <f t="shared" si="0"/>
        <v>7897.727860575862</v>
      </c>
      <c r="V42" s="53">
        <f t="shared" si="0"/>
        <v>7955.8286538450557</v>
      </c>
      <c r="W42" s="53">
        <f t="shared" si="0"/>
        <v>8013.9294471142493</v>
      </c>
      <c r="X42" s="53">
        <f t="shared" si="0"/>
        <v>8072.030240383443</v>
      </c>
      <c r="Y42" s="53">
        <f t="shared" si="0"/>
        <v>8130.1310336526367</v>
      </c>
      <c r="Z42" s="53">
        <f t="shared" si="0"/>
        <v>8188.2318269218304</v>
      </c>
      <c r="AA42" s="53">
        <f t="shared" si="0"/>
        <v>8246.332620191024</v>
      </c>
      <c r="AB42" s="53">
        <f t="shared" si="0"/>
        <v>8304.4334134602177</v>
      </c>
      <c r="AC42" s="53">
        <f t="shared" si="0"/>
        <v>8362.5342067294114</v>
      </c>
      <c r="AD42" s="53">
        <f t="shared" si="0"/>
        <v>8421.7524999985544</v>
      </c>
    </row>
    <row r="43" spans="1:30" x14ac:dyDescent="0.35">
      <c r="A43" s="72"/>
      <c r="B43" s="10">
        <f>NPV('Cost Assumptions'!$B$3,'SDG&amp;E and Central BESS in VS'!D43:'SDG&amp;E and Central BESS in VS'!AD43)</f>
        <v>3043834.6938729561</v>
      </c>
      <c r="C43" s="72" t="s">
        <v>139</v>
      </c>
      <c r="D43" s="53">
        <f t="shared" ref="D43:AD43" si="1">D42*D38</f>
        <v>219383.99999997375</v>
      </c>
      <c r="E43" s="53">
        <f t="shared" si="1"/>
        <v>226574.66519227996</v>
      </c>
      <c r="F43" s="53">
        <f t="shared" si="1"/>
        <v>233987.74864420149</v>
      </c>
      <c r="G43" s="53">
        <f t="shared" si="1"/>
        <v>241629.87710297393</v>
      </c>
      <c r="H43" s="53">
        <f t="shared" si="1"/>
        <v>249507.86964178237</v>
      </c>
      <c r="I43" s="53">
        <f t="shared" si="1"/>
        <v>257628.74313434181</v>
      </c>
      <c r="J43" s="53">
        <f t="shared" si="1"/>
        <v>265999.71788300318</v>
      </c>
      <c r="K43" s="53">
        <f t="shared" si="1"/>
        <v>312046.39591379039</v>
      </c>
      <c r="L43" s="53">
        <f t="shared" si="1"/>
        <v>341038.95623813063</v>
      </c>
      <c r="M43" s="53">
        <f t="shared" si="1"/>
        <v>371583.8445132692</v>
      </c>
      <c r="N43" s="53">
        <f t="shared" si="1"/>
        <v>383565.6750522409</v>
      </c>
      <c r="O43" s="53">
        <f t="shared" si="1"/>
        <v>396204.14795479405</v>
      </c>
      <c r="P43" s="53">
        <f t="shared" si="1"/>
        <v>409234.81595556717</v>
      </c>
      <c r="Q43" s="53">
        <f t="shared" si="1"/>
        <v>422669.38976390718</v>
      </c>
      <c r="R43" s="53">
        <f t="shared" si="1"/>
        <v>436519.92050269205</v>
      </c>
      <c r="S43" s="53">
        <f t="shared" si="1"/>
        <v>450798.80940981366</v>
      </c>
      <c r="T43" s="53">
        <f t="shared" si="1"/>
        <v>465518.81781197718</v>
      </c>
      <c r="U43" s="53">
        <f t="shared" si="1"/>
        <v>480693.07737836771</v>
      </c>
      <c r="V43" s="53">
        <f t="shared" si="1"/>
        <v>496335.1006619453</v>
      </c>
      <c r="W43" s="53">
        <f t="shared" si="1"/>
        <v>512458.79193634028</v>
      </c>
      <c r="X43" s="53">
        <f t="shared" si="1"/>
        <v>529078.45833654131</v>
      </c>
      <c r="Y43" s="53">
        <f t="shared" si="1"/>
        <v>546208.82131179224</v>
      </c>
      <c r="Z43" s="53">
        <f t="shared" si="1"/>
        <v>563865.02839934535</v>
      </c>
      <c r="AA43" s="53">
        <f t="shared" si="1"/>
        <v>582062.66532795632</v>
      </c>
      <c r="AB43" s="53">
        <f t="shared" si="1"/>
        <v>600817.76846024801</v>
      </c>
      <c r="AC43" s="53">
        <f t="shared" si="1"/>
        <v>620146.83758332452</v>
      </c>
      <c r="AD43" s="53">
        <f t="shared" si="1"/>
        <v>640151.79214098805</v>
      </c>
    </row>
    <row r="44" spans="1:30" x14ac:dyDescent="0.35">
      <c r="A44" s="72" t="s">
        <v>30</v>
      </c>
      <c r="B44" s="10">
        <f>NPV('Cost Assumptions'!$B$3,'SDG&amp;E and Central BESS in VS'!D44:'SDG&amp;E and Central BESS in VS'!AD44)</f>
        <v>1008.9296414264766</v>
      </c>
      <c r="C44" s="72" t="s">
        <v>31</v>
      </c>
      <c r="D44" s="53">
        <f t="shared" ref="D44:AD44" si="2">D3-D19</f>
        <v>10</v>
      </c>
      <c r="E44" s="53">
        <f t="shared" si="2"/>
        <v>20.5</v>
      </c>
      <c r="F44" s="53">
        <f t="shared" si="2"/>
        <v>29.879999999999995</v>
      </c>
      <c r="G44" s="53">
        <f t="shared" si="2"/>
        <v>39.259999999999991</v>
      </c>
      <c r="H44" s="53">
        <f t="shared" si="2"/>
        <v>48.639999999999986</v>
      </c>
      <c r="I44" s="53">
        <f t="shared" si="2"/>
        <v>58.019999999999982</v>
      </c>
      <c r="J44" s="53">
        <f t="shared" si="2"/>
        <v>67.399999999999977</v>
      </c>
      <c r="K44" s="53">
        <f t="shared" si="2"/>
        <v>57.599999999999966</v>
      </c>
      <c r="L44" s="53">
        <f t="shared" si="2"/>
        <v>49.800000000000011</v>
      </c>
      <c r="M44" s="53">
        <f t="shared" si="2"/>
        <v>41.5</v>
      </c>
      <c r="N44" s="53">
        <f t="shared" si="2"/>
        <v>53.700000000000017</v>
      </c>
      <c r="O44" s="53">
        <f t="shared" si="2"/>
        <v>75.066666666666691</v>
      </c>
      <c r="P44" s="53">
        <f t="shared" si="2"/>
        <v>96.433333333333366</v>
      </c>
      <c r="Q44" s="53">
        <f t="shared" si="2"/>
        <v>117.80000000000004</v>
      </c>
      <c r="R44" s="53">
        <f t="shared" si="2"/>
        <v>139.16666666666671</v>
      </c>
      <c r="S44" s="53">
        <f t="shared" si="2"/>
        <v>160.53333333333339</v>
      </c>
      <c r="T44" s="53">
        <f t="shared" si="2"/>
        <v>181.90000000000003</v>
      </c>
      <c r="U44" s="53">
        <f t="shared" si="2"/>
        <v>244.23000000000002</v>
      </c>
      <c r="V44" s="53">
        <f t="shared" si="2"/>
        <v>306.56</v>
      </c>
      <c r="W44" s="53">
        <f t="shared" si="2"/>
        <v>368.89</v>
      </c>
      <c r="X44" s="53">
        <f t="shared" si="2"/>
        <v>431.21999999999997</v>
      </c>
      <c r="Y44" s="53">
        <f t="shared" si="2"/>
        <v>453.7000000000001</v>
      </c>
      <c r="Z44" s="53">
        <f t="shared" si="2"/>
        <v>524.00000000000011</v>
      </c>
      <c r="AA44" s="53">
        <f t="shared" si="2"/>
        <v>594.30000000000007</v>
      </c>
      <c r="AB44" s="53">
        <f t="shared" si="2"/>
        <v>664.6</v>
      </c>
      <c r="AC44" s="53">
        <f t="shared" si="2"/>
        <v>734.9</v>
      </c>
      <c r="AD44" s="53">
        <f t="shared" si="2"/>
        <v>805.2</v>
      </c>
    </row>
    <row r="45" spans="1:30" x14ac:dyDescent="0.35">
      <c r="A45" s="72" t="s">
        <v>30</v>
      </c>
      <c r="B45" s="10">
        <f>NPV('Cost Assumptions'!$B$3,'SDG&amp;E and Central BESS in VS'!D45:'SDG&amp;E and Central BESS in VS'!AD45)</f>
        <v>100.1706730731125</v>
      </c>
      <c r="C45" s="72" t="s">
        <v>32</v>
      </c>
      <c r="D45" s="53">
        <f t="shared" ref="D45:AD45" si="3">D4-D20</f>
        <v>2</v>
      </c>
      <c r="E45" s="53">
        <f t="shared" si="3"/>
        <v>3</v>
      </c>
      <c r="F45" s="53">
        <f t="shared" si="3"/>
        <v>4.6799999999999953</v>
      </c>
      <c r="G45" s="53">
        <f t="shared" si="3"/>
        <v>6.3599999999999905</v>
      </c>
      <c r="H45" s="53">
        <f t="shared" si="3"/>
        <v>8.0399999999999867</v>
      </c>
      <c r="I45" s="53">
        <f t="shared" si="3"/>
        <v>9.7199999999999829</v>
      </c>
      <c r="J45" s="53">
        <f t="shared" si="3"/>
        <v>11.399999999999977</v>
      </c>
      <c r="K45" s="53">
        <f t="shared" si="3"/>
        <v>10.199999999999989</v>
      </c>
      <c r="L45" s="53">
        <f t="shared" si="3"/>
        <v>8.5999999999999943</v>
      </c>
      <c r="M45" s="53">
        <f t="shared" si="3"/>
        <v>6.8000000000000114</v>
      </c>
      <c r="N45" s="53">
        <f t="shared" si="3"/>
        <v>9.6000000000000227</v>
      </c>
      <c r="O45" s="53">
        <f t="shared" si="3"/>
        <v>11.333333333333352</v>
      </c>
      <c r="P45" s="53">
        <f t="shared" si="3"/>
        <v>13.066666666666681</v>
      </c>
      <c r="Q45" s="53">
        <f t="shared" si="3"/>
        <v>14.80000000000001</v>
      </c>
      <c r="R45" s="53">
        <f t="shared" si="3"/>
        <v>16.533333333333339</v>
      </c>
      <c r="S45" s="53">
        <f t="shared" si="3"/>
        <v>18.266666666666669</v>
      </c>
      <c r="T45" s="53">
        <f t="shared" si="3"/>
        <v>20</v>
      </c>
      <c r="U45" s="53">
        <f t="shared" si="3"/>
        <v>21.860000000000003</v>
      </c>
      <c r="V45" s="53">
        <f t="shared" si="3"/>
        <v>23.720000000000006</v>
      </c>
      <c r="W45" s="53">
        <f t="shared" si="3"/>
        <v>25.580000000000009</v>
      </c>
      <c r="X45" s="53">
        <f t="shared" si="3"/>
        <v>27.440000000000012</v>
      </c>
      <c r="Y45" s="53">
        <f t="shared" si="3"/>
        <v>29.300000000000011</v>
      </c>
      <c r="Z45" s="53">
        <f t="shared" si="3"/>
        <v>30.480000000000008</v>
      </c>
      <c r="AA45" s="53">
        <f t="shared" si="3"/>
        <v>31.660000000000004</v>
      </c>
      <c r="AB45" s="53">
        <f t="shared" si="3"/>
        <v>32.839999999999996</v>
      </c>
      <c r="AC45" s="53">
        <f t="shared" si="3"/>
        <v>34.019999999999989</v>
      </c>
      <c r="AD45" s="53">
        <f t="shared" si="3"/>
        <v>35.199999999999989</v>
      </c>
    </row>
    <row r="46" spans="1:30" x14ac:dyDescent="0.35">
      <c r="A46" s="72" t="s">
        <v>30</v>
      </c>
      <c r="B46" s="10">
        <f>NPV('Cost Assumptions'!$B$3,'SDG&amp;E and Central BESS in VS'!D46:'SDG&amp;E and Central BESS in VS'!AD46)</f>
        <v>73.336634837250131</v>
      </c>
      <c r="C46" s="72" t="s">
        <v>33</v>
      </c>
      <c r="D46" s="53">
        <f t="shared" ref="D46:AD46" si="4">D5-D21</f>
        <v>8.4812112193331513E-2</v>
      </c>
      <c r="E46" s="53">
        <f t="shared" si="4"/>
        <v>0.24283371212350299</v>
      </c>
      <c r="F46" s="53">
        <f t="shared" si="4"/>
        <v>0.34046276046663143</v>
      </c>
      <c r="G46" s="53">
        <f t="shared" si="4"/>
        <v>0.43809180880975984</v>
      </c>
      <c r="H46" s="53">
        <f t="shared" si="4"/>
        <v>0.53572085715288831</v>
      </c>
      <c r="I46" s="53">
        <f t="shared" si="4"/>
        <v>0.63334990549601677</v>
      </c>
      <c r="J46" s="53">
        <f t="shared" si="4"/>
        <v>0.73097895383914513</v>
      </c>
      <c r="K46" s="53">
        <f t="shared" si="4"/>
        <v>0.61764830497225676</v>
      </c>
      <c r="L46" s="53">
        <f t="shared" si="4"/>
        <v>0.52957812632109091</v>
      </c>
      <c r="M46" s="53">
        <f t="shared" si="4"/>
        <v>0.48185121670948772</v>
      </c>
      <c r="N46" s="53">
        <f t="shared" si="4"/>
        <v>0.56680711827214547</v>
      </c>
      <c r="O46" s="53">
        <f t="shared" si="4"/>
        <v>0.96980348799493798</v>
      </c>
      <c r="P46" s="53">
        <f t="shared" si="4"/>
        <v>1.3727998577177305</v>
      </c>
      <c r="Q46" s="53">
        <f t="shared" si="4"/>
        <v>1.775796227440523</v>
      </c>
      <c r="R46" s="53">
        <f t="shared" si="4"/>
        <v>2.1787925971633153</v>
      </c>
      <c r="S46" s="53">
        <f t="shared" si="4"/>
        <v>2.5817889668861076</v>
      </c>
      <c r="T46" s="53">
        <f t="shared" si="4"/>
        <v>2.9847853366089003</v>
      </c>
      <c r="U46" s="53">
        <f t="shared" si="4"/>
        <v>21.070525908414965</v>
      </c>
      <c r="V46" s="53">
        <f t="shared" si="4"/>
        <v>39.156266480221028</v>
      </c>
      <c r="W46" s="53">
        <f t="shared" si="4"/>
        <v>57.242007052027091</v>
      </c>
      <c r="X46" s="53">
        <f t="shared" si="4"/>
        <v>75.327747623833147</v>
      </c>
      <c r="Y46" s="53">
        <f t="shared" si="4"/>
        <v>93.413488195639218</v>
      </c>
      <c r="Z46" s="53">
        <f t="shared" si="4"/>
        <v>81.062212021092932</v>
      </c>
      <c r="AA46" s="53">
        <f t="shared" si="4"/>
        <v>68.710935846546647</v>
      </c>
      <c r="AB46" s="53">
        <f t="shared" si="4"/>
        <v>56.359659672000362</v>
      </c>
      <c r="AC46" s="53">
        <f t="shared" si="4"/>
        <v>44.008383497454076</v>
      </c>
      <c r="AD46" s="53">
        <f t="shared" si="4"/>
        <v>31.657107322907791</v>
      </c>
    </row>
    <row r="47" spans="1:30" x14ac:dyDescent="0.35">
      <c r="A47" s="72" t="s">
        <v>30</v>
      </c>
      <c r="B47" s="10">
        <f>NPV('Cost Assumptions'!$B$3,'SDG&amp;E and Central BESS in VS'!D47:'SDG&amp;E and Central BESS in VS'!AD47)</f>
        <v>1.4721708526842732</v>
      </c>
      <c r="C47" s="72" t="s">
        <v>34</v>
      </c>
      <c r="D47" s="53">
        <f t="shared" ref="D47:AD47" si="5">D6-D22</f>
        <v>6.0580080138093939E-3</v>
      </c>
      <c r="E47" s="53">
        <f t="shared" si="5"/>
        <v>1.7771756236396739E-2</v>
      </c>
      <c r="F47" s="53">
        <f t="shared" si="5"/>
        <v>2.504677784712513E-2</v>
      </c>
      <c r="G47" s="53">
        <f t="shared" si="5"/>
        <v>3.2321799457853517E-2</v>
      </c>
      <c r="H47" s="53">
        <f t="shared" si="5"/>
        <v>3.9596821068581908E-2</v>
      </c>
      <c r="I47" s="53">
        <f t="shared" si="5"/>
        <v>4.6871842679310299E-2</v>
      </c>
      <c r="J47" s="53">
        <f t="shared" si="5"/>
        <v>5.414686429003869E-2</v>
      </c>
      <c r="K47" s="53">
        <f t="shared" si="5"/>
        <v>4.57170533491131E-2</v>
      </c>
      <c r="L47" s="53">
        <f t="shared" si="5"/>
        <v>3.8991796004088156E-2</v>
      </c>
      <c r="M47" s="53">
        <f t="shared" si="5"/>
        <v>3.1792887361975948E-2</v>
      </c>
      <c r="N47" s="53">
        <f t="shared" si="5"/>
        <v>4.2212624824281168E-2</v>
      </c>
      <c r="O47" s="53">
        <f t="shared" si="5"/>
        <v>5.9766414638595444E-2</v>
      </c>
      <c r="P47" s="53">
        <f t="shared" si="5"/>
        <v>7.7320204452909727E-2</v>
      </c>
      <c r="Q47" s="53">
        <f t="shared" si="5"/>
        <v>9.487399426722401E-2</v>
      </c>
      <c r="R47" s="53">
        <f t="shared" si="5"/>
        <v>0.11242778408153829</v>
      </c>
      <c r="S47" s="53">
        <f t="shared" si="5"/>
        <v>0.12998157389585258</v>
      </c>
      <c r="T47" s="53">
        <f t="shared" si="5"/>
        <v>0.14753536371016684</v>
      </c>
      <c r="U47" s="53">
        <f t="shared" si="5"/>
        <v>0.40051087482777559</v>
      </c>
      <c r="V47" s="53">
        <f t="shared" si="5"/>
        <v>0.65348638594538433</v>
      </c>
      <c r="W47" s="53">
        <f t="shared" si="5"/>
        <v>0.90646189706299307</v>
      </c>
      <c r="X47" s="53">
        <f t="shared" si="5"/>
        <v>1.1594374081806018</v>
      </c>
      <c r="Y47" s="53">
        <f t="shared" si="5"/>
        <v>1.4124129192982104</v>
      </c>
      <c r="Z47" s="53">
        <f t="shared" si="5"/>
        <v>1.2710233198999881</v>
      </c>
      <c r="AA47" s="53">
        <f t="shared" si="5"/>
        <v>1.1296337205017657</v>
      </c>
      <c r="AB47" s="53">
        <f t="shared" si="5"/>
        <v>0.98824412110354332</v>
      </c>
      <c r="AC47" s="53">
        <f t="shared" si="5"/>
        <v>0.84685452170532094</v>
      </c>
      <c r="AD47" s="53">
        <f t="shared" si="5"/>
        <v>0.70546492230709823</v>
      </c>
    </row>
    <row r="48" spans="1:30" x14ac:dyDescent="0.35">
      <c r="A48" s="72" t="s">
        <v>30</v>
      </c>
      <c r="B48" s="10">
        <f>NPV('Cost Assumptions'!$B$3,'SDG&amp;E and Central BESS in VS'!D48:'SDG&amp;E and Central BESS in VS'!AD48)</f>
        <v>315.95809421564536</v>
      </c>
      <c r="C48" s="72" t="s">
        <v>35</v>
      </c>
      <c r="D48" s="53">
        <f t="shared" ref="D48:AD48" si="6">D7-D23</f>
        <v>14</v>
      </c>
      <c r="E48" s="53">
        <f t="shared" si="6"/>
        <v>21</v>
      </c>
      <c r="F48" s="53">
        <f t="shared" si="6"/>
        <v>23.2</v>
      </c>
      <c r="G48" s="53">
        <f t="shared" si="6"/>
        <v>25.4</v>
      </c>
      <c r="H48" s="53">
        <f t="shared" si="6"/>
        <v>27.599999999999998</v>
      </c>
      <c r="I48" s="53">
        <f t="shared" si="6"/>
        <v>29.799999999999997</v>
      </c>
      <c r="J48" s="53">
        <f t="shared" si="6"/>
        <v>32</v>
      </c>
      <c r="K48" s="53">
        <f t="shared" si="6"/>
        <v>30</v>
      </c>
      <c r="L48" s="53">
        <f t="shared" si="6"/>
        <v>29</v>
      </c>
      <c r="M48" s="53">
        <f t="shared" si="6"/>
        <v>29</v>
      </c>
      <c r="N48" s="53">
        <f t="shared" si="6"/>
        <v>29</v>
      </c>
      <c r="O48" s="53">
        <f t="shared" si="6"/>
        <v>32.666666666666664</v>
      </c>
      <c r="P48" s="53">
        <f t="shared" si="6"/>
        <v>36.333333333333329</v>
      </c>
      <c r="Q48" s="53">
        <f t="shared" si="6"/>
        <v>39.999999999999993</v>
      </c>
      <c r="R48" s="53">
        <f t="shared" si="6"/>
        <v>43.666666666666657</v>
      </c>
      <c r="S48" s="53">
        <f t="shared" si="6"/>
        <v>47.333333333333321</v>
      </c>
      <c r="T48" s="53">
        <f t="shared" si="6"/>
        <v>51</v>
      </c>
      <c r="U48" s="53">
        <f t="shared" si="6"/>
        <v>56.6</v>
      </c>
      <c r="V48" s="53">
        <f t="shared" si="6"/>
        <v>62.2</v>
      </c>
      <c r="W48" s="53">
        <f t="shared" si="6"/>
        <v>67.8</v>
      </c>
      <c r="X48" s="53">
        <f t="shared" si="6"/>
        <v>73.399999999999991</v>
      </c>
      <c r="Y48" s="53">
        <f t="shared" si="6"/>
        <v>79</v>
      </c>
      <c r="Z48" s="53">
        <f t="shared" si="6"/>
        <v>82</v>
      </c>
      <c r="AA48" s="53">
        <f t="shared" si="6"/>
        <v>85</v>
      </c>
      <c r="AB48" s="53">
        <f t="shared" si="6"/>
        <v>88</v>
      </c>
      <c r="AC48" s="53">
        <f t="shared" si="6"/>
        <v>91</v>
      </c>
      <c r="AD48" s="53">
        <f t="shared" si="6"/>
        <v>94</v>
      </c>
    </row>
    <row r="49" spans="1:30" s="52" customFormat="1" x14ac:dyDescent="0.35">
      <c r="A49" s="72" t="s">
        <v>30</v>
      </c>
      <c r="B49" s="10">
        <f>NPV('Cost Assumptions'!$B$3,'SDG&amp;E and Central BESS in VS'!D49:'SDG&amp;E and Central BESS in VS'!AD49)</f>
        <v>75415.305782582174</v>
      </c>
      <c r="C49" s="70" t="s">
        <v>140</v>
      </c>
      <c r="D49" s="53">
        <f>D13-D24</f>
        <v>3922.9783635497124</v>
      </c>
      <c r="E49" s="53">
        <f t="shared" ref="E49:AD49" si="7">E13-E24</f>
        <v>5310.8216440618062</v>
      </c>
      <c r="F49" s="53">
        <f t="shared" si="7"/>
        <v>6698.6649245739</v>
      </c>
      <c r="G49" s="53">
        <f t="shared" si="7"/>
        <v>8086.5082050859937</v>
      </c>
      <c r="H49" s="53">
        <f t="shared" si="7"/>
        <v>9474.3514855980866</v>
      </c>
      <c r="I49" s="53">
        <f t="shared" si="7"/>
        <v>10862.19476611018</v>
      </c>
      <c r="J49" s="53">
        <f t="shared" si="7"/>
        <v>12250.038046622274</v>
      </c>
      <c r="K49" s="53">
        <f t="shared" si="7"/>
        <v>10979.217397844997</v>
      </c>
      <c r="L49" s="53">
        <f t="shared" si="7"/>
        <v>9708.3967490677187</v>
      </c>
      <c r="M49" s="53">
        <f t="shared" si="7"/>
        <v>7539.8421602514854</v>
      </c>
      <c r="N49" s="53">
        <f t="shared" si="7"/>
        <v>8773.7417779994285</v>
      </c>
      <c r="O49" s="53">
        <f t="shared" si="7"/>
        <v>7381.6472954475848</v>
      </c>
      <c r="P49" s="53">
        <f t="shared" si="7"/>
        <v>7586.0301636990553</v>
      </c>
      <c r="Q49" s="53">
        <f t="shared" si="7"/>
        <v>7790.4130319505275</v>
      </c>
      <c r="R49" s="53">
        <f t="shared" si="7"/>
        <v>7994.7959002019998</v>
      </c>
      <c r="S49" s="53">
        <f t="shared" si="7"/>
        <v>8199.1787684534702</v>
      </c>
      <c r="T49" s="53">
        <f t="shared" si="7"/>
        <v>8403.5616367049406</v>
      </c>
      <c r="U49" s="53">
        <f t="shared" si="7"/>
        <v>8607.9445049564129</v>
      </c>
      <c r="V49" s="53">
        <f t="shared" si="7"/>
        <v>8812.3273732078833</v>
      </c>
      <c r="W49" s="53">
        <f t="shared" si="7"/>
        <v>9016.7102414593537</v>
      </c>
      <c r="X49" s="53">
        <f t="shared" si="7"/>
        <v>9221.0931097108241</v>
      </c>
      <c r="Y49" s="53">
        <f t="shared" si="7"/>
        <v>9425.4759779622946</v>
      </c>
      <c r="Z49" s="53">
        <f t="shared" si="7"/>
        <v>9629.8588462137668</v>
      </c>
      <c r="AA49" s="53">
        <f t="shared" si="7"/>
        <v>9834.2417144652354</v>
      </c>
      <c r="AB49" s="53">
        <f t="shared" si="7"/>
        <v>10038.624582716704</v>
      </c>
      <c r="AC49" s="53">
        <f t="shared" si="7"/>
        <v>10243.007450968176</v>
      </c>
      <c r="AD49" s="53">
        <f t="shared" si="7"/>
        <v>10844.811070109357</v>
      </c>
    </row>
    <row r="50" spans="1:30" s="52" customFormat="1" x14ac:dyDescent="0.35">
      <c r="A50" s="72" t="s">
        <v>30</v>
      </c>
      <c r="B50" s="10">
        <f>NPV('Cost Assumptions'!$B$3,'SDG&amp;E and Central BESS in VS'!D50:'SDG&amp;E and Central BESS in VS'!AD50)</f>
        <v>1272587.0327551514</v>
      </c>
      <c r="C50" s="70" t="s">
        <v>141</v>
      </c>
      <c r="D50" s="53">
        <f>D14-D25</f>
        <v>135760.72984249768</v>
      </c>
      <c r="E50" s="53">
        <f t="shared" ref="E50:AD50" si="8">E14-E25</f>
        <v>136381.60516202831</v>
      </c>
      <c r="F50" s="53">
        <f t="shared" si="8"/>
        <v>136667.16114984063</v>
      </c>
      <c r="G50" s="53">
        <f t="shared" si="8"/>
        <v>136953.38058402523</v>
      </c>
      <c r="H50" s="53">
        <f t="shared" si="8"/>
        <v>137247.06102185321</v>
      </c>
      <c r="I50" s="53">
        <f t="shared" si="8"/>
        <v>137582.28628676737</v>
      </c>
      <c r="J50" s="53">
        <f t="shared" si="8"/>
        <v>137906.47540752403</v>
      </c>
      <c r="K50" s="53">
        <f t="shared" si="8"/>
        <v>137693.95669947928</v>
      </c>
      <c r="L50" s="53">
        <f t="shared" si="8"/>
        <v>137476.02386363386</v>
      </c>
      <c r="M50" s="53">
        <f t="shared" si="8"/>
        <v>137254.566918722</v>
      </c>
      <c r="N50" s="53">
        <f t="shared" si="8"/>
        <v>137608.29639319956</v>
      </c>
      <c r="O50" s="53">
        <f t="shared" si="8"/>
        <v>137958.53920814447</v>
      </c>
      <c r="P50" s="53">
        <f t="shared" si="8"/>
        <v>138308.90426750112</v>
      </c>
      <c r="Q50" s="53">
        <f t="shared" si="8"/>
        <v>138647.15766644073</v>
      </c>
      <c r="R50" s="53">
        <f t="shared" si="8"/>
        <v>138983.62939920495</v>
      </c>
      <c r="S50" s="53">
        <f t="shared" si="8"/>
        <v>139312.81977216428</v>
      </c>
      <c r="T50" s="53">
        <f t="shared" si="8"/>
        <v>139636.04924244032</v>
      </c>
      <c r="U50" s="53">
        <f t="shared" si="8"/>
        <v>139919.78281317203</v>
      </c>
      <c r="V50" s="53">
        <f t="shared" si="8"/>
        <v>140191.74523570359</v>
      </c>
      <c r="W50" s="53">
        <f t="shared" si="8"/>
        <v>140456.52373349664</v>
      </c>
      <c r="X50" s="53">
        <f t="shared" si="8"/>
        <v>140712.71200387826</v>
      </c>
      <c r="Y50" s="53">
        <f t="shared" si="8"/>
        <v>140921.76338212824</v>
      </c>
      <c r="Z50" s="53">
        <f t="shared" si="8"/>
        <v>141121.58582155628</v>
      </c>
      <c r="AA50" s="53">
        <f t="shared" si="8"/>
        <v>141309.77781576558</v>
      </c>
      <c r="AB50" s="53">
        <f t="shared" si="8"/>
        <v>141490.88627082555</v>
      </c>
      <c r="AC50" s="53">
        <f t="shared" si="8"/>
        <v>141618.14450504346</v>
      </c>
      <c r="AD50" s="53">
        <f t="shared" si="8"/>
        <v>141728.41719947709</v>
      </c>
    </row>
    <row r="51" spans="1:30" s="66" customFormat="1" x14ac:dyDescent="0.35">
      <c r="A51" s="72" t="s">
        <v>30</v>
      </c>
      <c r="B51" s="10">
        <f>NPV('Cost Assumptions'!$B$3,'SDG&amp;E and Central BESS in VS'!D51:'SDG&amp;E and Central BESS in VS'!AD51)</f>
        <v>526663.85708479583</v>
      </c>
      <c r="C51" s="70" t="s">
        <v>142</v>
      </c>
      <c r="D51" s="53">
        <f>D15-D26</f>
        <v>45808.421407494854</v>
      </c>
      <c r="E51" s="53">
        <f t="shared" ref="E51:AD51" si="9">E15-E26</f>
        <v>48737.951083472915</v>
      </c>
      <c r="F51" s="53">
        <f t="shared" si="9"/>
        <v>50182.209733879929</v>
      </c>
      <c r="G51" s="53">
        <f t="shared" si="9"/>
        <v>51691.211111158744</v>
      </c>
      <c r="H51" s="53">
        <f t="shared" si="9"/>
        <v>53310.967457239516</v>
      </c>
      <c r="I51" s="53">
        <f t="shared" si="9"/>
        <v>55169.031304385557</v>
      </c>
      <c r="J51" s="53">
        <f t="shared" si="9"/>
        <v>57028.818382482525</v>
      </c>
      <c r="K51" s="53">
        <f t="shared" si="9"/>
        <v>55797.103718766411</v>
      </c>
      <c r="L51" s="53">
        <f t="shared" si="9"/>
        <v>54578.425981078268</v>
      </c>
      <c r="M51" s="53">
        <f t="shared" si="9"/>
        <v>53352.680756663482</v>
      </c>
      <c r="N51" s="53">
        <f t="shared" si="9"/>
        <v>55313.582656366751</v>
      </c>
      <c r="O51" s="53">
        <f t="shared" si="9"/>
        <v>57337.693328112291</v>
      </c>
      <c r="P51" s="53">
        <f t="shared" si="9"/>
        <v>59456.633625716044</v>
      </c>
      <c r="Q51" s="53">
        <f t="shared" si="9"/>
        <v>61542.813561853683</v>
      </c>
      <c r="R51" s="53">
        <f t="shared" si="9"/>
        <v>63663.582821961209</v>
      </c>
      <c r="S51" s="53">
        <f t="shared" si="9"/>
        <v>65847.73871719747</v>
      </c>
      <c r="T51" s="53">
        <f t="shared" si="9"/>
        <v>68109.828111684503</v>
      </c>
      <c r="U51" s="53">
        <f t="shared" si="9"/>
        <v>70213.916297683056</v>
      </c>
      <c r="V51" s="53">
        <f t="shared" si="9"/>
        <v>72345.401471854842</v>
      </c>
      <c r="W51" s="53">
        <f t="shared" si="9"/>
        <v>74506.002604065055</v>
      </c>
      <c r="X51" s="53">
        <f t="shared" si="9"/>
        <v>76709.237909044736</v>
      </c>
      <c r="Y51" s="53">
        <f t="shared" si="9"/>
        <v>78584.537826778003</v>
      </c>
      <c r="Z51" s="53">
        <f t="shared" si="9"/>
        <v>80408.969620383519</v>
      </c>
      <c r="AA51" s="53">
        <f t="shared" si="9"/>
        <v>82173.43634519144</v>
      </c>
      <c r="AB51" s="53">
        <f t="shared" si="9"/>
        <v>83916.02729526638</v>
      </c>
      <c r="AC51" s="53">
        <f t="shared" si="9"/>
        <v>85162.030955838127</v>
      </c>
      <c r="AD51" s="53">
        <f t="shared" si="9"/>
        <v>86278.232397003711</v>
      </c>
    </row>
    <row r="52" spans="1:30" x14ac:dyDescent="0.35">
      <c r="A52" s="72" t="s">
        <v>39</v>
      </c>
      <c r="B52" s="10">
        <f>NPV('Cost Assumptions'!$B$3,'SDG&amp;E and Central BESS in VS'!D52:'SDG&amp;E and Central BESS in VS'!AD52)</f>
        <v>3662.4319152534908</v>
      </c>
      <c r="C52" s="72" t="s">
        <v>31</v>
      </c>
      <c r="D52" s="53">
        <f t="shared" ref="D52:AD52" si="10">D8-D27</f>
        <v>22.2</v>
      </c>
      <c r="E52" s="53">
        <f t="shared" si="10"/>
        <v>65.8</v>
      </c>
      <c r="F52" s="53">
        <f t="shared" si="10"/>
        <v>102.72</v>
      </c>
      <c r="G52" s="53">
        <f t="shared" si="10"/>
        <v>139.63999999999999</v>
      </c>
      <c r="H52" s="53">
        <f t="shared" si="10"/>
        <v>176.56</v>
      </c>
      <c r="I52" s="53">
        <f t="shared" si="10"/>
        <v>213.48000000000002</v>
      </c>
      <c r="J52" s="53">
        <f t="shared" si="10"/>
        <v>250.4</v>
      </c>
      <c r="K52" s="53">
        <f t="shared" si="10"/>
        <v>216.60000000000014</v>
      </c>
      <c r="L52" s="53">
        <f t="shared" si="10"/>
        <v>182.59999999999991</v>
      </c>
      <c r="M52" s="53">
        <f t="shared" si="10"/>
        <v>151.20000000000005</v>
      </c>
      <c r="N52" s="53">
        <f t="shared" si="10"/>
        <v>202.60000000000014</v>
      </c>
      <c r="O52" s="53">
        <f t="shared" si="10"/>
        <v>292.1666666666668</v>
      </c>
      <c r="P52" s="53">
        <f t="shared" si="10"/>
        <v>381.73333333333346</v>
      </c>
      <c r="Q52" s="53">
        <f t="shared" si="10"/>
        <v>471.30000000000013</v>
      </c>
      <c r="R52" s="53">
        <f t="shared" si="10"/>
        <v>560.86666666666679</v>
      </c>
      <c r="S52" s="53">
        <f t="shared" si="10"/>
        <v>650.43333333333339</v>
      </c>
      <c r="T52" s="53">
        <f t="shared" si="10"/>
        <v>740</v>
      </c>
      <c r="U52" s="53">
        <f t="shared" si="10"/>
        <v>930.87999999999988</v>
      </c>
      <c r="V52" s="53">
        <f t="shared" si="10"/>
        <v>1121.7599999999998</v>
      </c>
      <c r="W52" s="53">
        <f t="shared" si="10"/>
        <v>1312.6399999999996</v>
      </c>
      <c r="X52" s="53">
        <f t="shared" si="10"/>
        <v>1503.5199999999995</v>
      </c>
      <c r="Y52" s="53">
        <f t="shared" si="10"/>
        <v>1694.3999999999994</v>
      </c>
      <c r="Z52" s="53">
        <f t="shared" si="10"/>
        <v>1887.3999999999994</v>
      </c>
      <c r="AA52" s="53">
        <f t="shared" si="10"/>
        <v>2080.3999999999996</v>
      </c>
      <c r="AB52" s="53">
        <f t="shared" si="10"/>
        <v>2273.3999999999996</v>
      </c>
      <c r="AC52" s="53">
        <f t="shared" si="10"/>
        <v>2466.3999999999996</v>
      </c>
      <c r="AD52" s="53">
        <f t="shared" si="10"/>
        <v>2659.3999999999996</v>
      </c>
    </row>
    <row r="53" spans="1:30" x14ac:dyDescent="0.35">
      <c r="A53" s="72" t="s">
        <v>39</v>
      </c>
      <c r="B53" s="10">
        <f>NPV('Cost Assumptions'!$B$3,'SDG&amp;E and Central BESS in VS'!D53:'SDG&amp;E and Central BESS in VS'!AD53)</f>
        <v>603.3370677068466</v>
      </c>
      <c r="C53" s="72" t="s">
        <v>32</v>
      </c>
      <c r="D53" s="53">
        <f t="shared" ref="D53:AD53" si="11">D9-D28</f>
        <v>13</v>
      </c>
      <c r="E53" s="53">
        <f t="shared" si="11"/>
        <v>27</v>
      </c>
      <c r="F53" s="53">
        <f t="shared" si="11"/>
        <v>34.519999999999982</v>
      </c>
      <c r="G53" s="53">
        <f t="shared" si="11"/>
        <v>42.039999999999964</v>
      </c>
      <c r="H53" s="53">
        <f t="shared" si="11"/>
        <v>49.559999999999945</v>
      </c>
      <c r="I53" s="53">
        <f t="shared" si="11"/>
        <v>57.079999999999927</v>
      </c>
      <c r="J53" s="53">
        <f t="shared" si="11"/>
        <v>64.599999999999909</v>
      </c>
      <c r="K53" s="53">
        <f t="shared" si="11"/>
        <v>59.799999999999955</v>
      </c>
      <c r="L53" s="53">
        <f t="shared" si="11"/>
        <v>52.799999999999955</v>
      </c>
      <c r="M53" s="53">
        <f t="shared" si="11"/>
        <v>46</v>
      </c>
      <c r="N53" s="53">
        <f t="shared" si="11"/>
        <v>57.400000000000091</v>
      </c>
      <c r="O53" s="53">
        <f t="shared" si="11"/>
        <v>67.333333333333414</v>
      </c>
      <c r="P53" s="53">
        <f t="shared" si="11"/>
        <v>77.266666666666737</v>
      </c>
      <c r="Q53" s="53">
        <f t="shared" si="11"/>
        <v>87.20000000000006</v>
      </c>
      <c r="R53" s="53">
        <f t="shared" si="11"/>
        <v>97.133333333333383</v>
      </c>
      <c r="S53" s="53">
        <f t="shared" si="11"/>
        <v>107.06666666666671</v>
      </c>
      <c r="T53" s="53">
        <f t="shared" si="11"/>
        <v>117</v>
      </c>
      <c r="U53" s="53">
        <f t="shared" si="11"/>
        <v>126.6</v>
      </c>
      <c r="V53" s="53">
        <f t="shared" si="11"/>
        <v>136.19999999999999</v>
      </c>
      <c r="W53" s="53">
        <f t="shared" si="11"/>
        <v>145.79999999999998</v>
      </c>
      <c r="X53" s="53">
        <f t="shared" si="11"/>
        <v>155.39999999999998</v>
      </c>
      <c r="Y53" s="53">
        <f t="shared" si="11"/>
        <v>165</v>
      </c>
      <c r="Z53" s="53">
        <f t="shared" si="11"/>
        <v>171.84</v>
      </c>
      <c r="AA53" s="53">
        <f t="shared" si="11"/>
        <v>178.68</v>
      </c>
      <c r="AB53" s="53">
        <f t="shared" si="11"/>
        <v>185.52</v>
      </c>
      <c r="AC53" s="53">
        <f t="shared" si="11"/>
        <v>192.36</v>
      </c>
      <c r="AD53" s="53">
        <f t="shared" si="11"/>
        <v>199.20000000000005</v>
      </c>
    </row>
    <row r="54" spans="1:30" x14ac:dyDescent="0.35">
      <c r="A54" s="72" t="s">
        <v>39</v>
      </c>
      <c r="B54" s="10">
        <f>NPV('Cost Assumptions'!$B$3,'SDG&amp;E and Central BESS in VS'!D54:'SDG&amp;E and Central BESS in VS'!AD54)</f>
        <v>54.089806048569208</v>
      </c>
      <c r="C54" s="72" t="s">
        <v>33</v>
      </c>
      <c r="D54" s="53">
        <f t="shared" ref="D54:AD54" si="12">D10-D29</f>
        <v>4.7253529883901121E-2</v>
      </c>
      <c r="E54" s="53">
        <f t="shared" si="12"/>
        <v>0.28011551949195379</v>
      </c>
      <c r="F54" s="53">
        <f t="shared" si="12"/>
        <v>0.59718244793816533</v>
      </c>
      <c r="G54" s="53">
        <f t="shared" si="12"/>
        <v>0.91424937638437687</v>
      </c>
      <c r="H54" s="53">
        <f t="shared" si="12"/>
        <v>1.2313163048305884</v>
      </c>
      <c r="I54" s="53">
        <f t="shared" si="12"/>
        <v>1.5483832332767999</v>
      </c>
      <c r="J54" s="53">
        <f t="shared" si="12"/>
        <v>1.8654501617230115</v>
      </c>
      <c r="K54" s="53">
        <f t="shared" si="12"/>
        <v>1.6136441894137561</v>
      </c>
      <c r="L54" s="53">
        <f t="shared" si="12"/>
        <v>1.1660127779459895</v>
      </c>
      <c r="M54" s="53">
        <f t="shared" si="12"/>
        <v>0.80458713045561225</v>
      </c>
      <c r="N54" s="53">
        <f t="shared" si="12"/>
        <v>0.56680711827214547</v>
      </c>
      <c r="O54" s="53">
        <f t="shared" si="12"/>
        <v>3.0445179689462347</v>
      </c>
      <c r="P54" s="53">
        <f t="shared" si="12"/>
        <v>4.5886299372095039</v>
      </c>
      <c r="Q54" s="53">
        <f t="shared" si="12"/>
        <v>6.1327419054727734</v>
      </c>
      <c r="R54" s="53">
        <f t="shared" si="12"/>
        <v>7.676853873736043</v>
      </c>
      <c r="S54" s="53">
        <f t="shared" si="12"/>
        <v>9.2209658419993126</v>
      </c>
      <c r="T54" s="53">
        <f t="shared" si="12"/>
        <v>10.765077810262582</v>
      </c>
      <c r="U54" s="53">
        <f t="shared" si="12"/>
        <v>11.285969377257926</v>
      </c>
      <c r="V54" s="53">
        <f t="shared" si="12"/>
        <v>11.80686094425327</v>
      </c>
      <c r="W54" s="53">
        <f t="shared" si="12"/>
        <v>12.327752511248613</v>
      </c>
      <c r="X54" s="53">
        <f t="shared" si="12"/>
        <v>12.848644078243957</v>
      </c>
      <c r="Y54" s="53">
        <f t="shared" si="12"/>
        <v>13.369535645239303</v>
      </c>
      <c r="Z54" s="53">
        <f t="shared" si="12"/>
        <v>31.024884631077057</v>
      </c>
      <c r="AA54" s="53">
        <f t="shared" si="12"/>
        <v>48.680233616914812</v>
      </c>
      <c r="AB54" s="53">
        <f t="shared" si="12"/>
        <v>66.335582602752567</v>
      </c>
      <c r="AC54" s="53">
        <f t="shared" si="12"/>
        <v>83.990931588590314</v>
      </c>
      <c r="AD54" s="53">
        <f t="shared" si="12"/>
        <v>101.64628057442808</v>
      </c>
    </row>
    <row r="55" spans="1:30" x14ac:dyDescent="0.35">
      <c r="A55" s="72" t="s">
        <v>39</v>
      </c>
      <c r="B55" s="10">
        <f>NPV('Cost Assumptions'!$B$3,'SDG&amp;E and Central BESS in VS'!D55:'SDG&amp;E and Central BESS in VS'!AD55)</f>
        <v>2.9078711043982364</v>
      </c>
      <c r="C55" s="72" t="s">
        <v>34</v>
      </c>
      <c r="D55" s="53">
        <f t="shared" ref="D55:AD55" si="13">D11-D30</f>
        <v>2.3626764941950561E-2</v>
      </c>
      <c r="E55" s="53">
        <f t="shared" si="13"/>
        <v>7.0028879872988448E-2</v>
      </c>
      <c r="F55" s="53">
        <f t="shared" si="13"/>
        <v>0.10932167994761965</v>
      </c>
      <c r="G55" s="53">
        <f t="shared" si="13"/>
        <v>0.14861448002225086</v>
      </c>
      <c r="H55" s="53">
        <f t="shared" si="13"/>
        <v>0.18790728009688207</v>
      </c>
      <c r="I55" s="53">
        <f t="shared" si="13"/>
        <v>0.22720008017151327</v>
      </c>
      <c r="J55" s="53">
        <f t="shared" si="13"/>
        <v>0.26649288024614448</v>
      </c>
      <c r="K55" s="53">
        <f t="shared" si="13"/>
        <v>0.23052059848767945</v>
      </c>
      <c r="L55" s="53">
        <f t="shared" si="13"/>
        <v>0.19433546299099821</v>
      </c>
      <c r="M55" s="53">
        <f t="shared" si="13"/>
        <v>0.16091742609112245</v>
      </c>
      <c r="N55" s="53">
        <f t="shared" si="13"/>
        <v>4.2212624824281168E-2</v>
      </c>
      <c r="O55" s="53">
        <f t="shared" si="13"/>
        <v>0.30677545020347896</v>
      </c>
      <c r="P55" s="53">
        <f t="shared" si="13"/>
        <v>0.39920718602367722</v>
      </c>
      <c r="Q55" s="53">
        <f t="shared" si="13"/>
        <v>0.49163892184387548</v>
      </c>
      <c r="R55" s="53">
        <f t="shared" si="13"/>
        <v>0.58407065766407373</v>
      </c>
      <c r="S55" s="53">
        <f t="shared" si="13"/>
        <v>0.67650239348427199</v>
      </c>
      <c r="T55" s="53">
        <f t="shared" si="13"/>
        <v>0.76893412930447014</v>
      </c>
      <c r="U55" s="53">
        <f t="shared" si="13"/>
        <v>0.69278283231502535</v>
      </c>
      <c r="V55" s="53">
        <f t="shared" si="13"/>
        <v>0.61663153532558057</v>
      </c>
      <c r="W55" s="53">
        <f t="shared" si="13"/>
        <v>0.54048023833613579</v>
      </c>
      <c r="X55" s="53">
        <f t="shared" si="13"/>
        <v>0.464328941346691</v>
      </c>
      <c r="Y55" s="53">
        <f t="shared" si="13"/>
        <v>0.38817764435724611</v>
      </c>
      <c r="Z55" s="53">
        <f t="shared" si="13"/>
        <v>0.85998146994216484</v>
      </c>
      <c r="AA55" s="53">
        <f t="shared" si="13"/>
        <v>1.3317852955270837</v>
      </c>
      <c r="AB55" s="53">
        <f t="shared" si="13"/>
        <v>1.8035891211120025</v>
      </c>
      <c r="AC55" s="53">
        <f t="shared" si="13"/>
        <v>2.2753929466969214</v>
      </c>
      <c r="AD55" s="53">
        <f t="shared" si="13"/>
        <v>2.74719677228184</v>
      </c>
    </row>
    <row r="56" spans="1:30" x14ac:dyDescent="0.35">
      <c r="A56" s="72" t="s">
        <v>39</v>
      </c>
      <c r="B56" s="10">
        <f>NPV('Cost Assumptions'!$B$3,'SDG&amp;E and Central BESS in VS'!D56:'SDG&amp;E and Central BESS in VS'!AD56)</f>
        <v>81.976482418430209</v>
      </c>
      <c r="C56" s="72" t="s">
        <v>35</v>
      </c>
      <c r="D56" s="53">
        <f t="shared" ref="D56:AD56" si="14">D12-D31</f>
        <v>2</v>
      </c>
      <c r="E56" s="53">
        <f t="shared" si="14"/>
        <v>4</v>
      </c>
      <c r="F56" s="53">
        <f t="shared" si="14"/>
        <v>4.5999999999999996</v>
      </c>
      <c r="G56" s="53">
        <f t="shared" si="14"/>
        <v>5.1999999999999993</v>
      </c>
      <c r="H56" s="53">
        <f t="shared" si="14"/>
        <v>5.7999999999999989</v>
      </c>
      <c r="I56" s="53">
        <f t="shared" si="14"/>
        <v>6.3999999999999986</v>
      </c>
      <c r="J56" s="53">
        <f t="shared" si="14"/>
        <v>7</v>
      </c>
      <c r="K56" s="53">
        <f t="shared" si="14"/>
        <v>7</v>
      </c>
      <c r="L56" s="53">
        <f t="shared" si="14"/>
        <v>6</v>
      </c>
      <c r="M56" s="53">
        <f t="shared" si="14"/>
        <v>5</v>
      </c>
      <c r="N56" s="53">
        <f t="shared" si="14"/>
        <v>7</v>
      </c>
      <c r="O56" s="53">
        <f t="shared" si="14"/>
        <v>8.1666666666666661</v>
      </c>
      <c r="P56" s="53">
        <f t="shared" si="14"/>
        <v>9.3333333333333321</v>
      </c>
      <c r="Q56" s="53">
        <f t="shared" si="14"/>
        <v>10.499999999999998</v>
      </c>
      <c r="R56" s="53">
        <f t="shared" si="14"/>
        <v>11.666666666666664</v>
      </c>
      <c r="S56" s="53">
        <f t="shared" si="14"/>
        <v>12.83333333333333</v>
      </c>
      <c r="T56" s="53">
        <f t="shared" si="14"/>
        <v>14</v>
      </c>
      <c r="U56" s="53">
        <f t="shared" si="14"/>
        <v>17</v>
      </c>
      <c r="V56" s="53">
        <f t="shared" si="14"/>
        <v>20</v>
      </c>
      <c r="W56" s="53">
        <f t="shared" si="14"/>
        <v>23</v>
      </c>
      <c r="X56" s="53">
        <f t="shared" si="14"/>
        <v>26</v>
      </c>
      <c r="Y56" s="53">
        <f t="shared" si="14"/>
        <v>29</v>
      </c>
      <c r="Z56" s="53">
        <f t="shared" si="14"/>
        <v>30.6</v>
      </c>
      <c r="AA56" s="53">
        <f t="shared" si="14"/>
        <v>32.200000000000003</v>
      </c>
      <c r="AB56" s="53">
        <f t="shared" si="14"/>
        <v>33.800000000000004</v>
      </c>
      <c r="AC56" s="53">
        <f t="shared" si="14"/>
        <v>35.400000000000006</v>
      </c>
      <c r="AD56" s="53">
        <f t="shared" si="14"/>
        <v>37</v>
      </c>
    </row>
    <row r="58" spans="1:30" ht="15" thickBot="1" x14ac:dyDescent="0.4">
      <c r="A58" s="177" t="s">
        <v>143</v>
      </c>
      <c r="B58" s="177"/>
      <c r="C58" s="177"/>
      <c r="D58" s="177"/>
      <c r="E58" s="177"/>
      <c r="F58" s="177"/>
      <c r="G58" s="177"/>
      <c r="H58" s="177"/>
      <c r="I58" s="177"/>
      <c r="J58" s="177"/>
      <c r="K58" s="177"/>
      <c r="L58" s="177"/>
      <c r="M58" s="177"/>
      <c r="N58" s="177"/>
      <c r="O58" s="177"/>
      <c r="P58" s="177"/>
      <c r="Q58" s="177"/>
      <c r="R58" s="177"/>
      <c r="S58" s="177"/>
      <c r="T58" s="177"/>
      <c r="U58" s="177"/>
      <c r="V58" s="177"/>
      <c r="W58" s="177"/>
      <c r="X58" s="177"/>
      <c r="Y58" s="177"/>
      <c r="Z58" s="177"/>
      <c r="AA58" s="177"/>
      <c r="AB58" s="177"/>
      <c r="AC58" s="177"/>
      <c r="AD58" s="177"/>
    </row>
    <row r="59" spans="1:30" ht="15.5" thickTop="1" thickBot="1" x14ac:dyDescent="0.4">
      <c r="A59" s="177"/>
      <c r="B59" s="177"/>
      <c r="C59" s="177"/>
      <c r="D59" s="177"/>
      <c r="E59" s="177"/>
      <c r="F59" s="177"/>
      <c r="G59" s="177"/>
      <c r="H59" s="177"/>
      <c r="I59" s="177"/>
      <c r="J59" s="177"/>
      <c r="K59" s="177"/>
      <c r="L59" s="177"/>
      <c r="M59" s="177"/>
      <c r="N59" s="177"/>
      <c r="O59" s="177"/>
      <c r="P59" s="177"/>
      <c r="Q59" s="177"/>
      <c r="R59" s="177"/>
      <c r="S59" s="177"/>
      <c r="T59" s="177"/>
      <c r="U59" s="177"/>
      <c r="V59" s="177"/>
      <c r="W59" s="177"/>
      <c r="X59" s="177"/>
      <c r="Y59" s="177"/>
      <c r="Z59" s="177"/>
      <c r="AA59" s="177"/>
      <c r="AB59" s="177"/>
      <c r="AC59" s="177"/>
      <c r="AD59" s="177"/>
    </row>
    <row r="60" spans="1:30" ht="15" thickTop="1" x14ac:dyDescent="0.35">
      <c r="A60" s="72" t="str">
        <f>'Baseline System Analysis'!A17</f>
        <v>Residential</v>
      </c>
      <c r="B60" s="72" t="str">
        <f>'Baseline System Analysis'!B17</f>
        <v>Cost of Reliability (N-1)</v>
      </c>
      <c r="C60" s="72" t="str">
        <f>'Baseline System Analysis'!C17</f>
        <v>$/kWh</v>
      </c>
      <c r="D60" s="4">
        <f>'Baseline System Analysis'!D17</f>
        <v>4.4933261328125003</v>
      </c>
      <c r="E60" s="4">
        <f>'Baseline System Analysis'!E17</f>
        <v>4.6056592861328127</v>
      </c>
      <c r="F60" s="4">
        <f>'Baseline System Analysis'!F17</f>
        <v>4.720800768286133</v>
      </c>
      <c r="G60" s="4">
        <f>'Baseline System Analysis'!G17</f>
        <v>4.8388207874932858</v>
      </c>
      <c r="H60" s="4">
        <f>'Baseline System Analysis'!H17</f>
        <v>4.9597913071806179</v>
      </c>
      <c r="I60" s="4">
        <f>'Baseline System Analysis'!I17</f>
        <v>5.0837860898601326</v>
      </c>
      <c r="J60" s="4">
        <f>'Baseline System Analysis'!J17</f>
        <v>5.2108807421066352</v>
      </c>
      <c r="K60" s="4">
        <f>'Baseline System Analysis'!K17</f>
        <v>5.341152760659301</v>
      </c>
      <c r="L60" s="4">
        <f>'Baseline System Analysis'!L17</f>
        <v>5.4746815796757833</v>
      </c>
      <c r="M60" s="4">
        <f>'Baseline System Analysis'!M17</f>
        <v>5.6115486191676771</v>
      </c>
      <c r="N60" s="4">
        <f>'Baseline System Analysis'!N17</f>
        <v>5.7518373346468685</v>
      </c>
      <c r="O60" s="4">
        <f>'Baseline System Analysis'!O17</f>
        <v>5.8956332680130394</v>
      </c>
      <c r="P60" s="4">
        <f>'Baseline System Analysis'!P17</f>
        <v>6.0430240997133646</v>
      </c>
      <c r="Q60" s="4">
        <f>'Baseline System Analysis'!Q17</f>
        <v>6.1940997022061985</v>
      </c>
      <c r="R60" s="4">
        <f>'Baseline System Analysis'!R17</f>
        <v>6.3489521947613525</v>
      </c>
      <c r="S60" s="4">
        <f>'Baseline System Analysis'!S17</f>
        <v>6.5076759996303855</v>
      </c>
      <c r="T60" s="4">
        <f>'Baseline System Analysis'!T17</f>
        <v>6.6703678996211444</v>
      </c>
      <c r="U60" s="4">
        <f>'Baseline System Analysis'!U17</f>
        <v>6.8371270971116722</v>
      </c>
      <c r="V60" s="4">
        <f>'Baseline System Analysis'!V17</f>
        <v>7.0080552745394638</v>
      </c>
      <c r="W60" s="4">
        <f>'Baseline System Analysis'!W17</f>
        <v>7.1832566564029499</v>
      </c>
      <c r="X60" s="4">
        <f>'Baseline System Analysis'!X17</f>
        <v>7.3628380728130232</v>
      </c>
      <c r="Y60" s="4">
        <f>'Baseline System Analysis'!Y17</f>
        <v>7.5469090246333481</v>
      </c>
      <c r="Z60" s="4">
        <f>'Baseline System Analysis'!Z17</f>
        <v>7.7355817502491808</v>
      </c>
      <c r="AA60" s="4">
        <f>'Baseline System Analysis'!AA17</f>
        <v>7.92897129400541</v>
      </c>
      <c r="AB60" s="4">
        <f>'Baseline System Analysis'!AB17</f>
        <v>8.127195576355545</v>
      </c>
      <c r="AC60" s="4">
        <f>'Baseline System Analysis'!AC17</f>
        <v>8.3303754657644333</v>
      </c>
      <c r="AD60" s="4">
        <f>'Baseline System Analysis'!AD17</f>
        <v>8.5386348524085438</v>
      </c>
    </row>
    <row r="61" spans="1:30" x14ac:dyDescent="0.35">
      <c r="A61" s="72" t="str">
        <f>'Baseline System Analysis'!A18</f>
        <v>Residential</v>
      </c>
      <c r="B61" s="72" t="str">
        <f>'Baseline System Analysis'!B18</f>
        <v>Cost of Reliability (N-0)</v>
      </c>
      <c r="C61" s="72" t="str">
        <f>'Baseline System Analysis'!C18</f>
        <v>$/kWh</v>
      </c>
      <c r="D61" s="4">
        <f>'Baseline System Analysis'!D18</f>
        <v>3.7920011132812497</v>
      </c>
      <c r="E61" s="4">
        <f>'Baseline System Analysis'!E18</f>
        <v>3.8868011411132808</v>
      </c>
      <c r="F61" s="4">
        <f>'Baseline System Analysis'!F18</f>
        <v>3.9839711696411126</v>
      </c>
      <c r="G61" s="4">
        <f>'Baseline System Analysis'!G18</f>
        <v>4.0835704488821403</v>
      </c>
      <c r="H61" s="4">
        <f>'Baseline System Analysis'!H18</f>
        <v>4.1856597101041935</v>
      </c>
      <c r="I61" s="4">
        <f>'Baseline System Analysis'!I18</f>
        <v>4.2903012028567975</v>
      </c>
      <c r="J61" s="4">
        <f>'Baseline System Analysis'!J18</f>
        <v>4.3975587329282169</v>
      </c>
      <c r="K61" s="4">
        <f>'Baseline System Analysis'!K18</f>
        <v>4.5074977012514221</v>
      </c>
      <c r="L61" s="4">
        <f>'Baseline System Analysis'!L18</f>
        <v>4.6201851437827068</v>
      </c>
      <c r="M61" s="4">
        <f>'Baseline System Analysis'!M18</f>
        <v>4.735689772377274</v>
      </c>
      <c r="N61" s="4">
        <f>'Baseline System Analysis'!N18</f>
        <v>4.8540820166867054</v>
      </c>
      <c r="O61" s="4">
        <f>'Baseline System Analysis'!O18</f>
        <v>4.9754340671038726</v>
      </c>
      <c r="P61" s="4">
        <f>'Baseline System Analysis'!P18</f>
        <v>5.0998199187814688</v>
      </c>
      <c r="Q61" s="4">
        <f>'Baseline System Analysis'!Q18</f>
        <v>5.2273154167510052</v>
      </c>
      <c r="R61" s="4">
        <f>'Baseline System Analysis'!R18</f>
        <v>5.3579983021697801</v>
      </c>
      <c r="S61" s="4">
        <f>'Baseline System Analysis'!S18</f>
        <v>5.4919482597240243</v>
      </c>
      <c r="T61" s="4">
        <f>'Baseline System Analysis'!T18</f>
        <v>5.6292469662171243</v>
      </c>
      <c r="U61" s="4">
        <f>'Baseline System Analysis'!U18</f>
        <v>5.7699781403725519</v>
      </c>
      <c r="V61" s="4">
        <f>'Baseline System Analysis'!V18</f>
        <v>5.9142275938818649</v>
      </c>
      <c r="W61" s="4">
        <f>'Baseline System Analysis'!W18</f>
        <v>6.0620832837289109</v>
      </c>
      <c r="X61" s="4">
        <f>'Baseline System Analysis'!X18</f>
        <v>6.2136353658221335</v>
      </c>
      <c r="Y61" s="4">
        <f>'Baseline System Analysis'!Y18</f>
        <v>6.3689762499676865</v>
      </c>
      <c r="Z61" s="4">
        <f>'Baseline System Analysis'!Z18</f>
        <v>6.5282006562168782</v>
      </c>
      <c r="AA61" s="4">
        <f>'Baseline System Analysis'!AA18</f>
        <v>6.6914056726222997</v>
      </c>
      <c r="AB61" s="4">
        <f>'Baseline System Analysis'!AB18</f>
        <v>6.8586908144378569</v>
      </c>
      <c r="AC61" s="4">
        <f>'Baseline System Analysis'!AC18</f>
        <v>7.0301580847988028</v>
      </c>
      <c r="AD61" s="4">
        <f>'Baseline System Analysis'!AD18</f>
        <v>7.2059120369187726</v>
      </c>
    </row>
    <row r="62" spans="1:30" x14ac:dyDescent="0.35">
      <c r="A62" s="72" t="str">
        <f>'Baseline System Analysis'!A19</f>
        <v>Commerical</v>
      </c>
      <c r="B62" s="72" t="str">
        <f>'Baseline System Analysis'!B19</f>
        <v>Cost of Reliability (N-1)</v>
      </c>
      <c r="C62" s="72" t="str">
        <f>'Baseline System Analysis'!C19</f>
        <v>$/kWh</v>
      </c>
      <c r="D62" s="4">
        <f>'Baseline System Analysis'!D19</f>
        <v>166.59767191406246</v>
      </c>
      <c r="E62" s="4">
        <f>'Baseline System Analysis'!E19</f>
        <v>170.76261371191401</v>
      </c>
      <c r="F62" s="4">
        <f>'Baseline System Analysis'!F19</f>
        <v>175.03167905471184</v>
      </c>
      <c r="G62" s="4">
        <f>'Baseline System Analysis'!G19</f>
        <v>179.40747103107964</v>
      </c>
      <c r="H62" s="4">
        <f>'Baseline System Analysis'!H19</f>
        <v>183.89265780685662</v>
      </c>
      <c r="I62" s="4">
        <f>'Baseline System Analysis'!I19</f>
        <v>188.48997425202802</v>
      </c>
      <c r="J62" s="4">
        <f>'Baseline System Analysis'!J19</f>
        <v>193.20222360832869</v>
      </c>
      <c r="K62" s="4">
        <f>'Baseline System Analysis'!K19</f>
        <v>198.03227919853688</v>
      </c>
      <c r="L62" s="4">
        <f>'Baseline System Analysis'!L19</f>
        <v>202.98308617850029</v>
      </c>
      <c r="M62" s="4">
        <f>'Baseline System Analysis'!M19</f>
        <v>208.05766333296279</v>
      </c>
      <c r="N62" s="4">
        <f>'Baseline System Analysis'!N19</f>
        <v>213.25910491628684</v>
      </c>
      <c r="O62" s="4">
        <f>'Baseline System Analysis'!O19</f>
        <v>218.590582539194</v>
      </c>
      <c r="P62" s="4">
        <f>'Baseline System Analysis'!P19</f>
        <v>224.05534710267384</v>
      </c>
      <c r="Q62" s="4">
        <f>'Baseline System Analysis'!Q19</f>
        <v>229.65673078024065</v>
      </c>
      <c r="R62" s="4">
        <f>'Baseline System Analysis'!R19</f>
        <v>235.39814904974665</v>
      </c>
      <c r="S62" s="4">
        <f>'Baseline System Analysis'!S19</f>
        <v>241.2831027759903</v>
      </c>
      <c r="T62" s="4">
        <f>'Baseline System Analysis'!T19</f>
        <v>247.31518034539005</v>
      </c>
      <c r="U62" s="4">
        <f>'Baseline System Analysis'!U19</f>
        <v>253.49805985402477</v>
      </c>
      <c r="V62" s="4">
        <f>'Baseline System Analysis'!V19</f>
        <v>259.83551135037538</v>
      </c>
      <c r="W62" s="4">
        <f>'Baseline System Analysis'!W19</f>
        <v>266.33139913413476</v>
      </c>
      <c r="X62" s="4">
        <f>'Baseline System Analysis'!X19</f>
        <v>272.98968411248808</v>
      </c>
      <c r="Y62" s="4">
        <f>'Baseline System Analysis'!Y19</f>
        <v>279.81442621530027</v>
      </c>
      <c r="Z62" s="4">
        <f>'Baseline System Analysis'!Z19</f>
        <v>286.80978687068273</v>
      </c>
      <c r="AA62" s="4">
        <f>'Baseline System Analysis'!AA19</f>
        <v>293.98003154244975</v>
      </c>
      <c r="AB62" s="4">
        <f>'Baseline System Analysis'!AB19</f>
        <v>301.32953233101097</v>
      </c>
      <c r="AC62" s="4">
        <f>'Baseline System Analysis'!AC19</f>
        <v>308.86277063928623</v>
      </c>
      <c r="AD62" s="4">
        <f>'Baseline System Analysis'!AD19</f>
        <v>316.58433990526834</v>
      </c>
    </row>
    <row r="63" spans="1:30" x14ac:dyDescent="0.35">
      <c r="A63" s="72" t="str">
        <f>'Baseline System Analysis'!A20</f>
        <v>Commerical</v>
      </c>
      <c r="B63" s="72" t="str">
        <f>'Baseline System Analysis'!B20</f>
        <v>Cost of Reliability (N-0)</v>
      </c>
      <c r="C63" s="72" t="str">
        <f>'Baseline System Analysis'!C20</f>
        <v>$/kWh</v>
      </c>
      <c r="D63" s="4">
        <f>'Baseline System Analysis'!D20</f>
        <v>153.83719106445315</v>
      </c>
      <c r="E63" s="4">
        <f>'Baseline System Analysis'!E20</f>
        <v>157.68312084106446</v>
      </c>
      <c r="F63" s="4">
        <f>'Baseline System Analysis'!F20</f>
        <v>161.62519886209105</v>
      </c>
      <c r="G63" s="4">
        <f>'Baseline System Analysis'!G20</f>
        <v>165.6658288336433</v>
      </c>
      <c r="H63" s="4">
        <f>'Baseline System Analysis'!H20</f>
        <v>169.80747455448437</v>
      </c>
      <c r="I63" s="4">
        <f>'Baseline System Analysis'!I20</f>
        <v>174.05266141834647</v>
      </c>
      <c r="J63" s="4">
        <f>'Baseline System Analysis'!J20</f>
        <v>178.40397795380511</v>
      </c>
      <c r="K63" s="4">
        <f>'Baseline System Analysis'!K20</f>
        <v>182.86407740265022</v>
      </c>
      <c r="L63" s="4">
        <f>'Baseline System Analysis'!L20</f>
        <v>187.43567933771646</v>
      </c>
      <c r="M63" s="4">
        <f>'Baseline System Analysis'!M20</f>
        <v>192.12157132115937</v>
      </c>
      <c r="N63" s="4">
        <f>'Baseline System Analysis'!N20</f>
        <v>196.92461060418833</v>
      </c>
      <c r="O63" s="4">
        <f>'Baseline System Analysis'!O20</f>
        <v>201.84772586929301</v>
      </c>
      <c r="P63" s="4">
        <f>'Baseline System Analysis'!P20</f>
        <v>206.89391901602534</v>
      </c>
      <c r="Q63" s="4">
        <f>'Baseline System Analysis'!Q20</f>
        <v>212.06626699142595</v>
      </c>
      <c r="R63" s="4">
        <f>'Baseline System Analysis'!R20</f>
        <v>217.36792366621157</v>
      </c>
      <c r="S63" s="4">
        <f>'Baseline System Analysis'!S20</f>
        <v>222.80212175786684</v>
      </c>
      <c r="T63" s="4">
        <f>'Baseline System Analysis'!T20</f>
        <v>228.37217480181349</v>
      </c>
      <c r="U63" s="4">
        <f>'Baseline System Analysis'!U20</f>
        <v>234.0814791718588</v>
      </c>
      <c r="V63" s="4">
        <f>'Baseline System Analysis'!V20</f>
        <v>239.93351615115526</v>
      </c>
      <c r="W63" s="4">
        <f>'Baseline System Analysis'!W20</f>
        <v>245.93185405493412</v>
      </c>
      <c r="X63" s="4">
        <f>'Baseline System Analysis'!X20</f>
        <v>252.08015040630744</v>
      </c>
      <c r="Y63" s="4">
        <f>'Baseline System Analysis'!Y20</f>
        <v>258.38215416646511</v>
      </c>
      <c r="Z63" s="4">
        <f>'Baseline System Analysis'!Z20</f>
        <v>264.8417080206267</v>
      </c>
      <c r="AA63" s="4">
        <f>'Baseline System Analysis'!AA20</f>
        <v>271.46275072114236</v>
      </c>
      <c r="AB63" s="4">
        <f>'Baseline System Analysis'!AB20</f>
        <v>278.24931948917089</v>
      </c>
      <c r="AC63" s="4">
        <f>'Baseline System Analysis'!AC20</f>
        <v>285.20555247640016</v>
      </c>
      <c r="AD63" s="4">
        <f>'Baseline System Analysis'!AD20</f>
        <v>292.33569128831016</v>
      </c>
    </row>
    <row r="65" spans="1:30" x14ac:dyDescent="0.35">
      <c r="A65" s="72" t="s">
        <v>117</v>
      </c>
      <c r="B65" s="72" t="s">
        <v>31</v>
      </c>
      <c r="C65" s="18">
        <f>NPV('Cost Assumptions'!$B$3,D65:AD65)</f>
        <v>355030.5479033211</v>
      </c>
      <c r="D65" s="4">
        <f>'Baseline System Analysis'!D24-D34</f>
        <v>1354.9655166582397</v>
      </c>
      <c r="E65" s="4">
        <f>'Baseline System Analysis'!E24-E34</f>
        <v>3468.8297365152371</v>
      </c>
      <c r="F65" s="4">
        <f>'Baseline System Analysis'!F24-F34</f>
        <v>5582.6939563722344</v>
      </c>
      <c r="G65" s="4">
        <f>'Baseline System Analysis'!G24-G34</f>
        <v>7696.5581762292313</v>
      </c>
      <c r="H65" s="4">
        <f>'Baseline System Analysis'!H24-H34</f>
        <v>9810.4223960862291</v>
      </c>
      <c r="I65" s="4">
        <f>'Baseline System Analysis'!I24-I34</f>
        <v>11924.286615943227</v>
      </c>
      <c r="J65" s="4">
        <f>'Baseline System Analysis'!J24-J34</f>
        <v>14038.150835800225</v>
      </c>
      <c r="K65" s="4">
        <f>'Baseline System Analysis'!K24-K34</f>
        <v>12087.145216369783</v>
      </c>
      <c r="L65" s="4">
        <f>'Baseline System Analysis'!L24-L34</f>
        <v>10461.587725478241</v>
      </c>
      <c r="M65" s="4">
        <f>'Baseline System Analysis'!M24-M34</f>
        <v>8610.5229271837234</v>
      </c>
      <c r="N65" s="4">
        <f>'Baseline System Analysis'!N24-N34</f>
        <v>12532.452943108336</v>
      </c>
      <c r="O65" s="4">
        <f>'Baseline System Analysis'!O24-O34</f>
        <v>19218.807474313555</v>
      </c>
      <c r="P65" s="4">
        <f>'Baseline System Analysis'!P24-P34</f>
        <v>25905.162005518774</v>
      </c>
      <c r="Q65" s="4">
        <f>'Baseline System Analysis'!Q24-Q34</f>
        <v>32591.516536723993</v>
      </c>
      <c r="R65" s="4">
        <f>'Baseline System Analysis'!R24-R34</f>
        <v>39277.871067929213</v>
      </c>
      <c r="S65" s="4">
        <f>'Baseline System Analysis'!S24-S34</f>
        <v>45964.225599134428</v>
      </c>
      <c r="T65" s="4">
        <f>'Baseline System Analysis'!T24-T34</f>
        <v>52650.580130339644</v>
      </c>
      <c r="U65" s="4">
        <f>'Baseline System Analysis'!U24-U34</f>
        <v>81297.38310850531</v>
      </c>
      <c r="V65" s="4">
        <f>'Baseline System Analysis'!V24-V34</f>
        <v>109944.18608667096</v>
      </c>
      <c r="W65" s="4">
        <f>'Baseline System Analysis'!W24-W34</f>
        <v>138590.98906483661</v>
      </c>
      <c r="X65" s="4">
        <f>'Baseline System Analysis'!X24-X34</f>
        <v>167237.79204300226</v>
      </c>
      <c r="Y65" s="4">
        <f>'Baseline System Analysis'!Y24-Y34</f>
        <v>195884.59502116792</v>
      </c>
      <c r="Z65" s="4">
        <f>'Baseline System Analysis'!Z24-Z34</f>
        <v>242156.07270348849</v>
      </c>
      <c r="AA65" s="4">
        <f>'Baseline System Analysis'!AA24-AA34</f>
        <v>288427.55038580904</v>
      </c>
      <c r="AB65" s="4">
        <f>'Baseline System Analysis'!AB24-AB34</f>
        <v>334699.02806812961</v>
      </c>
      <c r="AC65" s="4">
        <f>'Baseline System Analysis'!AC24-AC34</f>
        <v>380970.50575045019</v>
      </c>
      <c r="AD65" s="4">
        <f>'Baseline System Analysis'!AD24-AD34</f>
        <v>427241.98343277076</v>
      </c>
    </row>
    <row r="66" spans="1:30" x14ac:dyDescent="0.35">
      <c r="A66" s="72" t="s">
        <v>119</v>
      </c>
      <c r="B66" s="72" t="s">
        <v>31</v>
      </c>
      <c r="C66" s="18">
        <f>NPV('Cost Assumptions'!$B$3,D66:AD66)</f>
        <v>1473194.2273670784</v>
      </c>
      <c r="D66" s="4">
        <f>'Baseline System Analysis'!D25-D35</f>
        <v>5622.4102100812415</v>
      </c>
      <c r="E66" s="4">
        <f>'Baseline System Analysis'!E25-E35</f>
        <v>14393.85983468976</v>
      </c>
      <c r="F66" s="4">
        <f>'Baseline System Analysis'!F25-F35</f>
        <v>23165.309459298278</v>
      </c>
      <c r="G66" s="4">
        <f>'Baseline System Analysis'!G25-G35</f>
        <v>31936.759083906796</v>
      </c>
      <c r="H66" s="4">
        <f>'Baseline System Analysis'!H25-H35</f>
        <v>40708.208708515318</v>
      </c>
      <c r="I66" s="4">
        <f>'Baseline System Analysis'!I25-I35</f>
        <v>49479.658333123836</v>
      </c>
      <c r="J66" s="4">
        <f>'Baseline System Analysis'!J25-J35</f>
        <v>58251.107957732347</v>
      </c>
      <c r="K66" s="4">
        <f>'Baseline System Analysis'!K25-K35</f>
        <v>50155.437787715477</v>
      </c>
      <c r="L66" s="4">
        <f>'Baseline System Analysis'!L25-L35</f>
        <v>43410.210015127152</v>
      </c>
      <c r="M66" s="4">
        <f>'Baseline System Analysis'!M25-M35</f>
        <v>35729.242866146844</v>
      </c>
      <c r="N66" s="4">
        <f>'Baseline System Analysis'!N25-N35</f>
        <v>52003.235889336414</v>
      </c>
      <c r="O66" s="4">
        <f>'Baseline System Analysis'!O25-O35</f>
        <v>79748.169263868404</v>
      </c>
      <c r="P66" s="4">
        <f>'Baseline System Analysis'!P25-P35</f>
        <v>107493.10263840039</v>
      </c>
      <c r="Q66" s="4">
        <f>'Baseline System Analysis'!Q25-Q35</f>
        <v>135238.03601293237</v>
      </c>
      <c r="R66" s="4">
        <f>'Baseline System Analysis'!R25-R35</f>
        <v>162982.96938746434</v>
      </c>
      <c r="S66" s="4">
        <f>'Baseline System Analysis'!S25-S35</f>
        <v>190727.90276199632</v>
      </c>
      <c r="T66" s="4">
        <f>'Baseline System Analysis'!T25-T35</f>
        <v>218472.83613652832</v>
      </c>
      <c r="U66" s="4">
        <f>'Baseline System Analysis'!U25-U35</f>
        <v>337342.33913897944</v>
      </c>
      <c r="V66" s="4">
        <f>'Baseline System Analysis'!V25-V35</f>
        <v>456211.84214143053</v>
      </c>
      <c r="W66" s="4">
        <f>'Baseline System Analysis'!W25-W35</f>
        <v>575081.34514388163</v>
      </c>
      <c r="X66" s="4">
        <f>'Baseline System Analysis'!X25-X35</f>
        <v>693950.84814633278</v>
      </c>
      <c r="Y66" s="4">
        <f>'Baseline System Analysis'!Y25-Y35</f>
        <v>812820.35114878381</v>
      </c>
      <c r="Z66" s="4">
        <f>'Baseline System Analysis'!Z25-Z35</f>
        <v>1004823.1920758745</v>
      </c>
      <c r="AA66" s="4">
        <f>'Baseline System Analysis'!AA25-AA35</f>
        <v>1196826.0330029654</v>
      </c>
      <c r="AB66" s="4">
        <f>'Baseline System Analysis'!AB25-AB35</f>
        <v>1388828.8739300561</v>
      </c>
      <c r="AC66" s="4">
        <f>'Baseline System Analysis'!AC25-AC35</f>
        <v>1580831.7148571468</v>
      </c>
      <c r="AD66" s="4">
        <f>'Baseline System Analysis'!AD25-AD35</f>
        <v>1772834.5557842376</v>
      </c>
    </row>
    <row r="67" spans="1:30" x14ac:dyDescent="0.35">
      <c r="A67" s="72" t="s">
        <v>24</v>
      </c>
      <c r="B67" s="72" t="s">
        <v>31</v>
      </c>
      <c r="C67" s="18">
        <f>NPV('Cost Assumptions'!$B$3,D67:AD67)</f>
        <v>1828224.7752703994</v>
      </c>
      <c r="D67" s="4">
        <f>SUM(D65:D66)</f>
        <v>6977.3757267394813</v>
      </c>
      <c r="E67" s="4">
        <f t="shared" ref="E67:AD67" si="15">SUM(E65:E66)</f>
        <v>17862.689571204995</v>
      </c>
      <c r="F67" s="4">
        <f t="shared" si="15"/>
        <v>28748.003415670511</v>
      </c>
      <c r="G67" s="4">
        <f t="shared" si="15"/>
        <v>39633.317260136027</v>
      </c>
      <c r="H67" s="4">
        <f t="shared" si="15"/>
        <v>50518.631104601547</v>
      </c>
      <c r="I67" s="4">
        <f t="shared" si="15"/>
        <v>61403.944949067067</v>
      </c>
      <c r="J67" s="4">
        <f t="shared" si="15"/>
        <v>72289.258793532572</v>
      </c>
      <c r="K67" s="4">
        <f t="shared" si="15"/>
        <v>62242.58300408526</v>
      </c>
      <c r="L67" s="4">
        <f t="shared" si="15"/>
        <v>53871.797740605391</v>
      </c>
      <c r="M67" s="4">
        <f t="shared" si="15"/>
        <v>44339.765793330567</v>
      </c>
      <c r="N67" s="4">
        <f t="shared" si="15"/>
        <v>64535.68883244475</v>
      </c>
      <c r="O67" s="4">
        <f t="shared" si="15"/>
        <v>98966.976738181955</v>
      </c>
      <c r="P67" s="4">
        <f t="shared" si="15"/>
        <v>133398.26464391916</v>
      </c>
      <c r="Q67" s="4">
        <f t="shared" si="15"/>
        <v>167829.55254965636</v>
      </c>
      <c r="R67" s="4">
        <f t="shared" si="15"/>
        <v>202260.84045539354</v>
      </c>
      <c r="S67" s="4">
        <f t="shared" si="15"/>
        <v>236692.12836113074</v>
      </c>
      <c r="T67" s="4">
        <f t="shared" si="15"/>
        <v>271123.41626686795</v>
      </c>
      <c r="U67" s="4">
        <f t="shared" si="15"/>
        <v>418639.72224748472</v>
      </c>
      <c r="V67" s="4">
        <f t="shared" si="15"/>
        <v>566156.02822810155</v>
      </c>
      <c r="W67" s="4">
        <f t="shared" si="15"/>
        <v>713672.33420871827</v>
      </c>
      <c r="X67" s="4">
        <f t="shared" si="15"/>
        <v>861188.64018933498</v>
      </c>
      <c r="Y67" s="4">
        <f t="shared" si="15"/>
        <v>1008704.9461699517</v>
      </c>
      <c r="Z67" s="4">
        <f t="shared" si="15"/>
        <v>1246979.2647793631</v>
      </c>
      <c r="AA67" s="4">
        <f t="shared" si="15"/>
        <v>1485253.5833887744</v>
      </c>
      <c r="AB67" s="4">
        <f t="shared" si="15"/>
        <v>1723527.9019981858</v>
      </c>
      <c r="AC67" s="4">
        <f t="shared" si="15"/>
        <v>1961802.2206075969</v>
      </c>
      <c r="AD67" s="4">
        <f t="shared" si="15"/>
        <v>2200076.5392170083</v>
      </c>
    </row>
    <row r="68" spans="1:30" x14ac:dyDescent="0.35">
      <c r="A68" s="72"/>
      <c r="B68" s="72"/>
      <c r="C68" s="72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</row>
    <row r="69" spans="1:30" x14ac:dyDescent="0.35">
      <c r="A69" s="72" t="s">
        <v>120</v>
      </c>
      <c r="B69" s="72" t="s">
        <v>31</v>
      </c>
      <c r="C69" s="18">
        <f>NPV('Cost Assumptions'!$B$3,D69:AD69)</f>
        <v>24322736.867207415</v>
      </c>
      <c r="D69" s="4">
        <f>'Baseline System Analysis'!D28-D32</f>
        <v>160311.2620318876</v>
      </c>
      <c r="E69" s="4">
        <f>'Baseline System Analysis'!E28-E32</f>
        <v>426681.41358302307</v>
      </c>
      <c r="F69" s="4">
        <f>'Baseline System Analysis'!F28-F32</f>
        <v>622797.58403751405</v>
      </c>
      <c r="G69" s="4">
        <f>'Baseline System Analysis'!G28-G32</f>
        <v>833710.68965832237</v>
      </c>
      <c r="H69" s="4">
        <f>'Baseline System Analysis'!H28-H32</f>
        <v>1064544.9637495263</v>
      </c>
      <c r="I69" s="4">
        <f>'Baseline System Analysis'!I28-I32</f>
        <v>1155248.1483230039</v>
      </c>
      <c r="J69" s="4">
        <f>'Baseline System Analysis'!J28-J32</f>
        <v>1567795.6535710837</v>
      </c>
      <c r="K69" s="4">
        <f>'Baseline System Analysis'!K28-K32</f>
        <v>1347745.4554885479</v>
      </c>
      <c r="L69" s="4">
        <f>'Baseline System Analysis'!L28-L32</f>
        <v>1143199.8672408643</v>
      </c>
      <c r="M69" s="4">
        <f>'Baseline System Analysis'!M28-M32</f>
        <v>1340230.0479167867</v>
      </c>
      <c r="N69" s="4">
        <f>'Baseline System Analysis'!N28-N32</f>
        <v>1211871.2277846751</v>
      </c>
      <c r="O69" s="4">
        <f>'Baseline System Analysis'!O28-O32</f>
        <v>1844840.0090543826</v>
      </c>
      <c r="P69" s="4">
        <f>'Baseline System Analysis'!P28-P32</f>
        <v>2356895.0256503327</v>
      </c>
      <c r="Q69" s="4">
        <f>'Baseline System Analysis'!Q28-Q32</f>
        <v>2752240.7792296447</v>
      </c>
      <c r="R69" s="4">
        <f>'Baseline System Analysis'!R28-R32</f>
        <v>3112959.3920374792</v>
      </c>
      <c r="S69" s="4">
        <f>'Baseline System Analysis'!S28-S32</f>
        <v>3866030.048087935</v>
      </c>
      <c r="T69" s="4">
        <f>'Baseline System Analysis'!T28-T32</f>
        <v>4800043.3764840001</v>
      </c>
      <c r="U69" s="4">
        <f>'Baseline System Analysis'!U28-U32</f>
        <v>5605356.4974824116</v>
      </c>
      <c r="V69" s="4">
        <f>'Baseline System Analysis'!V28-V32</f>
        <v>6874181.4866932966</v>
      </c>
      <c r="W69" s="4">
        <f>'Baseline System Analysis'!W28-W32</f>
        <v>7999576.6636784412</v>
      </c>
      <c r="X69" s="4">
        <f>'Baseline System Analysis'!X28-X32</f>
        <v>9754283.3840660583</v>
      </c>
      <c r="Y69" s="4">
        <f>'Baseline System Analysis'!Y28-Y32</f>
        <v>11535617.976796627</v>
      </c>
      <c r="Z69" s="4">
        <f>'Baseline System Analysis'!Z28-Z32</f>
        <v>13419029.134060645</v>
      </c>
      <c r="AA69" s="4">
        <f>'Baseline System Analysis'!AA28-AA32</f>
        <v>15550241.498579893</v>
      </c>
      <c r="AB69" s="4">
        <f>'Baseline System Analysis'!AB28-AB32</f>
        <v>17751814.256896835</v>
      </c>
      <c r="AC69" s="4">
        <f>'Baseline System Analysis'!AC28-AC32</f>
        <v>19753092.153455924</v>
      </c>
      <c r="AD69" s="4">
        <f>'Baseline System Analysis'!AD28-AD32</f>
        <v>21673528.399512697</v>
      </c>
    </row>
    <row r="70" spans="1:30" x14ac:dyDescent="0.35">
      <c r="A70" s="72" t="s">
        <v>121</v>
      </c>
      <c r="B70" s="72" t="s">
        <v>31</v>
      </c>
      <c r="C70" s="18">
        <f>NPV('Cost Assumptions'!$B$3,D70:AD70)</f>
        <v>111616614.01387709</v>
      </c>
      <c r="D70" s="4">
        <f>'Baseline System Analysis'!D29-D33</f>
        <v>903346.68264248176</v>
      </c>
      <c r="E70" s="4">
        <f>'Baseline System Analysis'!E29-E33</f>
        <v>2253380.2014470203</v>
      </c>
      <c r="F70" s="4">
        <f>'Baseline System Analysis'!F29-F33</f>
        <v>3310518.2522157584</v>
      </c>
      <c r="G70" s="4">
        <f>'Baseline System Analysis'!G29-G33</f>
        <v>4447479.3478986584</v>
      </c>
      <c r="H70" s="4">
        <f>'Baseline System Analysis'!H29-H33</f>
        <v>5587189.795765399</v>
      </c>
      <c r="I70" s="4">
        <f>'Baseline System Analysis'!I29-I33</f>
        <v>5454549.1605001325</v>
      </c>
      <c r="J70" s="4">
        <f>'Baseline System Analysis'!J29-J33</f>
        <v>7543147.8061243081</v>
      </c>
      <c r="K70" s="4">
        <f>'Baseline System Analysis'!K29-K33</f>
        <v>6412592.364404032</v>
      </c>
      <c r="L70" s="4">
        <f>'Baseline System Analysis'!L29-L33</f>
        <v>5385232.8797742622</v>
      </c>
      <c r="M70" s="4">
        <f>'Baseline System Analysis'!M29-M33</f>
        <v>6340117.1212563487</v>
      </c>
      <c r="N70" s="4">
        <f>'Baseline System Analysis'!N29-N33</f>
        <v>6361112.9189538537</v>
      </c>
      <c r="O70" s="4">
        <f>'Baseline System Analysis'!O29-O33</f>
        <v>8895771.1264487375</v>
      </c>
      <c r="P70" s="4">
        <f>'Baseline System Analysis'!P29-P33</f>
        <v>11481103.835917845</v>
      </c>
      <c r="Q70" s="4">
        <f>'Baseline System Analysis'!Q29-Q33</f>
        <v>12843987.910857875</v>
      </c>
      <c r="R70" s="4">
        <f>'Baseline System Analysis'!R29-R33</f>
        <v>13698596.18827603</v>
      </c>
      <c r="S70" s="4">
        <f>'Baseline System Analysis'!S29-S33</f>
        <v>17199347.660875205</v>
      </c>
      <c r="T70" s="4">
        <f>'Baseline System Analysis'!T29-T33</f>
        <v>21372792.810114369</v>
      </c>
      <c r="U70" s="4">
        <f>'Baseline System Analysis'!U29-U33</f>
        <v>24257449.061312743</v>
      </c>
      <c r="V70" s="4">
        <f>'Baseline System Analysis'!V29-V33</f>
        <v>29703520.689742472</v>
      </c>
      <c r="W70" s="4">
        <f>'Baseline System Analysis'!W29-W33</f>
        <v>34774447.076135397</v>
      </c>
      <c r="X70" s="4">
        <f>'Baseline System Analysis'!X29-X33</f>
        <v>42273498.74532187</v>
      </c>
      <c r="Y70" s="4">
        <f>'Baseline System Analysis'!Y29-Y33</f>
        <v>50410415.488010727</v>
      </c>
      <c r="Z70" s="4">
        <f>'Baseline System Analysis'!Z29-Z33</f>
        <v>59093268.855131164</v>
      </c>
      <c r="AA70" s="4">
        <f>'Baseline System Analysis'!AA29-AA33</f>
        <v>69213486.158677086</v>
      </c>
      <c r="AB70" s="4">
        <f>'Baseline System Analysis'!AB29-AB33</f>
        <v>79553492.093079031</v>
      </c>
      <c r="AC70" s="4">
        <f>'Baseline System Analysis'!AC29-AC33</f>
        <v>89158920.062468082</v>
      </c>
      <c r="AD70" s="4">
        <f>'Baseline System Analysis'!AD29-AD33</f>
        <v>98364469.734937131</v>
      </c>
    </row>
    <row r="71" spans="1:30" x14ac:dyDescent="0.35">
      <c r="A71" s="72" t="s">
        <v>24</v>
      </c>
      <c r="B71" s="72" t="s">
        <v>31</v>
      </c>
      <c r="C71" s="18">
        <f>NPV('Cost Assumptions'!$B$3,D71:AD71)</f>
        <v>135939350.88108453</v>
      </c>
      <c r="D71" s="4">
        <f>SUM(D69:D70)</f>
        <v>1063657.9446743694</v>
      </c>
      <c r="E71" s="4">
        <f t="shared" ref="E71:AD71" si="16">SUM(E69:E70)</f>
        <v>2680061.6150300433</v>
      </c>
      <c r="F71" s="4">
        <f t="shared" si="16"/>
        <v>3933315.8362532724</v>
      </c>
      <c r="G71" s="4">
        <f t="shared" si="16"/>
        <v>5281190.0375569807</v>
      </c>
      <c r="H71" s="4">
        <f t="shared" si="16"/>
        <v>6651734.7595149251</v>
      </c>
      <c r="I71" s="4">
        <f t="shared" si="16"/>
        <v>6609797.3088231366</v>
      </c>
      <c r="J71" s="4">
        <f t="shared" si="16"/>
        <v>9110943.4596953914</v>
      </c>
      <c r="K71" s="4">
        <f t="shared" si="16"/>
        <v>7760337.8198925797</v>
      </c>
      <c r="L71" s="4">
        <f t="shared" si="16"/>
        <v>6528432.747015126</v>
      </c>
      <c r="M71" s="4">
        <f t="shared" si="16"/>
        <v>7680347.1691731354</v>
      </c>
      <c r="N71" s="4">
        <f t="shared" si="16"/>
        <v>7572984.1467385292</v>
      </c>
      <c r="O71" s="4">
        <f t="shared" si="16"/>
        <v>10740611.135503121</v>
      </c>
      <c r="P71" s="4">
        <f t="shared" si="16"/>
        <v>13837998.861568179</v>
      </c>
      <c r="Q71" s="4">
        <f t="shared" si="16"/>
        <v>15596228.69008752</v>
      </c>
      <c r="R71" s="4">
        <f t="shared" si="16"/>
        <v>16811555.580313511</v>
      </c>
      <c r="S71" s="4">
        <f t="shared" si="16"/>
        <v>21065377.708963141</v>
      </c>
      <c r="T71" s="4">
        <f t="shared" si="16"/>
        <v>26172836.186598368</v>
      </c>
      <c r="U71" s="4">
        <f t="shared" si="16"/>
        <v>29862805.558795154</v>
      </c>
      <c r="V71" s="4">
        <f t="shared" si="16"/>
        <v>36577702.176435769</v>
      </c>
      <c r="W71" s="4">
        <f t="shared" si="16"/>
        <v>42774023.739813834</v>
      </c>
      <c r="X71" s="4">
        <f t="shared" si="16"/>
        <v>52027782.12938793</v>
      </c>
      <c r="Y71" s="4">
        <f t="shared" si="16"/>
        <v>61946033.464807354</v>
      </c>
      <c r="Z71" s="4">
        <f t="shared" si="16"/>
        <v>72512297.989191815</v>
      </c>
      <c r="AA71" s="4">
        <f t="shared" si="16"/>
        <v>84763727.657256976</v>
      </c>
      <c r="AB71" s="4">
        <f t="shared" si="16"/>
        <v>97305306.349975869</v>
      </c>
      <c r="AC71" s="4">
        <f t="shared" si="16"/>
        <v>108912012.21592401</v>
      </c>
      <c r="AD71" s="4">
        <f t="shared" si="16"/>
        <v>120037998.13444982</v>
      </c>
    </row>
    <row r="73" spans="1:30" x14ac:dyDescent="0.35">
      <c r="A73" s="72" t="s">
        <v>117</v>
      </c>
      <c r="B73" s="72" t="s">
        <v>144</v>
      </c>
      <c r="C73" s="18">
        <f>NPV('Cost Assumptions'!$B$3,D73:AD73)</f>
        <v>382180769.0065704</v>
      </c>
      <c r="D73" s="53">
        <f>ABS((D49*D60*1000*'Cost Assumptions'!$B$6)/'Cost Assumptions'!$B$14)</f>
        <v>15864499.079456346</v>
      </c>
      <c r="E73" s="53">
        <f>ABS((E49*E60*1000*'Cost Assumptions'!$B$6)/'Cost Assumptions'!$B$14)</f>
        <v>22013851.51977155</v>
      </c>
      <c r="F73" s="53">
        <f>ABS((F49*F60*1000*'Cost Assumptions'!$B$6)/'Cost Assumptions'!$B$14)</f>
        <v>28460756.270177852</v>
      </c>
      <c r="G73" s="53">
        <f>ABS((G49*G60*1000*'Cost Assumptions'!$B$6)/'Cost Assumptions'!$B$14)</f>
        <v>35216247.600904614</v>
      </c>
      <c r="H73" s="53">
        <f>ABS((H49*H60*1000*'Cost Assumptions'!$B$6)/'Cost Assumptions'!$B$14)</f>
        <v>42291725.525498852</v>
      </c>
      <c r="I73" s="53">
        <f>ABS((I49*I60*1000*'Cost Assumptions'!$B$6)/'Cost Assumptions'!$B$14)</f>
        <v>49698967.191572227</v>
      </c>
      <c r="J73" s="53">
        <f>ABS((J49*J60*1000*'Cost Assumptions'!$B$6)/'Cost Assumptions'!$B$14)</f>
        <v>57450138.612495832</v>
      </c>
      <c r="K73" s="53">
        <f>ABS((K49*K60*1000*'Cost Assumptions'!$B$6)/'Cost Assumptions'!$B$14)</f>
        <v>52777509.582940601</v>
      </c>
      <c r="L73" s="53">
        <f>ABS((L49*L60*1000*'Cost Assumptions'!$B$6)/'Cost Assumptions'!$B$14)</f>
        <v>47835342.765274778</v>
      </c>
      <c r="M73" s="53">
        <f>ABS((M49*M60*1000*'Cost Assumptions'!$B$6)/'Cost Assumptions'!$B$14)</f>
        <v>38079171.776791312</v>
      </c>
      <c r="N73" s="53">
        <f>ABS((N49*N60*1000*'Cost Assumptions'!$B$6)/'Cost Assumptions'!$B$14)</f>
        <v>45418621.970923297</v>
      </c>
      <c r="O73" s="53">
        <f>ABS((O49*O60*1000*'Cost Assumptions'!$B$6)/'Cost Assumptions'!$B$14)</f>
        <v>39167536.831001334</v>
      </c>
      <c r="P73" s="53">
        <f>ABS((P49*P60*1000*'Cost Assumptions'!$B$6)/'Cost Assumptions'!$B$14)</f>
        <v>41258306.790347323</v>
      </c>
      <c r="Q73" s="53">
        <f>ABS((Q49*Q60*1000*'Cost Assumptions'!$B$6)/'Cost Assumptions'!$B$14)</f>
        <v>43429135.537141249</v>
      </c>
      <c r="R73" s="53">
        <f>ABS((R49*R60*1000*'Cost Assumptions'!$B$6)/'Cost Assumptions'!$B$14)</f>
        <v>45682719.27953089</v>
      </c>
      <c r="S73" s="53">
        <f>ABS((S49*S60*1000*'Cost Assumptions'!$B$6)/'Cost Assumptions'!$B$14)</f>
        <v>48021838.999329306</v>
      </c>
      <c r="T73" s="53">
        <f>ABS((T49*T60*1000*'Cost Assumptions'!$B$6)/'Cost Assumptions'!$B$14)</f>
        <v>50449363.005567923</v>
      </c>
      <c r="U73" s="53">
        <f>ABS((U49*U60*1000*'Cost Assumptions'!$B$6)/'Cost Assumptions'!$B$14)</f>
        <v>52968249.56274391</v>
      </c>
      <c r="V73" s="53">
        <f>ABS((V49*V60*1000*'Cost Assumptions'!$B$6)/'Cost Assumptions'!$B$14)</f>
        <v>55581549.595900208</v>
      </c>
      <c r="W73" s="53">
        <f>ABS((W49*W60*1000*'Cost Assumptions'!$B$6)/'Cost Assumptions'!$B$14)</f>
        <v>58292409.474737592</v>
      </c>
      <c r="X73" s="53">
        <f>ABS((X49*X60*1000*'Cost Assumptions'!$B$6)/'Cost Assumptions'!$B$14)</f>
        <v>61104073.879019432</v>
      </c>
      <c r="Y73" s="53">
        <f>ABS((Y49*Y60*1000*'Cost Assumptions'!$B$6)/'Cost Assumptions'!$B$14)</f>
        <v>64019888.747593619</v>
      </c>
      <c r="Z73" s="53">
        <f>ABS((Z49*Z60*1000*'Cost Assumptions'!$B$6)/'Cost Assumptions'!$B$14)</f>
        <v>67043304.313422158</v>
      </c>
      <c r="AA73" s="53">
        <f>ABS((AA49*AA60*1000*'Cost Assumptions'!$B$6)/'Cost Assumptions'!$B$14)</f>
        <v>70177878.227074862</v>
      </c>
      <c r="AB73" s="53">
        <f>ABS((AB49*AB60*1000*'Cost Assumptions'!$B$6)/'Cost Assumptions'!$B$14)</f>
        <v>73427278.771214306</v>
      </c>
      <c r="AC73" s="53">
        <f>ABS((AC49*AC60*1000*'Cost Assumptions'!$B$6)/'Cost Assumptions'!$B$14)</f>
        <v>76795288.168668821</v>
      </c>
      <c r="AD73" s="53">
        <f>ABS((AD49*AD60*1000*'Cost Assumptions'!$B$6)/'Cost Assumptions'!$B$14)</f>
        <v>83339893.593919575</v>
      </c>
    </row>
    <row r="74" spans="1:30" x14ac:dyDescent="0.35">
      <c r="A74" s="72" t="s">
        <v>119</v>
      </c>
      <c r="B74" s="72" t="s">
        <v>144</v>
      </c>
      <c r="C74" s="18">
        <f>NPV('Cost Assumptions'!$B$3,D74:AD74)</f>
        <v>1574444322.4083331</v>
      </c>
      <c r="D74" s="53">
        <f>ABS((D49*D62*1000*'Cost Assumptions'!$B$7)/'Cost Assumptions'!$B$14)</f>
        <v>65355906.233662054</v>
      </c>
      <c r="E74" s="53">
        <f>ABS((E49*E62*1000*'Cost Assumptions'!$B$7)/'Cost Assumptions'!$B$14)</f>
        <v>90688978.489779815</v>
      </c>
      <c r="F74" s="53">
        <f>ABS((F49*F62*1000*'Cost Assumptions'!$B$7)/'Cost Assumptions'!$B$14)</f>
        <v>117247856.91730739</v>
      </c>
      <c r="G74" s="53">
        <f>ABS((G49*G62*1000*'Cost Assumptions'!$B$7)/'Cost Assumptions'!$B$14)</f>
        <v>145077998.65465528</v>
      </c>
      <c r="H74" s="53">
        <f>ABS((H49*H62*1000*'Cost Assumptions'!$B$7)/'Cost Assumptions'!$B$14)</f>
        <v>174226367.56829724</v>
      </c>
      <c r="I74" s="53">
        <f>ABS((I49*I62*1000*'Cost Assumptions'!$B$7)/'Cost Assumptions'!$B$14)</f>
        <v>204741481.17846209</v>
      </c>
      <c r="J74" s="53">
        <f>ABS((J49*J62*1000*'Cost Assumptions'!$B$7)/'Cost Assumptions'!$B$14)</f>
        <v>236673458.98940501</v>
      </c>
      <c r="K74" s="53">
        <f>ABS((K49*K62*1000*'Cost Assumptions'!$B$7)/'Cost Assumptions'!$B$14)</f>
        <v>217423944.51114735</v>
      </c>
      <c r="L74" s="53">
        <f>ABS((L49*L62*1000*'Cost Assumptions'!$B$7)/'Cost Assumptions'!$B$14)</f>
        <v>197064033.39710844</v>
      </c>
      <c r="M74" s="53">
        <f>ABS((M49*M62*1000*'Cost Assumptions'!$B$7)/'Cost Assumptions'!$B$14)</f>
        <v>156872194.17612821</v>
      </c>
      <c r="N74" s="53">
        <f>ABS((N49*N62*1000*'Cost Assumptions'!$B$7)/'Cost Assumptions'!$B$14)</f>
        <v>187108031.83427888</v>
      </c>
      <c r="O74" s="53">
        <f>ABS((O49*O62*1000*'Cost Assumptions'!$B$7)/'Cost Assumptions'!$B$14)</f>
        <v>161355858.24107531</v>
      </c>
      <c r="P74" s="53">
        <f>ABS((P49*P62*1000*'Cost Assumptions'!$B$7)/'Cost Assumptions'!$B$14)</f>
        <v>169969062.1458945</v>
      </c>
      <c r="Q74" s="53">
        <f>ABS((Q49*Q62*1000*'Cost Assumptions'!$B$7)/'Cost Assumptions'!$B$14)</f>
        <v>178912078.83455402</v>
      </c>
      <c r="R74" s="53">
        <f>ABS((R49*R62*1000*'Cost Assumptions'!$B$7)/'Cost Assumptions'!$B$14)</f>
        <v>188196015.69380531</v>
      </c>
      <c r="S74" s="53">
        <f>ABS((S49*S62*1000*'Cost Assumptions'!$B$7)/'Cost Assumptions'!$B$14)</f>
        <v>197832329.34674761</v>
      </c>
      <c r="T74" s="53">
        <f>ABS((T49*T62*1000*'Cost Assumptions'!$B$7)/'Cost Assumptions'!$B$14)</f>
        <v>207832836.17252833</v>
      </c>
      <c r="U74" s="53">
        <f>ABS((U49*U62*1000*'Cost Assumptions'!$B$7)/'Cost Assumptions'!$B$14)</f>
        <v>218209723.1337564</v>
      </c>
      <c r="V74" s="53">
        <f>ABS((V49*V62*1000*'Cost Assumptions'!$B$7)/'Cost Assumptions'!$B$14)</f>
        <v>228975558.92043805</v>
      </c>
      <c r="W74" s="53">
        <f>ABS((W49*W62*1000*'Cost Assumptions'!$B$7)/'Cost Assumptions'!$B$14)</f>
        <v>240143305.41949514</v>
      </c>
      <c r="X74" s="53">
        <f>ABS((X49*X62*1000*'Cost Assumptions'!$B$7)/'Cost Assumptions'!$B$14)</f>
        <v>251726329.51917976</v>
      </c>
      <c r="Y74" s="53">
        <f>ABS((Y49*Y62*1000*'Cost Assumptions'!$B$7)/'Cost Assumptions'!$B$14)</f>
        <v>263738415.25796151</v>
      </c>
      <c r="Z74" s="53">
        <f>ABS((Z49*Z62*1000*'Cost Assumptions'!$B$7)/'Cost Assumptions'!$B$14)</f>
        <v>276193776.32773286</v>
      </c>
      <c r="AA74" s="53">
        <f>ABS((AA49*AA62*1000*'Cost Assumptions'!$B$7)/'Cost Assumptions'!$B$14)</f>
        <v>289107068.94145644</v>
      </c>
      <c r="AB74" s="53">
        <f>ABS((AB49*AB62*1000*'Cost Assumptions'!$B$7)/'Cost Assumptions'!$B$14)</f>
        <v>302493405.07566142</v>
      </c>
      <c r="AC74" s="53">
        <f>ABS((AC49*AC62*1000*'Cost Assumptions'!$B$7)/'Cost Assumptions'!$B$14)</f>
        <v>316368366.09848833</v>
      </c>
      <c r="AD74" s="53">
        <f>ABS((AD49*AD62*1000*'Cost Assumptions'!$B$7)/'Cost Assumptions'!$B$14)</f>
        <v>343329735.40279168</v>
      </c>
    </row>
    <row r="75" spans="1:30" x14ac:dyDescent="0.35">
      <c r="A75" s="72" t="s">
        <v>24</v>
      </c>
      <c r="B75" s="72" t="s">
        <v>144</v>
      </c>
      <c r="C75" s="18">
        <f>NPV('Cost Assumptions'!$B$3,D75:AD75)</f>
        <v>1956625091.4149036</v>
      </c>
      <c r="D75" s="53">
        <f>SUM(D73:D74)</f>
        <v>81220405.313118398</v>
      </c>
      <c r="E75" s="53">
        <f t="shared" ref="E75:AD75" si="17">SUM(E73:E74)</f>
        <v>112702830.00955136</v>
      </c>
      <c r="F75" s="53">
        <f t="shared" si="17"/>
        <v>145708613.18748525</v>
      </c>
      <c r="G75" s="53">
        <f t="shared" si="17"/>
        <v>180294246.25555989</v>
      </c>
      <c r="H75" s="53">
        <f t="shared" si="17"/>
        <v>216518093.09379607</v>
      </c>
      <c r="I75" s="53">
        <f t="shared" si="17"/>
        <v>254440448.37003431</v>
      </c>
      <c r="J75" s="53">
        <f t="shared" si="17"/>
        <v>294123597.60190082</v>
      </c>
      <c r="K75" s="53">
        <f t="shared" si="17"/>
        <v>270201454.09408796</v>
      </c>
      <c r="L75" s="53">
        <f t="shared" si="17"/>
        <v>244899376.1623832</v>
      </c>
      <c r="M75" s="53">
        <f t="shared" si="17"/>
        <v>194951365.95291951</v>
      </c>
      <c r="N75" s="53">
        <f t="shared" si="17"/>
        <v>232526653.80520219</v>
      </c>
      <c r="O75" s="53">
        <f t="shared" si="17"/>
        <v>200523395.07207665</v>
      </c>
      <c r="P75" s="53">
        <f t="shared" si="17"/>
        <v>211227368.93624181</v>
      </c>
      <c r="Q75" s="53">
        <f t="shared" si="17"/>
        <v>222341214.37169528</v>
      </c>
      <c r="R75" s="53">
        <f t="shared" si="17"/>
        <v>233878734.97333619</v>
      </c>
      <c r="S75" s="53">
        <f t="shared" si="17"/>
        <v>245854168.34607691</v>
      </c>
      <c r="T75" s="53">
        <f t="shared" si="17"/>
        <v>258282199.17809623</v>
      </c>
      <c r="U75" s="53">
        <f t="shared" si="17"/>
        <v>271177972.6965003</v>
      </c>
      <c r="V75" s="53">
        <f t="shared" si="17"/>
        <v>284557108.51633823</v>
      </c>
      <c r="W75" s="53">
        <f t="shared" si="17"/>
        <v>298435714.89423275</v>
      </c>
      <c r="X75" s="53">
        <f t="shared" si="17"/>
        <v>312830403.3981992</v>
      </c>
      <c r="Y75" s="53">
        <f t="shared" si="17"/>
        <v>327758304.00555515</v>
      </c>
      <c r="Z75" s="53">
        <f t="shared" si="17"/>
        <v>343237080.641155</v>
      </c>
      <c r="AA75" s="53">
        <f t="shared" si="17"/>
        <v>359284947.1685313</v>
      </c>
      <c r="AB75" s="53">
        <f t="shared" si="17"/>
        <v>375920683.84687573</v>
      </c>
      <c r="AC75" s="53">
        <f t="shared" si="17"/>
        <v>393163654.26715714</v>
      </c>
      <c r="AD75" s="53">
        <f t="shared" si="17"/>
        <v>426669628.99671125</v>
      </c>
    </row>
    <row r="76" spans="1:30" x14ac:dyDescent="0.35">
      <c r="A76" s="72"/>
      <c r="B76" s="72"/>
      <c r="C76" s="18"/>
      <c r="D76" s="53"/>
      <c r="E76" s="53"/>
      <c r="F76" s="53"/>
      <c r="G76" s="53"/>
      <c r="H76" s="53"/>
      <c r="I76" s="53"/>
      <c r="J76" s="53"/>
      <c r="K76" s="53"/>
      <c r="L76" s="53"/>
      <c r="M76" s="53"/>
      <c r="N76" s="53"/>
      <c r="O76" s="53"/>
      <c r="P76" s="53"/>
      <c r="Q76" s="53"/>
      <c r="R76" s="53"/>
      <c r="S76" s="53"/>
      <c r="T76" s="53"/>
      <c r="U76" s="53"/>
      <c r="V76" s="53"/>
      <c r="W76" s="53"/>
      <c r="X76" s="53"/>
      <c r="Y76" s="53"/>
      <c r="Z76" s="53"/>
      <c r="AA76" s="53"/>
      <c r="AB76" s="53"/>
      <c r="AC76" s="53"/>
      <c r="AD76" s="53"/>
    </row>
    <row r="77" spans="1:30" x14ac:dyDescent="0.35">
      <c r="A77" s="72" t="s">
        <v>117</v>
      </c>
      <c r="B77" s="72" t="s">
        <v>152</v>
      </c>
      <c r="C77" s="18">
        <f>NPV('Cost Assumptions'!$B$3,D77:AD77)</f>
        <v>53475109.116148114</v>
      </c>
      <c r="D77" s="53">
        <f>ABS(D50)*D61*1000*'Cost Assumptions'!$B$6*'Cost Assumptions'!$B$13</f>
        <v>4633243.5483236359</v>
      </c>
      <c r="E77" s="53">
        <f>ABS(E50)*E61*1000*'Cost Assumptions'!$B$6*'Cost Assumptions'!$B$13</f>
        <v>4770793.6071356935</v>
      </c>
      <c r="F77" s="53">
        <f>ABS(F50)*F61*1000*'Cost Assumptions'!$B$6*'Cost Assumptions'!$B$13</f>
        <v>4900302.2687189495</v>
      </c>
      <c r="G77" s="53">
        <f>ABS(G50)*G61*1000*'Cost Assumptions'!$B$6*'Cost Assumptions'!$B$13</f>
        <v>5033329.00044691</v>
      </c>
      <c r="H77" s="53">
        <f>ABS(H50)*H61*1000*'Cost Assumptions'!$B$6*'Cost Assumptions'!$B$13</f>
        <v>5170225.442844443</v>
      </c>
      <c r="I77" s="53">
        <f>ABS(I50)*I61*1000*'Cost Assumptions'!$B$6*'Cost Assumptions'!$B$13</f>
        <v>5312425.0351311574</v>
      </c>
      <c r="J77" s="53">
        <f>ABS(J50)*J61*1000*'Cost Assumptions'!$B$6*'Cost Assumptions'!$B$13</f>
        <v>5458066.4273013696</v>
      </c>
      <c r="K77" s="53">
        <f>ABS(K50)*K61*1000*'Cost Assumptions'!$B$6*'Cost Assumptions'!$B$13</f>
        <v>5585896.7396920417</v>
      </c>
      <c r="L77" s="53">
        <f>ABS(L50)*L61*1000*'Cost Assumptions'!$B$6*'Cost Assumptions'!$B$13</f>
        <v>5716482.1477297032</v>
      </c>
      <c r="M77" s="53">
        <f>ABS(M50)*M61*1000*'Cost Assumptions'!$B$6*'Cost Assumptions'!$B$13</f>
        <v>5849955.4389215754</v>
      </c>
      <c r="N77" s="53">
        <f>ABS(N50)*N61*1000*'Cost Assumptions'!$B$6*'Cost Assumptions'!$B$13</f>
        <v>6011657.6118221153</v>
      </c>
      <c r="O77" s="53">
        <f>ABS(O50)*O61*1000*'Cost Assumptions'!$B$6*'Cost Assumptions'!$B$13</f>
        <v>6177632.5424167858</v>
      </c>
      <c r="P77" s="53">
        <f>ABS(P50)*P61*1000*'Cost Assumptions'!$B$6*'Cost Assumptions'!$B$13</f>
        <v>6348154.5443541743</v>
      </c>
      <c r="Q77" s="53">
        <f>ABS(Q50)*Q61*1000*'Cost Assumptions'!$B$6*'Cost Assumptions'!$B$13</f>
        <v>6522771.8228264367</v>
      </c>
      <c r="R77" s="53">
        <f>ABS(R50)*R61*1000*'Cost Assumptions'!$B$6*'Cost Assumptions'!$B$13</f>
        <v>6702066.4531530067</v>
      </c>
      <c r="S77" s="53">
        <f>ABS(S50)*S61*1000*'Cost Assumptions'!$B$6*'Cost Assumptions'!$B$13</f>
        <v>6885889.1829448584</v>
      </c>
      <c r="T77" s="53">
        <f>ABS(T50)*T61*1000*'Cost Assumptions'!$B$6*'Cost Assumptions'!$B$13</f>
        <v>7074412.2591529703</v>
      </c>
      <c r="U77" s="53">
        <f>ABS(U50)*U61*1000*'Cost Assumptions'!$B$6*'Cost Assumptions'!$B$13</f>
        <v>7266006.7941390993</v>
      </c>
      <c r="V77" s="53">
        <f>ABS(V50)*V61*1000*'Cost Assumptions'!$B$6*'Cost Assumptions'!$B$13</f>
        <v>7462132.9929670915</v>
      </c>
      <c r="W77" s="53">
        <f>ABS(W50)*W61*1000*'Cost Assumptions'!$B$6*'Cost Assumptions'!$B$13</f>
        <v>7663132.3015395282</v>
      </c>
      <c r="X77" s="53">
        <f>ABS(X50)*X61*1000*'Cost Assumptions'!$B$6*'Cost Assumptions'!$B$13</f>
        <v>7869037.3535523834</v>
      </c>
      <c r="Y77" s="53">
        <f>ABS(Y50)*Y61*1000*'Cost Assumptions'!$B$6*'Cost Assumptions'!$B$13</f>
        <v>8077746.2767590666</v>
      </c>
      <c r="Z77" s="53">
        <f>ABS(Z50)*Z61*1000*'Cost Assumptions'!$B$6*'Cost Assumptions'!$B$13</f>
        <v>8291430.2624998521</v>
      </c>
      <c r="AA77" s="53">
        <f>ABS(AA50)*AA61*1000*'Cost Assumptions'!$B$6*'Cost Assumptions'!$B$13</f>
        <v>8510049.4398606978</v>
      </c>
      <c r="AB77" s="53">
        <f>ABS(AB50)*AB61*1000*'Cost Assumptions'!$B$6*'Cost Assumptions'!$B$13</f>
        <v>8733980.1779314429</v>
      </c>
      <c r="AC77" s="53">
        <f>ABS(AC50)*AC61*1000*'Cost Assumptions'!$B$6*'Cost Assumptions'!$B$13</f>
        <v>8960381.491917029</v>
      </c>
      <c r="AD77" s="53">
        <f>ABS(AD50)*AD61*1000*'Cost Assumptions'!$B$6*'Cost Assumptions'!$B$13</f>
        <v>9191542.5672404189</v>
      </c>
    </row>
    <row r="78" spans="1:30" x14ac:dyDescent="0.35">
      <c r="A78" s="72" t="s">
        <v>119</v>
      </c>
      <c r="B78" s="72" t="s">
        <v>152</v>
      </c>
      <c r="C78" s="18">
        <f>NPV('Cost Assumptions'!$B$3,D78:AD78)</f>
        <v>241047180.11936244</v>
      </c>
      <c r="D78" s="53">
        <f>ABS(D50)*D63*1000*'Cost Assumptions'!$B$7*'Cost Assumptions'!$B$13</f>
        <v>20885049.335829917</v>
      </c>
      <c r="E78" s="53">
        <f>ABS(E50)*E63*1000*'Cost Assumptions'!$B$7*'Cost Assumptions'!$B$13</f>
        <v>21505077.127262443</v>
      </c>
      <c r="F78" s="53">
        <f>ABS(F50)*F63*1000*'Cost Assumptions'!$B$7*'Cost Assumptions'!$B$13</f>
        <v>22088857.098760433</v>
      </c>
      <c r="G78" s="53">
        <f>ABS(G50)*G63*1000*'Cost Assumptions'!$B$7*'Cost Assumptions'!$B$13</f>
        <v>22688495.306021925</v>
      </c>
      <c r="H78" s="53">
        <f>ABS(H50)*H63*1000*'Cost Assumptions'!$B$7*'Cost Assumptions'!$B$13</f>
        <v>23305576.822146095</v>
      </c>
      <c r="I78" s="53">
        <f>ABS(I50)*I63*1000*'Cost Assumptions'!$B$7*'Cost Assumptions'!$B$13</f>
        <v>23946563.09223273</v>
      </c>
      <c r="J78" s="53">
        <f>ABS(J50)*J63*1000*'Cost Assumptions'!$B$7*'Cost Assumptions'!$B$13</f>
        <v>24603063.798290882</v>
      </c>
      <c r="K78" s="53">
        <f>ABS(K50)*K63*1000*'Cost Assumptions'!$B$7*'Cost Assumptions'!$B$13</f>
        <v>25179278.355770741</v>
      </c>
      <c r="L78" s="53">
        <f>ABS(L50)*L63*1000*'Cost Assumptions'!$B$7*'Cost Assumptions'!$B$13</f>
        <v>25767911.925528325</v>
      </c>
      <c r="M78" s="53">
        <f>ABS(M50)*M63*1000*'Cost Assumptions'!$B$7*'Cost Assumptions'!$B$13</f>
        <v>26369563.067430086</v>
      </c>
      <c r="N78" s="53">
        <f>ABS(N50)*N63*1000*'Cost Assumptions'!$B$7*'Cost Assumptions'!$B$13</f>
        <v>27098460.183136549</v>
      </c>
      <c r="O78" s="53">
        <f>ABS(O50)*O63*1000*'Cost Assumptions'!$B$7*'Cost Assumptions'!$B$13</f>
        <v>27846617.403413653</v>
      </c>
      <c r="P78" s="53">
        <f>ABS(P50)*P63*1000*'Cost Assumptions'!$B$7*'Cost Assumptions'!$B$13</f>
        <v>28615271.238715567</v>
      </c>
      <c r="Q78" s="53">
        <f>ABS(Q50)*Q63*1000*'Cost Assumptions'!$B$7*'Cost Assumptions'!$B$13</f>
        <v>29402385.15529374</v>
      </c>
      <c r="R78" s="53">
        <f>ABS(R50)*R63*1000*'Cost Assumptions'!$B$7*'Cost Assumptions'!$B$13</f>
        <v>30210582.946099412</v>
      </c>
      <c r="S78" s="53">
        <f>ABS(S50)*S63*1000*'Cost Assumptions'!$B$7*'Cost Assumptions'!$B$13</f>
        <v>31039191.833309498</v>
      </c>
      <c r="T78" s="53">
        <f>ABS(T50)*T63*1000*'Cost Assumptions'!$B$7*'Cost Assumptions'!$B$13</f>
        <v>31888988.246229209</v>
      </c>
      <c r="U78" s="53">
        <f>ABS(U50)*U63*1000*'Cost Assumptions'!$B$7*'Cost Assumptions'!$B$13</f>
        <v>32752629.726312533</v>
      </c>
      <c r="V78" s="53">
        <f>ABS(V50)*V63*1000*'Cost Assumptions'!$B$7*'Cost Assumptions'!$B$13</f>
        <v>33636698.369769327</v>
      </c>
      <c r="W78" s="53">
        <f>ABS(W50)*W63*1000*'Cost Assumptions'!$B$7*'Cost Assumptions'!$B$13</f>
        <v>34542733.295889676</v>
      </c>
      <c r="X78" s="53">
        <f>ABS(X50)*X63*1000*'Cost Assumptions'!$B$7*'Cost Assumptions'!$B$13</f>
        <v>35470881.606017046</v>
      </c>
      <c r="Y78" s="53">
        <f>ABS(Y50)*Y63*1000*'Cost Assumptions'!$B$7*'Cost Assumptions'!$B$13</f>
        <v>36411668.79161118</v>
      </c>
      <c r="Z78" s="53">
        <f>ABS(Z50)*Z63*1000*'Cost Assumptions'!$B$7*'Cost Assumptions'!$B$13</f>
        <v>37374881.82756041</v>
      </c>
      <c r="AA78" s="53">
        <f>ABS(AA50)*AA63*1000*'Cost Assumptions'!$B$7*'Cost Assumptions'!$B$13</f>
        <v>38360340.989661179</v>
      </c>
      <c r="AB78" s="53">
        <f>ABS(AB50)*AB63*1000*'Cost Assumptions'!$B$7*'Cost Assumptions'!$B$13</f>
        <v>39369742.818776883</v>
      </c>
      <c r="AC78" s="53">
        <f>ABS(AC50)*AC63*1000*'Cost Assumptions'!$B$7*'Cost Assumptions'!$B$13</f>
        <v>40390281.144243583</v>
      </c>
      <c r="AD78" s="53">
        <f>ABS(AD50)*AD63*1000*'Cost Assumptions'!$B$7*'Cost Assumptions'!$B$13</f>
        <v>41432274.817207158</v>
      </c>
    </row>
    <row r="79" spans="1:30" s="52" customFormat="1" ht="29" x14ac:dyDescent="0.35">
      <c r="A79" s="3" t="s">
        <v>146</v>
      </c>
      <c r="B79" s="72" t="s">
        <v>152</v>
      </c>
      <c r="C79" s="18">
        <f>NPV('Cost Assumptions'!$B$3,D79:AD79)</f>
        <v>294522289.23551047</v>
      </c>
      <c r="D79" s="53">
        <f>SUM(D77:D78)</f>
        <v>25518292.884153552</v>
      </c>
      <c r="E79" s="53">
        <f t="shared" ref="E79:AD79" si="18">SUM(E77:E78)</f>
        <v>26275870.734398138</v>
      </c>
      <c r="F79" s="53">
        <f t="shared" si="18"/>
        <v>26989159.367479384</v>
      </c>
      <c r="G79" s="53">
        <f t="shared" si="18"/>
        <v>27721824.306468837</v>
      </c>
      <c r="H79" s="53">
        <f t="shared" si="18"/>
        <v>28475802.264990538</v>
      </c>
      <c r="I79" s="53">
        <f t="shared" si="18"/>
        <v>29258988.127363887</v>
      </c>
      <c r="J79" s="53">
        <f t="shared" si="18"/>
        <v>30061130.225592252</v>
      </c>
      <c r="K79" s="53">
        <f t="shared" si="18"/>
        <v>30765175.095462784</v>
      </c>
      <c r="L79" s="53">
        <f t="shared" si="18"/>
        <v>31484394.073258027</v>
      </c>
      <c r="M79" s="53">
        <f t="shared" si="18"/>
        <v>32219518.506351661</v>
      </c>
      <c r="N79" s="53">
        <f t="shared" si="18"/>
        <v>33110117.794958666</v>
      </c>
      <c r="O79" s="53">
        <f t="shared" si="18"/>
        <v>34024249.945830442</v>
      </c>
      <c r="P79" s="53">
        <f t="shared" si="18"/>
        <v>34963425.783069745</v>
      </c>
      <c r="Q79" s="53">
        <f t="shared" si="18"/>
        <v>35925156.978120178</v>
      </c>
      <c r="R79" s="53">
        <f t="shared" si="18"/>
        <v>36912649.399252415</v>
      </c>
      <c r="S79" s="53">
        <f t="shared" si="18"/>
        <v>37925081.016254358</v>
      </c>
      <c r="T79" s="53">
        <f t="shared" si="18"/>
        <v>38963400.50538218</v>
      </c>
      <c r="U79" s="53">
        <f t="shared" si="18"/>
        <v>40018636.520451635</v>
      </c>
      <c r="V79" s="53">
        <f t="shared" si="18"/>
        <v>41098831.362736419</v>
      </c>
      <c r="W79" s="53">
        <f t="shared" si="18"/>
        <v>42205865.597429201</v>
      </c>
      <c r="X79" s="53">
        <f t="shared" si="18"/>
        <v>43339918.959569432</v>
      </c>
      <c r="Y79" s="53">
        <f t="shared" si="18"/>
        <v>44489415.068370245</v>
      </c>
      <c r="Z79" s="53">
        <f t="shared" si="18"/>
        <v>45666312.090060264</v>
      </c>
      <c r="AA79" s="53">
        <f t="shared" si="18"/>
        <v>46870390.429521874</v>
      </c>
      <c r="AB79" s="53">
        <f t="shared" si="18"/>
        <v>48103722.996708326</v>
      </c>
      <c r="AC79" s="53">
        <f t="shared" si="18"/>
        <v>49350662.636160612</v>
      </c>
      <c r="AD79" s="53">
        <f t="shared" si="18"/>
        <v>50623817.384447575</v>
      </c>
    </row>
    <row r="80" spans="1:30" s="52" customFormat="1" x14ac:dyDescent="0.35">
      <c r="A80" s="3"/>
      <c r="B80" s="72"/>
      <c r="C80" s="18"/>
      <c r="D80" s="53"/>
      <c r="E80" s="53"/>
      <c r="F80" s="53"/>
      <c r="G80" s="53"/>
      <c r="H80" s="53"/>
      <c r="I80" s="53"/>
      <c r="J80" s="53"/>
      <c r="K80" s="53"/>
      <c r="L80" s="53"/>
      <c r="M80" s="53"/>
      <c r="N80" s="53"/>
      <c r="O80" s="53"/>
      <c r="P80" s="53"/>
      <c r="Q80" s="53"/>
      <c r="R80" s="53"/>
      <c r="S80" s="53"/>
      <c r="T80" s="53"/>
      <c r="U80" s="53"/>
      <c r="V80" s="53"/>
      <c r="W80" s="53"/>
      <c r="X80" s="53"/>
      <c r="Y80" s="53"/>
      <c r="Z80" s="53"/>
      <c r="AA80" s="53"/>
      <c r="AB80" s="53"/>
      <c r="AC80" s="53"/>
      <c r="AD80" s="53"/>
    </row>
    <row r="81" spans="1:30" s="52" customFormat="1" ht="29" x14ac:dyDescent="0.35">
      <c r="A81" s="3" t="s">
        <v>147</v>
      </c>
      <c r="B81" s="72" t="s">
        <v>148</v>
      </c>
      <c r="C81" s="18">
        <f>NPV('Cost Assumptions'!$B$3,D81:AD81)</f>
        <v>175851094.61246035</v>
      </c>
      <c r="D81" s="53">
        <f>('Baseline System Analysis'!D42-D36)</f>
        <v>12311267.346117377</v>
      </c>
      <c r="E81" s="53">
        <f>('Baseline System Analysis'!E42-E36)</f>
        <v>13409297.588950472</v>
      </c>
      <c r="F81" s="53">
        <f>('Baseline System Analysis'!F42-F36)</f>
        <v>14134718.131840475</v>
      </c>
      <c r="G81" s="53">
        <f>('Baseline System Analysis'!G42-G36)</f>
        <v>14916869.393818408</v>
      </c>
      <c r="H81" s="53">
        <f>('Baseline System Analysis'!H42-H36)</f>
        <v>15731542.525671236</v>
      </c>
      <c r="I81" s="53">
        <f>('Baseline System Analysis'!I42-I36)</f>
        <v>16634785.543985054</v>
      </c>
      <c r="J81" s="53">
        <f>('Baseline System Analysis'!J42-J36)</f>
        <v>17527795.189012602</v>
      </c>
      <c r="K81" s="53">
        <f>('Baseline System Analysis'!K42-K36)</f>
        <v>17700803.192812424</v>
      </c>
      <c r="L81" s="53">
        <f>('Baseline System Analysis'!L42-L36)</f>
        <v>17736497.180770479</v>
      </c>
      <c r="M81" s="53">
        <f>('Baseline System Analysis'!M42-M36)</f>
        <v>17813893.396555506</v>
      </c>
      <c r="N81" s="53">
        <f>('Baseline System Analysis'!N42-N36)</f>
        <v>18889864.957832657</v>
      </c>
      <c r="O81" s="53">
        <f>('Baseline System Analysis'!O42-O36)</f>
        <v>19937712.149635501</v>
      </c>
      <c r="P81" s="53">
        <f>('Baseline System Analysis'!P42-P36)</f>
        <v>21185354.663479306</v>
      </c>
      <c r="Q81" s="53">
        <f>('Baseline System Analysis'!Q42-Q36)</f>
        <v>22374288.674214758</v>
      </c>
      <c r="R81" s="53">
        <f>('Baseline System Analysis'!R42-R36)</f>
        <v>23734941.632456027</v>
      </c>
      <c r="S81" s="53">
        <f>('Baseline System Analysis'!S42-S36)</f>
        <v>24995759.020613585</v>
      </c>
      <c r="T81" s="53">
        <f>('Baseline System Analysis'!T42-T36)</f>
        <v>26226140.559314072</v>
      </c>
      <c r="U81" s="53">
        <f>('Baseline System Analysis'!U42-U36)</f>
        <v>27630716.856432363</v>
      </c>
      <c r="V81" s="53">
        <f>('Baseline System Analysis'!V42-V36)</f>
        <v>29179870.513516344</v>
      </c>
      <c r="W81" s="53">
        <f>('Baseline System Analysis'!W42-W36)</f>
        <v>30782900.550376602</v>
      </c>
      <c r="X81" s="53">
        <f>('Baseline System Analysis'!X42-X36)</f>
        <v>32262754.184310604</v>
      </c>
      <c r="Y81" s="53">
        <f>('Baseline System Analysis'!Y42-Y36)</f>
        <v>33802002.258139625</v>
      </c>
      <c r="Z81" s="53">
        <f>('Baseline System Analysis'!Z42-Z36)</f>
        <v>35475056.379588209</v>
      </c>
      <c r="AA81" s="53">
        <f>('Baseline System Analysis'!AA42-AA36)</f>
        <v>36996533.523624703</v>
      </c>
      <c r="AB81" s="53">
        <f>('Baseline System Analysis'!AB42-AB36)</f>
        <v>38655870.698991954</v>
      </c>
      <c r="AC81" s="53">
        <f>('Baseline System Analysis'!AC42-AC36)</f>
        <v>40176813.463611871</v>
      </c>
      <c r="AD81" s="53">
        <f>('Baseline System Analysis'!AD42-AD36)</f>
        <v>41572424.969422176</v>
      </c>
    </row>
    <row r="82" spans="1:30" s="52" customFormat="1" x14ac:dyDescent="0.35">
      <c r="A82" s="72"/>
      <c r="B82" s="72"/>
      <c r="C82" s="72"/>
      <c r="D82" s="72"/>
      <c r="E82" s="72"/>
      <c r="F82" s="72"/>
      <c r="G82" s="72"/>
      <c r="H82" s="72"/>
      <c r="I82" s="72"/>
      <c r="J82" s="72"/>
      <c r="K82" s="72"/>
      <c r="L82" s="72"/>
      <c r="M82" s="72"/>
      <c r="N82" s="72"/>
      <c r="O82" s="72"/>
      <c r="P82" s="72"/>
      <c r="Q82" s="72"/>
      <c r="R82" s="72"/>
      <c r="S82" s="72"/>
      <c r="T82" s="72"/>
      <c r="U82" s="72"/>
      <c r="V82" s="72"/>
      <c r="W82" s="72"/>
      <c r="X82" s="72"/>
      <c r="Y82" s="72"/>
      <c r="Z82" s="72"/>
      <c r="AA82" s="72"/>
      <c r="AB82" s="72"/>
      <c r="AC82" s="72"/>
      <c r="AD82" s="72"/>
    </row>
    <row r="83" spans="1:30" s="52" customFormat="1" ht="20" thickBot="1" x14ac:dyDescent="0.5">
      <c r="A83" s="134" t="s">
        <v>61</v>
      </c>
      <c r="B83" s="182"/>
      <c r="C83" s="18">
        <f>NPV('Cost Assumptions'!$B$3,D83:AD83)/1000000</f>
        <v>2564.7660509192283</v>
      </c>
      <c r="D83" s="53">
        <f>SUM(D67,D71,D75,D79,D81)</f>
        <v>120120600.86379042</v>
      </c>
      <c r="E83" s="53">
        <f t="shared" ref="E83:AD83" si="19">SUM(E67,E71,E75,E79,E81)</f>
        <v>155085922.63750124</v>
      </c>
      <c r="F83" s="53">
        <f t="shared" si="19"/>
        <v>190794554.52647403</v>
      </c>
      <c r="G83" s="53">
        <f t="shared" si="19"/>
        <v>228253763.31066427</v>
      </c>
      <c r="H83" s="53">
        <f t="shared" si="19"/>
        <v>267427691.27507737</v>
      </c>
      <c r="I83" s="53">
        <f t="shared" si="19"/>
        <v>307005423.29515547</v>
      </c>
      <c r="J83" s="53">
        <f t="shared" si="19"/>
        <v>350895755.73499459</v>
      </c>
      <c r="K83" s="53">
        <f t="shared" si="19"/>
        <v>326490012.78525984</v>
      </c>
      <c r="L83" s="53">
        <f t="shared" si="19"/>
        <v>300702571.9611674</v>
      </c>
      <c r="M83" s="53">
        <f t="shared" si="19"/>
        <v>252709464.79079315</v>
      </c>
      <c r="N83" s="53">
        <f t="shared" si="19"/>
        <v>292164156.39356446</v>
      </c>
      <c r="O83" s="53">
        <f t="shared" si="19"/>
        <v>265324935.27978387</v>
      </c>
      <c r="P83" s="53">
        <f t="shared" si="19"/>
        <v>281347546.50900298</v>
      </c>
      <c r="Q83" s="53">
        <f t="shared" si="19"/>
        <v>296404718.26666743</v>
      </c>
      <c r="R83" s="53">
        <f t="shared" si="19"/>
        <v>311540142.4258135</v>
      </c>
      <c r="S83" s="53">
        <f t="shared" si="19"/>
        <v>330077078.22026914</v>
      </c>
      <c r="T83" s="53">
        <f t="shared" si="19"/>
        <v>349915699.84565771</v>
      </c>
      <c r="U83" s="53">
        <f t="shared" si="19"/>
        <v>369108771.35442692</v>
      </c>
      <c r="V83" s="53">
        <f t="shared" si="19"/>
        <v>391979668.59725487</v>
      </c>
      <c r="W83" s="53">
        <f t="shared" si="19"/>
        <v>414912177.11606109</v>
      </c>
      <c r="X83" s="53">
        <f t="shared" si="19"/>
        <v>441322047.31165653</v>
      </c>
      <c r="Y83" s="53">
        <f t="shared" si="19"/>
        <v>469004459.74304229</v>
      </c>
      <c r="Z83" s="53">
        <f t="shared" si="19"/>
        <v>498137726.36477464</v>
      </c>
      <c r="AA83" s="53">
        <f t="shared" si="19"/>
        <v>529400852.36232364</v>
      </c>
      <c r="AB83" s="53">
        <f t="shared" si="19"/>
        <v>561709111.79455006</v>
      </c>
      <c r="AC83" s="53">
        <f t="shared" si="19"/>
        <v>593564944.80346119</v>
      </c>
      <c r="AD83" s="53">
        <f t="shared" si="19"/>
        <v>641103946.02424788</v>
      </c>
    </row>
    <row r="84" spans="1:30" s="52" customFormat="1" ht="20.5" thickTop="1" thickBot="1" x14ac:dyDescent="0.5">
      <c r="A84" s="134" t="s">
        <v>149</v>
      </c>
      <c r="B84" s="134"/>
      <c r="C84" s="18">
        <f>NPV('Cost Assumptions'!$B$3,D84:AD84)/1000000</f>
        <v>2567.8098856131014</v>
      </c>
      <c r="D84" s="53">
        <f>D83+D43</f>
        <v>120339984.86379039</v>
      </c>
      <c r="E84" s="53">
        <f t="shared" ref="E84:AD84" si="20">E83+E43</f>
        <v>155312497.30269352</v>
      </c>
      <c r="F84" s="53">
        <f t="shared" si="20"/>
        <v>191028542.27511823</v>
      </c>
      <c r="G84" s="53">
        <f t="shared" si="20"/>
        <v>228495393.18776724</v>
      </c>
      <c r="H84" s="53">
        <f t="shared" si="20"/>
        <v>267677199.14471915</v>
      </c>
      <c r="I84" s="53">
        <f t="shared" si="20"/>
        <v>307263052.03828979</v>
      </c>
      <c r="J84" s="53">
        <f t="shared" si="20"/>
        <v>351161755.45287758</v>
      </c>
      <c r="K84" s="53">
        <f t="shared" si="20"/>
        <v>326802059.18117362</v>
      </c>
      <c r="L84" s="53">
        <f t="shared" si="20"/>
        <v>301043610.91740555</v>
      </c>
      <c r="M84" s="53">
        <f t="shared" si="20"/>
        <v>253081048.63530642</v>
      </c>
      <c r="N84" s="53">
        <f t="shared" si="20"/>
        <v>292547722.06861669</v>
      </c>
      <c r="O84" s="53">
        <f t="shared" si="20"/>
        <v>265721139.42773867</v>
      </c>
      <c r="P84" s="53">
        <f t="shared" si="20"/>
        <v>281756781.32495856</v>
      </c>
      <c r="Q84" s="53">
        <f t="shared" si="20"/>
        <v>296827387.65643132</v>
      </c>
      <c r="R84" s="53">
        <f t="shared" si="20"/>
        <v>311976662.34631616</v>
      </c>
      <c r="S84" s="53">
        <f t="shared" si="20"/>
        <v>330527877.02967894</v>
      </c>
      <c r="T84" s="53">
        <f t="shared" si="20"/>
        <v>350381218.66346967</v>
      </c>
      <c r="U84" s="53">
        <f t="shared" si="20"/>
        <v>369589464.43180531</v>
      </c>
      <c r="V84" s="53">
        <f t="shared" si="20"/>
        <v>392476003.69791681</v>
      </c>
      <c r="W84" s="53">
        <f t="shared" si="20"/>
        <v>415424635.90799743</v>
      </c>
      <c r="X84" s="53">
        <f t="shared" si="20"/>
        <v>441851125.76999307</v>
      </c>
      <c r="Y84" s="53">
        <f t="shared" si="20"/>
        <v>469550668.56435406</v>
      </c>
      <c r="Z84" s="53">
        <f t="shared" si="20"/>
        <v>498701591.39317399</v>
      </c>
      <c r="AA84" s="53">
        <f t="shared" si="20"/>
        <v>529982915.02765161</v>
      </c>
      <c r="AB84" s="53">
        <f t="shared" si="20"/>
        <v>562309929.56301033</v>
      </c>
      <c r="AC84" s="53">
        <f t="shared" si="20"/>
        <v>594185091.6410445</v>
      </c>
      <c r="AD84" s="53">
        <f t="shared" si="20"/>
        <v>641744097.81638885</v>
      </c>
    </row>
    <row r="85" spans="1:30" ht="15" thickTop="1" x14ac:dyDescent="0.35">
      <c r="A85" s="72"/>
      <c r="B85" s="72"/>
      <c r="C85" s="72"/>
      <c r="D85" s="72"/>
      <c r="E85" s="72"/>
      <c r="F85" s="72"/>
      <c r="G85" s="72"/>
      <c r="H85" s="72"/>
      <c r="I85" s="72"/>
      <c r="J85" s="72"/>
      <c r="K85" s="72"/>
      <c r="L85" s="72"/>
      <c r="M85" s="72"/>
      <c r="N85" s="72"/>
      <c r="O85" s="72"/>
      <c r="P85" s="72"/>
      <c r="Q85" s="72"/>
      <c r="R85" s="72"/>
      <c r="S85" s="72"/>
      <c r="T85" s="72"/>
      <c r="U85" s="72"/>
      <c r="V85" s="72"/>
      <c r="W85" s="72"/>
      <c r="X85" s="72"/>
      <c r="Y85" s="72"/>
      <c r="Z85" s="72"/>
      <c r="AA85" s="72"/>
      <c r="AB85" s="72"/>
      <c r="AC85" s="72"/>
      <c r="AD85" s="72"/>
    </row>
    <row r="86" spans="1:30" ht="20" thickBot="1" x14ac:dyDescent="0.5">
      <c r="A86" s="134" t="s">
        <v>150</v>
      </c>
      <c r="B86" s="134"/>
      <c r="C86" s="18">
        <f>Summary!$D$18</f>
        <v>504</v>
      </c>
      <c r="D86" s="72"/>
      <c r="E86" s="72"/>
      <c r="F86" s="72"/>
      <c r="G86" s="72"/>
      <c r="H86" s="72"/>
      <c r="I86" s="72"/>
      <c r="J86" s="72"/>
      <c r="K86" s="72"/>
      <c r="L86" s="72"/>
      <c r="M86" s="72"/>
      <c r="N86" s="72"/>
      <c r="O86" s="72"/>
      <c r="P86" s="72"/>
      <c r="Q86" s="72"/>
      <c r="R86" s="72"/>
      <c r="S86" s="72"/>
      <c r="T86" s="72"/>
      <c r="U86" s="72"/>
      <c r="V86" s="72"/>
      <c r="W86" s="72"/>
      <c r="X86" s="72"/>
      <c r="Y86" s="72"/>
      <c r="Z86" s="72"/>
      <c r="AA86" s="72"/>
      <c r="AB86" s="72"/>
      <c r="AC86" s="72"/>
      <c r="AD86" s="72"/>
    </row>
    <row r="87" spans="1:30" ht="15" thickTop="1" x14ac:dyDescent="0.35">
      <c r="A87" s="72"/>
      <c r="B87" s="72"/>
      <c r="C87" s="72"/>
      <c r="D87" s="72"/>
      <c r="E87" s="72"/>
      <c r="F87" s="72"/>
      <c r="G87" s="72"/>
      <c r="H87" s="72"/>
      <c r="I87" s="72"/>
      <c r="J87" s="72"/>
      <c r="K87" s="72"/>
      <c r="L87" s="72"/>
      <c r="M87" s="72"/>
      <c r="N87" s="72"/>
      <c r="O87" s="72"/>
      <c r="P87" s="72"/>
      <c r="Q87" s="72"/>
      <c r="R87" s="72"/>
      <c r="S87" s="72"/>
      <c r="T87" s="72"/>
      <c r="U87" s="72"/>
      <c r="V87" s="72"/>
      <c r="W87" s="72"/>
      <c r="X87" s="72"/>
      <c r="Y87" s="72"/>
      <c r="Z87" s="72"/>
      <c r="AA87" s="72"/>
      <c r="AB87" s="72"/>
      <c r="AC87" s="72"/>
      <c r="AD87" s="72"/>
    </row>
    <row r="88" spans="1:30" ht="20" thickBot="1" x14ac:dyDescent="0.5">
      <c r="A88" s="134" t="s">
        <v>7</v>
      </c>
      <c r="B88" s="134"/>
      <c r="C88" s="46">
        <f>C84/C86</f>
        <v>5.094860884152979</v>
      </c>
      <c r="D88" s="72"/>
      <c r="E88" s="72"/>
      <c r="F88" s="72"/>
      <c r="G88" s="72"/>
      <c r="H88" s="72"/>
      <c r="I88" s="72"/>
      <c r="J88" s="72"/>
      <c r="K88" s="72"/>
      <c r="L88" s="72"/>
      <c r="M88" s="72"/>
      <c r="N88" s="72"/>
      <c r="O88" s="72"/>
      <c r="P88" s="72"/>
      <c r="Q88" s="72"/>
      <c r="R88" s="72"/>
      <c r="S88" s="72"/>
      <c r="T88" s="72"/>
      <c r="U88" s="72"/>
      <c r="V88" s="72"/>
      <c r="W88" s="72"/>
      <c r="X88" s="72"/>
      <c r="Y88" s="72"/>
      <c r="Z88" s="72"/>
      <c r="AA88" s="72"/>
      <c r="AB88" s="72"/>
      <c r="AC88" s="72"/>
      <c r="AD88" s="72"/>
    </row>
    <row r="89" spans="1:30" ht="15" thickTop="1" x14ac:dyDescent="0.35">
      <c r="A89" s="72"/>
      <c r="B89" s="72"/>
      <c r="C89" s="72"/>
      <c r="D89" s="72"/>
      <c r="E89" s="72"/>
      <c r="F89" s="72"/>
      <c r="G89" s="72"/>
      <c r="H89" s="72"/>
      <c r="I89" s="72"/>
      <c r="J89" s="72"/>
      <c r="K89" s="72"/>
      <c r="L89" s="72"/>
      <c r="M89" s="72"/>
      <c r="N89" s="72"/>
      <c r="O89" s="72"/>
      <c r="P89" s="72"/>
      <c r="Q89" s="72"/>
      <c r="R89" s="72"/>
      <c r="S89" s="72"/>
      <c r="T89" s="72"/>
      <c r="U89" s="72"/>
      <c r="V89" s="72"/>
      <c r="W89" s="72"/>
      <c r="X89" s="72"/>
      <c r="Y89" s="72"/>
      <c r="Z89" s="72"/>
      <c r="AA89" s="72"/>
      <c r="AB89" s="72"/>
      <c r="AC89" s="72"/>
      <c r="AD89" s="72"/>
    </row>
    <row r="90" spans="1:30" s="52" customFormat="1" ht="42.65" customHeight="1" thickBot="1" x14ac:dyDescent="0.5">
      <c r="A90" s="181" t="s">
        <v>156</v>
      </c>
      <c r="B90" s="181"/>
      <c r="C90" s="72"/>
      <c r="D90" s="53"/>
      <c r="E90" s="53"/>
      <c r="F90" s="53"/>
      <c r="G90" s="53"/>
      <c r="H90" s="53"/>
      <c r="I90" s="53"/>
      <c r="J90" s="53"/>
      <c r="K90" s="53"/>
      <c r="L90" s="53"/>
      <c r="M90" s="53"/>
      <c r="N90" s="53"/>
      <c r="O90" s="53"/>
      <c r="P90" s="53"/>
      <c r="Q90" s="53"/>
      <c r="R90" s="53"/>
      <c r="S90" s="53"/>
      <c r="T90" s="53"/>
      <c r="U90" s="53"/>
      <c r="V90" s="53"/>
      <c r="W90" s="53"/>
      <c r="X90" s="53"/>
      <c r="Y90" s="53"/>
      <c r="Z90" s="53"/>
      <c r="AA90" s="53"/>
      <c r="AB90" s="53"/>
      <c r="AC90" s="53"/>
      <c r="AD90" s="53">
        <v>482.98748542069416</v>
      </c>
    </row>
    <row r="91" spans="1:30" ht="15" thickTop="1" x14ac:dyDescent="0.35">
      <c r="A91" s="72"/>
      <c r="B91" s="72"/>
      <c r="C91" s="72"/>
      <c r="D91" s="72"/>
      <c r="E91" s="72"/>
      <c r="F91" s="72"/>
      <c r="G91" s="72"/>
      <c r="H91" s="72"/>
      <c r="I91" s="72"/>
      <c r="J91" s="72"/>
      <c r="K91" s="72"/>
      <c r="L91" s="72"/>
      <c r="M91" s="72"/>
      <c r="N91" s="72"/>
      <c r="O91" s="72"/>
      <c r="P91" s="72"/>
      <c r="Q91" s="72"/>
      <c r="R91" s="72"/>
      <c r="S91" s="72"/>
      <c r="T91" s="72"/>
      <c r="U91" s="72"/>
      <c r="V91" s="72"/>
      <c r="W91" s="72"/>
      <c r="X91" s="72"/>
      <c r="Y91" s="72"/>
      <c r="Z91" s="72"/>
      <c r="AA91" s="72"/>
      <c r="AB91" s="72"/>
      <c r="AC91" s="72"/>
      <c r="AD91" s="72"/>
    </row>
  </sheetData>
  <mergeCells count="9">
    <mergeCell ref="B2:B15"/>
    <mergeCell ref="B18:B31"/>
    <mergeCell ref="A90:B90"/>
    <mergeCell ref="B40:AD40"/>
    <mergeCell ref="A58:AD59"/>
    <mergeCell ref="A83:B83"/>
    <mergeCell ref="A86:B86"/>
    <mergeCell ref="A88:B88"/>
    <mergeCell ref="A84:B84"/>
  </mergeCells>
  <pageMargins left="0.7" right="0.7" top="0.75" bottom="0.75" header="0.3" footer="0.3"/>
  <pageSetup orientation="portrait" horizontalDpi="1200" verticalDpi="120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AI90"/>
  <sheetViews>
    <sheetView zoomScale="73" zoomScaleNormal="73" workbookViewId="0">
      <selection activeCell="F20" sqref="F20"/>
    </sheetView>
  </sheetViews>
  <sheetFormatPr defaultColWidth="8.81640625" defaultRowHeight="14.5" x14ac:dyDescent="0.35"/>
  <cols>
    <col min="1" max="1" width="16.54296875" style="52" bestFit="1" customWidth="1"/>
    <col min="2" max="2" width="29.453125" style="52" customWidth="1"/>
    <col min="3" max="3" width="19.26953125" style="52" customWidth="1"/>
    <col min="4" max="4" width="15.1796875" style="52" bestFit="1" customWidth="1"/>
    <col min="5" max="6" width="15.7265625" style="52" bestFit="1" customWidth="1"/>
    <col min="7" max="7" width="16.1796875" style="52" bestFit="1" customWidth="1"/>
    <col min="8" max="14" width="14.81640625" style="52" bestFit="1" customWidth="1"/>
    <col min="15" max="16" width="19.26953125" style="52" customWidth="1"/>
    <col min="17" max="17" width="22.1796875" style="52" customWidth="1"/>
    <col min="18" max="18" width="22.453125" style="52" customWidth="1"/>
    <col min="19" max="19" width="16.26953125" style="52" customWidth="1"/>
    <col min="20" max="20" width="16.81640625" style="52" bestFit="1" customWidth="1"/>
    <col min="21" max="21" width="21.1796875" style="52" customWidth="1"/>
    <col min="22" max="22" width="19.7265625" style="52" customWidth="1"/>
    <col min="23" max="23" width="16.54296875" style="52" bestFit="1" customWidth="1"/>
    <col min="24" max="24" width="16.81640625" style="52" bestFit="1" customWidth="1"/>
    <col min="25" max="30" width="16.26953125" style="52" bestFit="1" customWidth="1"/>
    <col min="31" max="31" width="11.54296875" style="52" bestFit="1" customWidth="1"/>
    <col min="32" max="16384" width="8.81640625" style="52"/>
  </cols>
  <sheetData>
    <row r="1" spans="1:30" ht="20" thickBot="1" x14ac:dyDescent="0.5">
      <c r="A1" s="113"/>
      <c r="B1" s="122"/>
      <c r="C1" s="113" t="s">
        <v>105</v>
      </c>
      <c r="D1" s="113">
        <v>2022</v>
      </c>
      <c r="E1" s="113">
        <v>2023</v>
      </c>
      <c r="F1" s="113">
        <v>2024</v>
      </c>
      <c r="G1" s="113">
        <v>2025</v>
      </c>
      <c r="H1" s="113">
        <v>2026</v>
      </c>
      <c r="I1" s="113">
        <v>2027</v>
      </c>
      <c r="J1" s="113">
        <v>2028</v>
      </c>
      <c r="K1" s="113">
        <v>2029</v>
      </c>
      <c r="L1" s="113">
        <v>2030</v>
      </c>
      <c r="M1" s="113">
        <v>2031</v>
      </c>
      <c r="N1" s="113">
        <v>2032</v>
      </c>
      <c r="O1" s="113">
        <v>2033</v>
      </c>
      <c r="P1" s="113">
        <v>2034</v>
      </c>
      <c r="Q1" s="113">
        <v>2035</v>
      </c>
      <c r="R1" s="113">
        <v>2036</v>
      </c>
      <c r="S1" s="113">
        <v>2037</v>
      </c>
      <c r="T1" s="113">
        <v>2038</v>
      </c>
      <c r="U1" s="113">
        <v>2039</v>
      </c>
      <c r="V1" s="113">
        <v>2040</v>
      </c>
      <c r="W1" s="113">
        <v>2041</v>
      </c>
      <c r="X1" s="113">
        <v>2042</v>
      </c>
      <c r="Y1" s="113">
        <v>2043</v>
      </c>
      <c r="Z1" s="113">
        <v>2044</v>
      </c>
      <c r="AA1" s="113">
        <v>2045</v>
      </c>
      <c r="AB1" s="113">
        <v>2046</v>
      </c>
      <c r="AC1" s="113">
        <v>2047</v>
      </c>
      <c r="AD1" s="113">
        <v>2048</v>
      </c>
    </row>
    <row r="2" spans="1:30" ht="15" thickTop="1" x14ac:dyDescent="0.35">
      <c r="A2" s="72"/>
      <c r="B2" s="1" t="s">
        <v>26</v>
      </c>
      <c r="C2" s="72" t="s">
        <v>107</v>
      </c>
      <c r="D2" s="53">
        <f>'Baseline System Analysis'!D2</f>
        <v>49666.999999999534</v>
      </c>
      <c r="E2" s="53">
        <f>'Baseline System Analysis'!E2</f>
        <v>50103.790384614935</v>
      </c>
      <c r="F2" s="53">
        <f>'Baseline System Analysis'!F2</f>
        <v>50540.580769230335</v>
      </c>
      <c r="G2" s="53">
        <f>'Baseline System Analysis'!G2</f>
        <v>50977.371153845736</v>
      </c>
      <c r="H2" s="53">
        <f>'Baseline System Analysis'!H2</f>
        <v>51414.161538461136</v>
      </c>
      <c r="I2" s="53">
        <f>'Baseline System Analysis'!I2</f>
        <v>51850.951923076536</v>
      </c>
      <c r="J2" s="53">
        <f>'Baseline System Analysis'!J2</f>
        <v>52287.742307691937</v>
      </c>
      <c r="K2" s="53">
        <f>'Baseline System Analysis'!K2</f>
        <v>51698.184615384183</v>
      </c>
      <c r="L2" s="53">
        <f>'Baseline System Analysis'!L2</f>
        <v>51988.353846153419</v>
      </c>
      <c r="M2" s="53">
        <f>'Baseline System Analysis'!M2</f>
        <v>52278.523076922655</v>
      </c>
      <c r="N2" s="53">
        <f>'Baseline System Analysis'!N2</f>
        <v>52568.69230769189</v>
      </c>
      <c r="O2" s="53">
        <f>'Baseline System Analysis'!O2</f>
        <v>52858.861538461126</v>
      </c>
      <c r="P2" s="53">
        <f>'Baseline System Analysis'!P2</f>
        <v>53149.030769230361</v>
      </c>
      <c r="Q2" s="53">
        <f>'Baseline System Analysis'!Q2</f>
        <v>53439.199999999597</v>
      </c>
      <c r="R2" s="53">
        <f>'Baseline System Analysis'!R2</f>
        <v>53729.369230768832</v>
      </c>
      <c r="S2" s="53">
        <f>'Baseline System Analysis'!S2</f>
        <v>54019.538461538068</v>
      </c>
      <c r="T2" s="53">
        <f>'Baseline System Analysis'!T2</f>
        <v>54309.707692307304</v>
      </c>
      <c r="U2" s="53">
        <f>'Baseline System Analysis'!U2</f>
        <v>54599.876923076539</v>
      </c>
      <c r="V2" s="53">
        <f>'Baseline System Analysis'!V2</f>
        <v>54890.046153845775</v>
      </c>
      <c r="W2" s="53">
        <f>'Baseline System Analysis'!W2</f>
        <v>55180.21538461501</v>
      </c>
      <c r="X2" s="53">
        <f>'Baseline System Analysis'!X2</f>
        <v>55470.384615384246</v>
      </c>
      <c r="Y2" s="53">
        <f>'Baseline System Analysis'!Y2</f>
        <v>55760.553846153482</v>
      </c>
      <c r="Z2" s="53">
        <f>'Baseline System Analysis'!Z2</f>
        <v>56050.723076922717</v>
      </c>
      <c r="AA2" s="53">
        <f>'Baseline System Analysis'!AA2</f>
        <v>56340.892307691953</v>
      </c>
      <c r="AB2" s="53">
        <f>'Baseline System Analysis'!AB2</f>
        <v>56631.061538461188</v>
      </c>
      <c r="AC2" s="53">
        <f>'Baseline System Analysis'!AC2</f>
        <v>56921.230769230424</v>
      </c>
      <c r="AD2" s="53">
        <f>'Baseline System Analysis'!AD2</f>
        <v>57211.399999999638</v>
      </c>
    </row>
    <row r="3" spans="1:30" x14ac:dyDescent="0.35">
      <c r="A3" s="72" t="s">
        <v>30</v>
      </c>
      <c r="B3" s="72"/>
      <c r="C3" s="72" t="s">
        <v>31</v>
      </c>
      <c r="D3" s="53">
        <f>'Baseline System Analysis'!D3</f>
        <v>10</v>
      </c>
      <c r="E3" s="53">
        <f>'Baseline System Analysis'!E3</f>
        <v>20.5</v>
      </c>
      <c r="F3" s="53">
        <f>'Baseline System Analysis'!F3</f>
        <v>29.879999999999995</v>
      </c>
      <c r="G3" s="53">
        <f>'Baseline System Analysis'!G3</f>
        <v>39.259999999999991</v>
      </c>
      <c r="H3" s="53">
        <f>'Baseline System Analysis'!H3</f>
        <v>48.639999999999986</v>
      </c>
      <c r="I3" s="53">
        <f>'Baseline System Analysis'!I3</f>
        <v>58.019999999999982</v>
      </c>
      <c r="J3" s="53">
        <f>'Baseline System Analysis'!J3</f>
        <v>67.399999999999977</v>
      </c>
      <c r="K3" s="53">
        <f>'Baseline System Analysis'!K3</f>
        <v>57.599999999999966</v>
      </c>
      <c r="L3" s="53">
        <f>'Baseline System Analysis'!L3</f>
        <v>49.800000000000011</v>
      </c>
      <c r="M3" s="53">
        <f>'Baseline System Analysis'!M3</f>
        <v>41.5</v>
      </c>
      <c r="N3" s="53">
        <f>'Baseline System Analysis'!N3</f>
        <v>53.700000000000017</v>
      </c>
      <c r="O3" s="53">
        <f>'Baseline System Analysis'!O3</f>
        <v>75.066666666666691</v>
      </c>
      <c r="P3" s="53">
        <f>'Baseline System Analysis'!P3</f>
        <v>96.433333333333366</v>
      </c>
      <c r="Q3" s="53">
        <f>'Baseline System Analysis'!Q3</f>
        <v>117.80000000000004</v>
      </c>
      <c r="R3" s="53">
        <f>'Baseline System Analysis'!R3</f>
        <v>139.16666666666671</v>
      </c>
      <c r="S3" s="53">
        <f>'Baseline System Analysis'!S3</f>
        <v>160.53333333333339</v>
      </c>
      <c r="T3" s="53">
        <f>'Baseline System Analysis'!T3</f>
        <v>181.90000000000003</v>
      </c>
      <c r="U3" s="53">
        <f>'Baseline System Analysis'!U3</f>
        <v>244.23000000000002</v>
      </c>
      <c r="V3" s="53">
        <f>'Baseline System Analysis'!V3</f>
        <v>306.56</v>
      </c>
      <c r="W3" s="53">
        <f>'Baseline System Analysis'!W3</f>
        <v>368.89</v>
      </c>
      <c r="X3" s="53">
        <f>'Baseline System Analysis'!X3</f>
        <v>431.21999999999997</v>
      </c>
      <c r="Y3" s="53">
        <f>'Baseline System Analysis'!Y3</f>
        <v>453.7000000000001</v>
      </c>
      <c r="Z3" s="53">
        <f>'Baseline System Analysis'!Z3</f>
        <v>524.00000000000011</v>
      </c>
      <c r="AA3" s="53">
        <f>'Baseline System Analysis'!AA3</f>
        <v>594.30000000000007</v>
      </c>
      <c r="AB3" s="53">
        <f>'Baseline System Analysis'!AB3</f>
        <v>664.6</v>
      </c>
      <c r="AC3" s="53">
        <f>'Baseline System Analysis'!AC3</f>
        <v>734.9</v>
      </c>
      <c r="AD3" s="53">
        <f>'Baseline System Analysis'!AD3</f>
        <v>805.2</v>
      </c>
    </row>
    <row r="4" spans="1:30" x14ac:dyDescent="0.35">
      <c r="A4" s="72" t="s">
        <v>30</v>
      </c>
      <c r="B4" s="72"/>
      <c r="C4" s="72" t="s">
        <v>32</v>
      </c>
      <c r="D4" s="53">
        <f>'Baseline System Analysis'!D4</f>
        <v>2</v>
      </c>
      <c r="E4" s="53">
        <f>'Baseline System Analysis'!E4</f>
        <v>3</v>
      </c>
      <c r="F4" s="53">
        <f>'Baseline System Analysis'!F4</f>
        <v>4.6799999999999953</v>
      </c>
      <c r="G4" s="53">
        <f>'Baseline System Analysis'!G4</f>
        <v>6.3599999999999905</v>
      </c>
      <c r="H4" s="53">
        <f>'Baseline System Analysis'!H4</f>
        <v>8.0399999999999867</v>
      </c>
      <c r="I4" s="53">
        <f>'Baseline System Analysis'!I4</f>
        <v>9.7199999999999829</v>
      </c>
      <c r="J4" s="53">
        <f>'Baseline System Analysis'!J4</f>
        <v>11.399999999999977</v>
      </c>
      <c r="K4" s="53">
        <f>'Baseline System Analysis'!K4</f>
        <v>10.199999999999989</v>
      </c>
      <c r="L4" s="53">
        <f>'Baseline System Analysis'!L4</f>
        <v>8.5999999999999943</v>
      </c>
      <c r="M4" s="53">
        <f>'Baseline System Analysis'!M4</f>
        <v>6.8000000000000114</v>
      </c>
      <c r="N4" s="53">
        <f>'Baseline System Analysis'!N4</f>
        <v>9.6000000000000227</v>
      </c>
      <c r="O4" s="53">
        <f>'Baseline System Analysis'!O4</f>
        <v>11.333333333333352</v>
      </c>
      <c r="P4" s="53">
        <f>'Baseline System Analysis'!P4</f>
        <v>13.066666666666681</v>
      </c>
      <c r="Q4" s="53">
        <f>'Baseline System Analysis'!Q4</f>
        <v>14.80000000000001</v>
      </c>
      <c r="R4" s="53">
        <f>'Baseline System Analysis'!R4</f>
        <v>16.533333333333339</v>
      </c>
      <c r="S4" s="53">
        <f>'Baseline System Analysis'!S4</f>
        <v>18.266666666666669</v>
      </c>
      <c r="T4" s="53">
        <f>'Baseline System Analysis'!T4</f>
        <v>20</v>
      </c>
      <c r="U4" s="53">
        <f>'Baseline System Analysis'!U4</f>
        <v>21.860000000000003</v>
      </c>
      <c r="V4" s="53">
        <f>'Baseline System Analysis'!V4</f>
        <v>23.720000000000006</v>
      </c>
      <c r="W4" s="53">
        <f>'Baseline System Analysis'!W4</f>
        <v>25.580000000000009</v>
      </c>
      <c r="X4" s="53">
        <f>'Baseline System Analysis'!X4</f>
        <v>27.440000000000012</v>
      </c>
      <c r="Y4" s="53">
        <f>'Baseline System Analysis'!Y4</f>
        <v>29.300000000000011</v>
      </c>
      <c r="Z4" s="53">
        <f>'Baseline System Analysis'!Z4</f>
        <v>30.480000000000008</v>
      </c>
      <c r="AA4" s="53">
        <f>'Baseline System Analysis'!AA4</f>
        <v>31.660000000000004</v>
      </c>
      <c r="AB4" s="53">
        <f>'Baseline System Analysis'!AB4</f>
        <v>32.839999999999996</v>
      </c>
      <c r="AC4" s="53">
        <f>'Baseline System Analysis'!AC4</f>
        <v>34.019999999999989</v>
      </c>
      <c r="AD4" s="53">
        <f>'Baseline System Analysis'!AD4</f>
        <v>35.199999999999989</v>
      </c>
    </row>
    <row r="5" spans="1:30" x14ac:dyDescent="0.35">
      <c r="A5" s="72" t="s">
        <v>30</v>
      </c>
      <c r="B5" s="72"/>
      <c r="C5" s="72" t="s">
        <v>33</v>
      </c>
      <c r="D5" s="53">
        <f>'Baseline System Analysis'!D5</f>
        <v>8.4812112193331513E-2</v>
      </c>
      <c r="E5" s="53">
        <f>'Baseline System Analysis'!E5</f>
        <v>0.24283371212350299</v>
      </c>
      <c r="F5" s="53">
        <f>'Baseline System Analysis'!F5</f>
        <v>0.34046276046663143</v>
      </c>
      <c r="G5" s="53">
        <f>'Baseline System Analysis'!G5</f>
        <v>0.43809180880975984</v>
      </c>
      <c r="H5" s="53">
        <f>'Baseline System Analysis'!H5</f>
        <v>0.53572085715288831</v>
      </c>
      <c r="I5" s="53">
        <f>'Baseline System Analysis'!I5</f>
        <v>0.63334990549601677</v>
      </c>
      <c r="J5" s="53">
        <f>'Baseline System Analysis'!J5</f>
        <v>0.73097895383914513</v>
      </c>
      <c r="K5" s="53">
        <f>'Baseline System Analysis'!K5</f>
        <v>0.61764830497225676</v>
      </c>
      <c r="L5" s="53">
        <f>'Baseline System Analysis'!L5</f>
        <v>0.52957812632109091</v>
      </c>
      <c r="M5" s="53">
        <f>'Baseline System Analysis'!M5</f>
        <v>0.48185121670948772</v>
      </c>
      <c r="N5" s="53">
        <f>'Baseline System Analysis'!N5</f>
        <v>0.56680711827214547</v>
      </c>
      <c r="O5" s="53">
        <f>'Baseline System Analysis'!O5</f>
        <v>0.96980348799493798</v>
      </c>
      <c r="P5" s="53">
        <f>'Baseline System Analysis'!P5</f>
        <v>1.3727998577177305</v>
      </c>
      <c r="Q5" s="53">
        <f>'Baseline System Analysis'!Q5</f>
        <v>1.775796227440523</v>
      </c>
      <c r="R5" s="53">
        <f>'Baseline System Analysis'!R5</f>
        <v>2.1787925971633153</v>
      </c>
      <c r="S5" s="53">
        <f>'Baseline System Analysis'!S5</f>
        <v>2.5817889668861076</v>
      </c>
      <c r="T5" s="53">
        <f>'Baseline System Analysis'!T5</f>
        <v>2.9847853366089003</v>
      </c>
      <c r="U5" s="53">
        <f>'Baseline System Analysis'!U5</f>
        <v>21.070525908414965</v>
      </c>
      <c r="V5" s="53">
        <f>'Baseline System Analysis'!V5</f>
        <v>39.156266480221028</v>
      </c>
      <c r="W5" s="53">
        <f>'Baseline System Analysis'!W5</f>
        <v>57.242007052027091</v>
      </c>
      <c r="X5" s="53">
        <f>'Baseline System Analysis'!X5</f>
        <v>75.327747623833147</v>
      </c>
      <c r="Y5" s="53">
        <f>'Baseline System Analysis'!Y5</f>
        <v>93.413488195639218</v>
      </c>
      <c r="Z5" s="53">
        <f>'Baseline System Analysis'!Z5</f>
        <v>81.062212021092932</v>
      </c>
      <c r="AA5" s="53">
        <f>'Baseline System Analysis'!AA5</f>
        <v>68.710935846546647</v>
      </c>
      <c r="AB5" s="53">
        <f>'Baseline System Analysis'!AB5</f>
        <v>56.359659672000362</v>
      </c>
      <c r="AC5" s="53">
        <f>'Baseline System Analysis'!AC5</f>
        <v>44.008383497454076</v>
      </c>
      <c r="AD5" s="53">
        <f>'Baseline System Analysis'!AD5</f>
        <v>31.657107322907791</v>
      </c>
    </row>
    <row r="6" spans="1:30" x14ac:dyDescent="0.35">
      <c r="A6" s="72" t="s">
        <v>30</v>
      </c>
      <c r="B6" s="72"/>
      <c r="C6" s="72" t="s">
        <v>34</v>
      </c>
      <c r="D6" s="53">
        <f>'Baseline System Analysis'!D6</f>
        <v>6.0580080138093939E-3</v>
      </c>
      <c r="E6" s="53">
        <f>'Baseline System Analysis'!E6</f>
        <v>1.7771756236396739E-2</v>
      </c>
      <c r="F6" s="53">
        <f>'Baseline System Analysis'!F6</f>
        <v>2.504677784712513E-2</v>
      </c>
      <c r="G6" s="53">
        <f>'Baseline System Analysis'!G6</f>
        <v>3.2321799457853517E-2</v>
      </c>
      <c r="H6" s="53">
        <f>'Baseline System Analysis'!H6</f>
        <v>3.9596821068581908E-2</v>
      </c>
      <c r="I6" s="53">
        <f>'Baseline System Analysis'!I6</f>
        <v>4.6871842679310299E-2</v>
      </c>
      <c r="J6" s="53">
        <f>'Baseline System Analysis'!J6</f>
        <v>5.414686429003869E-2</v>
      </c>
      <c r="K6" s="53">
        <f>'Baseline System Analysis'!K6</f>
        <v>4.57170533491131E-2</v>
      </c>
      <c r="L6" s="53">
        <f>'Baseline System Analysis'!L6</f>
        <v>3.8991796004088156E-2</v>
      </c>
      <c r="M6" s="53">
        <f>'Baseline System Analysis'!M6</f>
        <v>3.1792887361975948E-2</v>
      </c>
      <c r="N6" s="53">
        <f>'Baseline System Analysis'!N6</f>
        <v>4.2212624824281168E-2</v>
      </c>
      <c r="O6" s="53">
        <f>'Baseline System Analysis'!O6</f>
        <v>5.9766414638595444E-2</v>
      </c>
      <c r="P6" s="53">
        <f>'Baseline System Analysis'!P6</f>
        <v>7.7320204452909727E-2</v>
      </c>
      <c r="Q6" s="53">
        <f>'Baseline System Analysis'!Q6</f>
        <v>9.487399426722401E-2</v>
      </c>
      <c r="R6" s="53">
        <f>'Baseline System Analysis'!R6</f>
        <v>0.11242778408153829</v>
      </c>
      <c r="S6" s="53">
        <f>'Baseline System Analysis'!S6</f>
        <v>0.12998157389585258</v>
      </c>
      <c r="T6" s="53">
        <f>'Baseline System Analysis'!T6</f>
        <v>0.14753536371016684</v>
      </c>
      <c r="U6" s="53">
        <f>'Baseline System Analysis'!U6</f>
        <v>0.40051087482777559</v>
      </c>
      <c r="V6" s="53">
        <f>'Baseline System Analysis'!V6</f>
        <v>0.65348638594538433</v>
      </c>
      <c r="W6" s="53">
        <f>'Baseline System Analysis'!W6</f>
        <v>0.90646189706299307</v>
      </c>
      <c r="X6" s="53">
        <f>'Baseline System Analysis'!X6</f>
        <v>1.1594374081806018</v>
      </c>
      <c r="Y6" s="53">
        <f>'Baseline System Analysis'!Y6</f>
        <v>1.4124129192982104</v>
      </c>
      <c r="Z6" s="53">
        <f>'Baseline System Analysis'!Z6</f>
        <v>1.2710233198999881</v>
      </c>
      <c r="AA6" s="53">
        <f>'Baseline System Analysis'!AA6</f>
        <v>1.1296337205017657</v>
      </c>
      <c r="AB6" s="53">
        <f>'Baseline System Analysis'!AB6</f>
        <v>0.98824412110354332</v>
      </c>
      <c r="AC6" s="53">
        <f>'Baseline System Analysis'!AC6</f>
        <v>0.84685452170532094</v>
      </c>
      <c r="AD6" s="53">
        <f>'Baseline System Analysis'!AD6</f>
        <v>0.70546492230709823</v>
      </c>
    </row>
    <row r="7" spans="1:30" x14ac:dyDescent="0.35">
      <c r="A7" s="72" t="s">
        <v>30</v>
      </c>
      <c r="B7" s="72"/>
      <c r="C7" s="72" t="s">
        <v>35</v>
      </c>
      <c r="D7" s="53">
        <f>'Baseline System Analysis'!D7</f>
        <v>14</v>
      </c>
      <c r="E7" s="53">
        <f>'Baseline System Analysis'!E7</f>
        <v>21</v>
      </c>
      <c r="F7" s="53">
        <f>'Baseline System Analysis'!F7</f>
        <v>23.2</v>
      </c>
      <c r="G7" s="53">
        <f>'Baseline System Analysis'!G7</f>
        <v>25.4</v>
      </c>
      <c r="H7" s="53">
        <f>'Baseline System Analysis'!H7</f>
        <v>27.599999999999998</v>
      </c>
      <c r="I7" s="53">
        <f>'Baseline System Analysis'!I7</f>
        <v>29.799999999999997</v>
      </c>
      <c r="J7" s="53">
        <f>'Baseline System Analysis'!J7</f>
        <v>32</v>
      </c>
      <c r="K7" s="53">
        <f>'Baseline System Analysis'!K7</f>
        <v>30</v>
      </c>
      <c r="L7" s="53">
        <f>'Baseline System Analysis'!L7</f>
        <v>29</v>
      </c>
      <c r="M7" s="53">
        <f>'Baseline System Analysis'!M7</f>
        <v>29</v>
      </c>
      <c r="N7" s="53">
        <f>'Baseline System Analysis'!N7</f>
        <v>29</v>
      </c>
      <c r="O7" s="53">
        <f>'Baseline System Analysis'!O7</f>
        <v>32.666666666666664</v>
      </c>
      <c r="P7" s="53">
        <f>'Baseline System Analysis'!P7</f>
        <v>36.333333333333329</v>
      </c>
      <c r="Q7" s="53">
        <f>'Baseline System Analysis'!Q7</f>
        <v>39.999999999999993</v>
      </c>
      <c r="R7" s="53">
        <f>'Baseline System Analysis'!R7</f>
        <v>43.666666666666657</v>
      </c>
      <c r="S7" s="53">
        <f>'Baseline System Analysis'!S7</f>
        <v>47.333333333333321</v>
      </c>
      <c r="T7" s="53">
        <f>'Baseline System Analysis'!T7</f>
        <v>51</v>
      </c>
      <c r="U7" s="53">
        <f>'Baseline System Analysis'!U7</f>
        <v>56.6</v>
      </c>
      <c r="V7" s="53">
        <f>'Baseline System Analysis'!V7</f>
        <v>62.2</v>
      </c>
      <c r="W7" s="53">
        <f>'Baseline System Analysis'!W7</f>
        <v>67.8</v>
      </c>
      <c r="X7" s="53">
        <f>'Baseline System Analysis'!X7</f>
        <v>73.399999999999991</v>
      </c>
      <c r="Y7" s="53">
        <f>'Baseline System Analysis'!Y7</f>
        <v>79</v>
      </c>
      <c r="Z7" s="53">
        <f>'Baseline System Analysis'!Z7</f>
        <v>82</v>
      </c>
      <c r="AA7" s="53">
        <f>'Baseline System Analysis'!AA7</f>
        <v>85</v>
      </c>
      <c r="AB7" s="53">
        <f>'Baseline System Analysis'!AB7</f>
        <v>88</v>
      </c>
      <c r="AC7" s="53">
        <f>'Baseline System Analysis'!AC7</f>
        <v>91</v>
      </c>
      <c r="AD7" s="53">
        <f>'Baseline System Analysis'!AD7</f>
        <v>94</v>
      </c>
    </row>
    <row r="8" spans="1:30" x14ac:dyDescent="0.35">
      <c r="A8" s="72" t="s">
        <v>39</v>
      </c>
      <c r="B8" s="72"/>
      <c r="C8" s="72" t="s">
        <v>31</v>
      </c>
      <c r="D8" s="53">
        <f>'Baseline System Analysis'!D8</f>
        <v>22.2</v>
      </c>
      <c r="E8" s="53">
        <f>'Baseline System Analysis'!E8</f>
        <v>65.8</v>
      </c>
      <c r="F8" s="53">
        <f>'Baseline System Analysis'!F8</f>
        <v>102.72</v>
      </c>
      <c r="G8" s="53">
        <f>'Baseline System Analysis'!G8</f>
        <v>139.63999999999999</v>
      </c>
      <c r="H8" s="53">
        <f>'Baseline System Analysis'!H8</f>
        <v>176.56</v>
      </c>
      <c r="I8" s="53">
        <f>'Baseline System Analysis'!I8</f>
        <v>213.48000000000002</v>
      </c>
      <c r="J8" s="53">
        <f>'Baseline System Analysis'!J8</f>
        <v>250.4</v>
      </c>
      <c r="K8" s="53">
        <f>'Baseline System Analysis'!K8</f>
        <v>216.60000000000014</v>
      </c>
      <c r="L8" s="53">
        <f>'Baseline System Analysis'!L8</f>
        <v>182.59999999999991</v>
      </c>
      <c r="M8" s="53">
        <f>'Baseline System Analysis'!M8</f>
        <v>151.20000000000005</v>
      </c>
      <c r="N8" s="53">
        <f>'Baseline System Analysis'!N8</f>
        <v>202.60000000000014</v>
      </c>
      <c r="O8" s="53">
        <f>'Baseline System Analysis'!O8</f>
        <v>292.1666666666668</v>
      </c>
      <c r="P8" s="53">
        <f>'Baseline System Analysis'!P8</f>
        <v>381.73333333333346</v>
      </c>
      <c r="Q8" s="53">
        <f>'Baseline System Analysis'!Q8</f>
        <v>471.30000000000013</v>
      </c>
      <c r="R8" s="53">
        <f>'Baseline System Analysis'!R8</f>
        <v>560.86666666666679</v>
      </c>
      <c r="S8" s="53">
        <f>'Baseline System Analysis'!S8</f>
        <v>650.43333333333339</v>
      </c>
      <c r="T8" s="53">
        <f>'Baseline System Analysis'!T8</f>
        <v>740</v>
      </c>
      <c r="U8" s="53">
        <f>'Baseline System Analysis'!U8</f>
        <v>930.87999999999988</v>
      </c>
      <c r="V8" s="53">
        <f>'Baseline System Analysis'!V8</f>
        <v>1121.7599999999998</v>
      </c>
      <c r="W8" s="53">
        <f>'Baseline System Analysis'!W8</f>
        <v>1312.6399999999996</v>
      </c>
      <c r="X8" s="53">
        <f>'Baseline System Analysis'!X8</f>
        <v>1503.5199999999995</v>
      </c>
      <c r="Y8" s="53">
        <f>'Baseline System Analysis'!Y8</f>
        <v>1694.3999999999994</v>
      </c>
      <c r="Z8" s="53">
        <f>'Baseline System Analysis'!Z8</f>
        <v>1887.3999999999994</v>
      </c>
      <c r="AA8" s="53">
        <f>'Baseline System Analysis'!AA8</f>
        <v>2080.3999999999996</v>
      </c>
      <c r="AB8" s="53">
        <f>'Baseline System Analysis'!AB8</f>
        <v>2273.3999999999996</v>
      </c>
      <c r="AC8" s="53">
        <f>'Baseline System Analysis'!AC8</f>
        <v>2466.3999999999996</v>
      </c>
      <c r="AD8" s="53">
        <f>'Baseline System Analysis'!AD8</f>
        <v>2659.3999999999996</v>
      </c>
    </row>
    <row r="9" spans="1:30" x14ac:dyDescent="0.35">
      <c r="A9" s="72" t="s">
        <v>39</v>
      </c>
      <c r="B9" s="72"/>
      <c r="C9" s="72" t="s">
        <v>32</v>
      </c>
      <c r="D9" s="53">
        <f>'Baseline System Analysis'!D9</f>
        <v>13</v>
      </c>
      <c r="E9" s="53">
        <f>'Baseline System Analysis'!E9</f>
        <v>27</v>
      </c>
      <c r="F9" s="53">
        <f>'Baseline System Analysis'!F9</f>
        <v>34.519999999999982</v>
      </c>
      <c r="G9" s="53">
        <f>'Baseline System Analysis'!G9</f>
        <v>42.039999999999964</v>
      </c>
      <c r="H9" s="53">
        <f>'Baseline System Analysis'!H9</f>
        <v>49.559999999999945</v>
      </c>
      <c r="I9" s="53">
        <f>'Baseline System Analysis'!I9</f>
        <v>57.079999999999927</v>
      </c>
      <c r="J9" s="53">
        <f>'Baseline System Analysis'!J9</f>
        <v>64.599999999999909</v>
      </c>
      <c r="K9" s="53">
        <f>'Baseline System Analysis'!K9</f>
        <v>59.799999999999955</v>
      </c>
      <c r="L9" s="53">
        <f>'Baseline System Analysis'!L9</f>
        <v>52.799999999999955</v>
      </c>
      <c r="M9" s="53">
        <f>'Baseline System Analysis'!M9</f>
        <v>46</v>
      </c>
      <c r="N9" s="53">
        <f>'Baseline System Analysis'!N9</f>
        <v>57.400000000000091</v>
      </c>
      <c r="O9" s="53">
        <f>'Baseline System Analysis'!O9</f>
        <v>67.333333333333414</v>
      </c>
      <c r="P9" s="53">
        <f>'Baseline System Analysis'!P9</f>
        <v>77.266666666666737</v>
      </c>
      <c r="Q9" s="53">
        <f>'Baseline System Analysis'!Q9</f>
        <v>87.20000000000006</v>
      </c>
      <c r="R9" s="53">
        <f>'Baseline System Analysis'!R9</f>
        <v>97.133333333333383</v>
      </c>
      <c r="S9" s="53">
        <f>'Baseline System Analysis'!S9</f>
        <v>107.06666666666671</v>
      </c>
      <c r="T9" s="53">
        <f>'Baseline System Analysis'!T9</f>
        <v>117</v>
      </c>
      <c r="U9" s="53">
        <f>'Baseline System Analysis'!U9</f>
        <v>126.6</v>
      </c>
      <c r="V9" s="53">
        <f>'Baseline System Analysis'!V9</f>
        <v>136.19999999999999</v>
      </c>
      <c r="W9" s="53">
        <f>'Baseline System Analysis'!W9</f>
        <v>145.79999999999998</v>
      </c>
      <c r="X9" s="53">
        <f>'Baseline System Analysis'!X9</f>
        <v>155.39999999999998</v>
      </c>
      <c r="Y9" s="53">
        <f>'Baseline System Analysis'!Y9</f>
        <v>165</v>
      </c>
      <c r="Z9" s="53">
        <f>'Baseline System Analysis'!Z9</f>
        <v>171.84</v>
      </c>
      <c r="AA9" s="53">
        <f>'Baseline System Analysis'!AA9</f>
        <v>178.68</v>
      </c>
      <c r="AB9" s="53">
        <f>'Baseline System Analysis'!AB9</f>
        <v>185.52</v>
      </c>
      <c r="AC9" s="53">
        <f>'Baseline System Analysis'!AC9</f>
        <v>192.36</v>
      </c>
      <c r="AD9" s="53">
        <f>'Baseline System Analysis'!AD9</f>
        <v>199.20000000000005</v>
      </c>
    </row>
    <row r="10" spans="1:30" x14ac:dyDescent="0.35">
      <c r="A10" s="72" t="s">
        <v>39</v>
      </c>
      <c r="B10" s="72"/>
      <c r="C10" s="72" t="s">
        <v>33</v>
      </c>
      <c r="D10" s="53">
        <f>'Baseline System Analysis'!D10</f>
        <v>4.7253529883901121E-2</v>
      </c>
      <c r="E10" s="53">
        <f>'Baseline System Analysis'!E10</f>
        <v>0.28011551949195379</v>
      </c>
      <c r="F10" s="53">
        <f>'Baseline System Analysis'!F10</f>
        <v>0.59718244793816533</v>
      </c>
      <c r="G10" s="53">
        <f>'Baseline System Analysis'!G10</f>
        <v>0.91424937638437687</v>
      </c>
      <c r="H10" s="53">
        <f>'Baseline System Analysis'!H10</f>
        <v>1.2313163048305884</v>
      </c>
      <c r="I10" s="53">
        <f>'Baseline System Analysis'!I10</f>
        <v>1.5483832332767999</v>
      </c>
      <c r="J10" s="53">
        <f>'Baseline System Analysis'!J10</f>
        <v>1.8654501617230115</v>
      </c>
      <c r="K10" s="53">
        <f>'Baseline System Analysis'!K10</f>
        <v>1.6136441894137561</v>
      </c>
      <c r="L10" s="53">
        <f>'Baseline System Analysis'!L10</f>
        <v>1.1660127779459895</v>
      </c>
      <c r="M10" s="53">
        <f>'Baseline System Analysis'!M10</f>
        <v>0.80458713045561225</v>
      </c>
      <c r="N10" s="53">
        <f>'Baseline System Analysis'!N10</f>
        <v>0.56680711827214547</v>
      </c>
      <c r="O10" s="53">
        <f>'Baseline System Analysis'!O10</f>
        <v>3.0445179689462347</v>
      </c>
      <c r="P10" s="53">
        <f>'Baseline System Analysis'!P10</f>
        <v>4.5886299372095039</v>
      </c>
      <c r="Q10" s="53">
        <f>'Baseline System Analysis'!Q10</f>
        <v>6.1327419054727734</v>
      </c>
      <c r="R10" s="53">
        <f>'Baseline System Analysis'!R10</f>
        <v>7.676853873736043</v>
      </c>
      <c r="S10" s="53">
        <f>'Baseline System Analysis'!S10</f>
        <v>9.2209658419993126</v>
      </c>
      <c r="T10" s="53">
        <f>'Baseline System Analysis'!T10</f>
        <v>10.765077810262582</v>
      </c>
      <c r="U10" s="53">
        <f>'Baseline System Analysis'!U10</f>
        <v>11.285969377257926</v>
      </c>
      <c r="V10" s="53">
        <f>'Baseline System Analysis'!V10</f>
        <v>11.80686094425327</v>
      </c>
      <c r="W10" s="53">
        <f>'Baseline System Analysis'!W10</f>
        <v>12.327752511248613</v>
      </c>
      <c r="X10" s="53">
        <f>'Baseline System Analysis'!X10</f>
        <v>12.848644078243957</v>
      </c>
      <c r="Y10" s="53">
        <f>'Baseline System Analysis'!Y10</f>
        <v>13.369535645239303</v>
      </c>
      <c r="Z10" s="53">
        <f>'Baseline System Analysis'!Z10</f>
        <v>31.024884631077057</v>
      </c>
      <c r="AA10" s="53">
        <f>'Baseline System Analysis'!AA10</f>
        <v>48.680233616914812</v>
      </c>
      <c r="AB10" s="53">
        <f>'Baseline System Analysis'!AB10</f>
        <v>66.335582602752567</v>
      </c>
      <c r="AC10" s="53">
        <f>'Baseline System Analysis'!AC10</f>
        <v>83.990931588590314</v>
      </c>
      <c r="AD10" s="53">
        <f>'Baseline System Analysis'!AD10</f>
        <v>101.64628057442808</v>
      </c>
    </row>
    <row r="11" spans="1:30" x14ac:dyDescent="0.35">
      <c r="A11" s="72" t="s">
        <v>39</v>
      </c>
      <c r="B11" s="72"/>
      <c r="C11" s="72" t="s">
        <v>34</v>
      </c>
      <c r="D11" s="53">
        <f>'Baseline System Analysis'!D11</f>
        <v>2.3626764941950561E-2</v>
      </c>
      <c r="E11" s="53">
        <f>'Baseline System Analysis'!E11</f>
        <v>7.0028879872988448E-2</v>
      </c>
      <c r="F11" s="53">
        <f>'Baseline System Analysis'!F11</f>
        <v>0.10932167994761965</v>
      </c>
      <c r="G11" s="53">
        <f>'Baseline System Analysis'!G11</f>
        <v>0.14861448002225086</v>
      </c>
      <c r="H11" s="53">
        <f>'Baseline System Analysis'!H11</f>
        <v>0.18790728009688207</v>
      </c>
      <c r="I11" s="53">
        <f>'Baseline System Analysis'!I11</f>
        <v>0.22720008017151327</v>
      </c>
      <c r="J11" s="53">
        <f>'Baseline System Analysis'!J11</f>
        <v>0.26649288024614448</v>
      </c>
      <c r="K11" s="53">
        <f>'Baseline System Analysis'!K11</f>
        <v>0.23052059848767945</v>
      </c>
      <c r="L11" s="53">
        <f>'Baseline System Analysis'!L11</f>
        <v>0.19433546299099821</v>
      </c>
      <c r="M11" s="53">
        <f>'Baseline System Analysis'!M11</f>
        <v>0.16091742609112245</v>
      </c>
      <c r="N11" s="53">
        <f>'Baseline System Analysis'!N11</f>
        <v>4.2212624824281168E-2</v>
      </c>
      <c r="O11" s="53">
        <f>'Baseline System Analysis'!O11</f>
        <v>0.30677545020347896</v>
      </c>
      <c r="P11" s="53">
        <f>'Baseline System Analysis'!P11</f>
        <v>0.39920718602367722</v>
      </c>
      <c r="Q11" s="53">
        <f>'Baseline System Analysis'!Q11</f>
        <v>0.49163892184387548</v>
      </c>
      <c r="R11" s="53">
        <f>'Baseline System Analysis'!R11</f>
        <v>0.58407065766407373</v>
      </c>
      <c r="S11" s="53">
        <f>'Baseline System Analysis'!S11</f>
        <v>0.67650239348427199</v>
      </c>
      <c r="T11" s="53">
        <f>'Baseline System Analysis'!T11</f>
        <v>0.76893412930447014</v>
      </c>
      <c r="U11" s="53">
        <f>'Baseline System Analysis'!U11</f>
        <v>0.69278283231502535</v>
      </c>
      <c r="V11" s="53">
        <f>'Baseline System Analysis'!V11</f>
        <v>0.61663153532558057</v>
      </c>
      <c r="W11" s="53">
        <f>'Baseline System Analysis'!W11</f>
        <v>0.54048023833613579</v>
      </c>
      <c r="X11" s="53">
        <f>'Baseline System Analysis'!X11</f>
        <v>0.464328941346691</v>
      </c>
      <c r="Y11" s="53">
        <f>'Baseline System Analysis'!Y11</f>
        <v>0.38817764435724611</v>
      </c>
      <c r="Z11" s="53">
        <f>'Baseline System Analysis'!Z11</f>
        <v>0.85998146994216484</v>
      </c>
      <c r="AA11" s="53">
        <f>'Baseline System Analysis'!AA11</f>
        <v>1.3317852955270837</v>
      </c>
      <c r="AB11" s="53">
        <f>'Baseline System Analysis'!AB11</f>
        <v>1.8035891211120025</v>
      </c>
      <c r="AC11" s="53">
        <f>'Baseline System Analysis'!AC11</f>
        <v>2.2753929466969214</v>
      </c>
      <c r="AD11" s="53">
        <f>'Baseline System Analysis'!AD11</f>
        <v>2.74719677228184</v>
      </c>
    </row>
    <row r="12" spans="1:30" x14ac:dyDescent="0.35">
      <c r="A12" s="72" t="s">
        <v>39</v>
      </c>
      <c r="B12" s="72"/>
      <c r="C12" s="72" t="s">
        <v>35</v>
      </c>
      <c r="D12" s="53">
        <f>'Baseline System Analysis'!D12</f>
        <v>2</v>
      </c>
      <c r="E12" s="53">
        <f>'Baseline System Analysis'!E12</f>
        <v>4</v>
      </c>
      <c r="F12" s="53">
        <f>'Baseline System Analysis'!F12</f>
        <v>4.5999999999999996</v>
      </c>
      <c r="G12" s="53">
        <f>'Baseline System Analysis'!G12</f>
        <v>5.1999999999999993</v>
      </c>
      <c r="H12" s="53">
        <f>'Baseline System Analysis'!H12</f>
        <v>5.7999999999999989</v>
      </c>
      <c r="I12" s="53">
        <f>'Baseline System Analysis'!I12</f>
        <v>6.3999999999999986</v>
      </c>
      <c r="J12" s="53">
        <f>'Baseline System Analysis'!J12</f>
        <v>7</v>
      </c>
      <c r="K12" s="53">
        <f>'Baseline System Analysis'!K12</f>
        <v>7</v>
      </c>
      <c r="L12" s="53">
        <f>'Baseline System Analysis'!L12</f>
        <v>6</v>
      </c>
      <c r="M12" s="53">
        <f>'Baseline System Analysis'!M12</f>
        <v>5</v>
      </c>
      <c r="N12" s="53">
        <f>'Baseline System Analysis'!N12</f>
        <v>7</v>
      </c>
      <c r="O12" s="53">
        <f>'Baseline System Analysis'!O12</f>
        <v>8.1666666666666661</v>
      </c>
      <c r="P12" s="53">
        <f>'Baseline System Analysis'!P12</f>
        <v>9.3333333333333321</v>
      </c>
      <c r="Q12" s="53">
        <f>'Baseline System Analysis'!Q12</f>
        <v>10.499999999999998</v>
      </c>
      <c r="R12" s="53">
        <f>'Baseline System Analysis'!R12</f>
        <v>11.666666666666664</v>
      </c>
      <c r="S12" s="53">
        <f>'Baseline System Analysis'!S12</f>
        <v>12.83333333333333</v>
      </c>
      <c r="T12" s="53">
        <f>'Baseline System Analysis'!T12</f>
        <v>14</v>
      </c>
      <c r="U12" s="53">
        <f>'Baseline System Analysis'!U12</f>
        <v>17</v>
      </c>
      <c r="V12" s="53">
        <f>'Baseline System Analysis'!V12</f>
        <v>20</v>
      </c>
      <c r="W12" s="53">
        <f>'Baseline System Analysis'!W12</f>
        <v>23</v>
      </c>
      <c r="X12" s="53">
        <f>'Baseline System Analysis'!X12</f>
        <v>26</v>
      </c>
      <c r="Y12" s="53">
        <f>'Baseline System Analysis'!Y12</f>
        <v>29</v>
      </c>
      <c r="Z12" s="53">
        <f>'Baseline System Analysis'!Z12</f>
        <v>30.6</v>
      </c>
      <c r="AA12" s="53">
        <f>'Baseline System Analysis'!AA12</f>
        <v>32.200000000000003</v>
      </c>
      <c r="AB12" s="53">
        <f>'Baseline System Analysis'!AB12</f>
        <v>33.800000000000004</v>
      </c>
      <c r="AC12" s="53">
        <f>'Baseline System Analysis'!AC12</f>
        <v>35.400000000000006</v>
      </c>
      <c r="AD12" s="53">
        <f>'Baseline System Analysis'!AD12</f>
        <v>37</v>
      </c>
    </row>
    <row r="13" spans="1:30" x14ac:dyDescent="0.35">
      <c r="A13" s="72" t="s">
        <v>30</v>
      </c>
      <c r="B13" s="72"/>
      <c r="C13" s="72" t="s">
        <v>108</v>
      </c>
      <c r="D13" s="53">
        <f>'Baseline System Analysis'!D13</f>
        <v>5445.825674993449</v>
      </c>
      <c r="E13" s="53">
        <f>'Baseline System Analysis'!E13</f>
        <v>7241.293555071361</v>
      </c>
      <c r="F13" s="53">
        <f>'Baseline System Analysis'!F13</f>
        <v>9036.7614351492721</v>
      </c>
      <c r="G13" s="53">
        <f>'Baseline System Analysis'!G13</f>
        <v>10832.229315227183</v>
      </c>
      <c r="H13" s="53">
        <f>'Baseline System Analysis'!H13</f>
        <v>12627.697195305094</v>
      </c>
      <c r="I13" s="53">
        <f>'Baseline System Analysis'!I13</f>
        <v>14423.165075383005</v>
      </c>
      <c r="J13" s="53">
        <f>'Baseline System Analysis'!J13</f>
        <v>16218.632955460916</v>
      </c>
      <c r="K13" s="53">
        <f>'Baseline System Analysis'!K13</f>
        <v>15620.143662101613</v>
      </c>
      <c r="L13" s="53">
        <f>'Baseline System Analysis'!L13</f>
        <v>15021.654368742309</v>
      </c>
      <c r="M13" s="53">
        <f>'Baseline System Analysis'!M13</f>
        <v>13525.43113534405</v>
      </c>
      <c r="N13" s="53">
        <f>'Baseline System Analysis'!N13</f>
        <v>14423.165075383005</v>
      </c>
      <c r="O13" s="53">
        <f>'Baseline System Analysis'!O13</f>
        <v>16913.232955460899</v>
      </c>
      <c r="P13" s="53">
        <f>'Baseline System Analysis'!P13</f>
        <v>17831.369243247562</v>
      </c>
      <c r="Q13" s="53">
        <f>'Baseline System Analysis'!Q13</f>
        <v>18749.505531034225</v>
      </c>
      <c r="R13" s="53">
        <f>'Baseline System Analysis'!R13</f>
        <v>19667.641818820888</v>
      </c>
      <c r="S13" s="53">
        <f>'Baseline System Analysis'!S13</f>
        <v>20585.778106607551</v>
      </c>
      <c r="T13" s="53">
        <f>'Baseline System Analysis'!T13</f>
        <v>21503.914394394214</v>
      </c>
      <c r="U13" s="53">
        <f>'Baseline System Analysis'!U13</f>
        <v>22422.050682180878</v>
      </c>
      <c r="V13" s="53">
        <f>'Baseline System Analysis'!V13</f>
        <v>23340.186969967541</v>
      </c>
      <c r="W13" s="53">
        <f>'Baseline System Analysis'!W13</f>
        <v>24258.323257754204</v>
      </c>
      <c r="X13" s="53">
        <f>'Baseline System Analysis'!X13</f>
        <v>25176.459545540867</v>
      </c>
      <c r="Y13" s="53">
        <f>'Baseline System Analysis'!Y13</f>
        <v>26094.59583332753</v>
      </c>
      <c r="Z13" s="53">
        <f>'Baseline System Analysis'!Z13</f>
        <v>27012.732121114193</v>
      </c>
      <c r="AA13" s="53">
        <f>'Baseline System Analysis'!AA13</f>
        <v>27930.868408900857</v>
      </c>
      <c r="AB13" s="53">
        <f>'Baseline System Analysis'!AB13</f>
        <v>28849.00469668752</v>
      </c>
      <c r="AC13" s="53">
        <f>'Baseline System Analysis'!AC13</f>
        <v>29767.140984474183</v>
      </c>
      <c r="AD13" s="53">
        <f>'Baseline System Analysis'!AD13</f>
        <v>30685.277272260842</v>
      </c>
    </row>
    <row r="14" spans="1:30" x14ac:dyDescent="0.35">
      <c r="A14" s="72" t="s">
        <v>30</v>
      </c>
      <c r="B14" s="72"/>
      <c r="C14" s="72" t="s">
        <v>109</v>
      </c>
      <c r="D14" s="53">
        <f>'Baseline System Analysis'!D14</f>
        <v>192864.66620394157</v>
      </c>
      <c r="E14" s="53">
        <f>'Baseline System Analysis'!E14</f>
        <v>195239.2419650236</v>
      </c>
      <c r="F14" s="53">
        <f>'Baseline System Analysis'!F14</f>
        <v>196366.76544203321</v>
      </c>
      <c r="G14" s="53">
        <f>'Baseline System Analysis'!G14</f>
        <v>197525.37556068008</v>
      </c>
      <c r="H14" s="53">
        <f>'Baseline System Analysis'!H14</f>
        <v>198743.92387830256</v>
      </c>
      <c r="I14" s="53">
        <f>'Baseline System Analysis'!I14</f>
        <v>200140.93841202525</v>
      </c>
      <c r="J14" s="53">
        <f>'Baseline System Analysis'!J14</f>
        <v>201537.7102617296</v>
      </c>
      <c r="K14" s="53">
        <f>'Baseline System Analysis'!K14</f>
        <v>200616.89493678272</v>
      </c>
      <c r="L14" s="53">
        <f>'Baseline System Analysis'!L14</f>
        <v>199696.14928779242</v>
      </c>
      <c r="M14" s="53">
        <f>'Baseline System Analysis'!M14</f>
        <v>198775.23322502323</v>
      </c>
      <c r="N14" s="53">
        <f>'Baseline System Analysis'!N14</f>
        <v>200250.33489773443</v>
      </c>
      <c r="O14" s="53">
        <f>'Baseline System Analysis'!O14</f>
        <v>201766.1654636735</v>
      </c>
      <c r="P14" s="53">
        <f>'Baseline System Analysis'!P14</f>
        <v>203325.96278464468</v>
      </c>
      <c r="Q14" s="53">
        <f>'Baseline System Analysis'!Q14</f>
        <v>204856.96017693213</v>
      </c>
      <c r="R14" s="53">
        <f>'Baseline System Analysis'!R14</f>
        <v>206421.18825616254</v>
      </c>
      <c r="S14" s="53">
        <f>'Baseline System Analysis'!S14</f>
        <v>208013.70502273936</v>
      </c>
      <c r="T14" s="53">
        <f>'Baseline System Analysis'!T14</f>
        <v>209643.37199318074</v>
      </c>
      <c r="U14" s="53">
        <f>'Baseline System Analysis'!U14</f>
        <v>211125.2902170599</v>
      </c>
      <c r="V14" s="53">
        <f>'Baseline System Analysis'!V14</f>
        <v>212613.854578328</v>
      </c>
      <c r="W14" s="53">
        <f>'Baseline System Analysis'!W14</f>
        <v>214101.90769825791</v>
      </c>
      <c r="X14" s="53">
        <f>'Baseline System Analysis'!X14</f>
        <v>215599.50398982322</v>
      </c>
      <c r="Y14" s="53">
        <f>'Baseline System Analysis'!Y14</f>
        <v>216849.14823265999</v>
      </c>
      <c r="Z14" s="53">
        <f>'Baseline System Analysis'!Z14</f>
        <v>218069.3108916957</v>
      </c>
      <c r="AA14" s="53">
        <f>'Baseline System Analysis'!AA14</f>
        <v>219248.74465750376</v>
      </c>
      <c r="AB14" s="53">
        <f>'Baseline System Analysis'!AB14</f>
        <v>220395.79980526475</v>
      </c>
      <c r="AC14" s="53">
        <f>'Baseline System Analysis'!AC14</f>
        <v>221214.46760051764</v>
      </c>
      <c r="AD14" s="53">
        <f>'Baseline System Analysis'!AD14</f>
        <v>221946.05395460132</v>
      </c>
    </row>
    <row r="15" spans="1:30" x14ac:dyDescent="0.35">
      <c r="A15" s="72" t="s">
        <v>30</v>
      </c>
      <c r="B15" s="72"/>
      <c r="C15" s="72" t="s">
        <v>110</v>
      </c>
      <c r="D15" s="53">
        <f>'Baseline System Analysis'!D15</f>
        <v>57814.1637958055</v>
      </c>
      <c r="E15" s="53">
        <f>'Baseline System Analysis'!E15</f>
        <v>62191.746894023359</v>
      </c>
      <c r="F15" s="53">
        <f>'Baseline System Analysis'!F15</f>
        <v>64361.105239567863</v>
      </c>
      <c r="G15" s="53">
        <f>'Baseline System Analysis'!G15</f>
        <v>66628.501001105484</v>
      </c>
      <c r="H15" s="53">
        <f>'Baseline System Analysis'!H15</f>
        <v>69068.22672153436</v>
      </c>
      <c r="I15" s="53">
        <f>'Baseline System Analysis'!I15</f>
        <v>71918.961016641551</v>
      </c>
      <c r="J15" s="53">
        <f>'Baseline System Analysis'!J15</f>
        <v>74820.679205256296</v>
      </c>
      <c r="K15" s="53">
        <f>'Baseline System Analysis'!K15</f>
        <v>72899.28225345345</v>
      </c>
      <c r="L15" s="53">
        <f>'Baseline System Analysis'!L15</f>
        <v>71006.352594376862</v>
      </c>
      <c r="M15" s="53">
        <f>'Baseline System Analysis'!M15</f>
        <v>69131.616141376318</v>
      </c>
      <c r="N15" s="53">
        <f>'Baseline System Analysis'!N15</f>
        <v>72143.764963991809</v>
      </c>
      <c r="O15" s="53">
        <f>'Baseline System Analysis'!O15</f>
        <v>75301.925896232133</v>
      </c>
      <c r="P15" s="53">
        <f>'Baseline System Analysis'!P15</f>
        <v>78629.627518656707</v>
      </c>
      <c r="Q15" s="53">
        <f>'Baseline System Analysis'!Q15</f>
        <v>81951.057574073071</v>
      </c>
      <c r="R15" s="53">
        <f>'Baseline System Analysis'!R15</f>
        <v>85383.424638269789</v>
      </c>
      <c r="S15" s="53">
        <f>'Baseline System Analysis'!S15</f>
        <v>88945.971119594135</v>
      </c>
      <c r="T15" s="53">
        <f>'Baseline System Analysis'!T15</f>
        <v>92676.895920951385</v>
      </c>
      <c r="U15" s="53">
        <f>'Baseline System Analysis'!U15</f>
        <v>96145.729908431153</v>
      </c>
      <c r="V15" s="53">
        <f>'Baseline System Analysis'!V15</f>
        <v>99700.858162341799</v>
      </c>
      <c r="W15" s="53">
        <f>'Baseline System Analysis'!W15</f>
        <v>103340.20977892888</v>
      </c>
      <c r="X15" s="53">
        <f>'Baseline System Analysis'!X15</f>
        <v>107065.51818072386</v>
      </c>
      <c r="Y15" s="53">
        <f>'Baseline System Analysis'!Y15</f>
        <v>110237.64392344528</v>
      </c>
      <c r="Z15" s="53">
        <f>'Baseline System Analysis'!Z15</f>
        <v>113355.67104643886</v>
      </c>
      <c r="AA15" s="53">
        <f>'Baseline System Analysis'!AA15</f>
        <v>116394.79841235251</v>
      </c>
      <c r="AB15" s="53">
        <f>'Baseline System Analysis'!AB15</f>
        <v>119393.94598127359</v>
      </c>
      <c r="AC15" s="53">
        <f>'Baseline System Analysis'!AC15</f>
        <v>121552.79504833522</v>
      </c>
      <c r="AD15" s="53">
        <f>'Baseline System Analysis'!AD15</f>
        <v>123501.36707164065</v>
      </c>
    </row>
    <row r="17" spans="1:35" ht="20" thickBot="1" x14ac:dyDescent="0.5">
      <c r="A17" s="113"/>
      <c r="B17" s="122"/>
      <c r="C17" s="113" t="s">
        <v>105</v>
      </c>
      <c r="D17" s="113">
        <v>2022</v>
      </c>
      <c r="E17" s="113">
        <v>2023</v>
      </c>
      <c r="F17" s="113">
        <v>2024</v>
      </c>
      <c r="G17" s="113">
        <v>2025</v>
      </c>
      <c r="H17" s="113">
        <v>2026</v>
      </c>
      <c r="I17" s="113">
        <v>2027</v>
      </c>
      <c r="J17" s="113">
        <v>2028</v>
      </c>
      <c r="K17" s="113">
        <v>2029</v>
      </c>
      <c r="L17" s="113">
        <v>2030</v>
      </c>
      <c r="M17" s="113">
        <v>2031</v>
      </c>
      <c r="N17" s="113">
        <v>2032</v>
      </c>
      <c r="O17" s="113">
        <v>2033</v>
      </c>
      <c r="P17" s="113">
        <v>2034</v>
      </c>
      <c r="Q17" s="113">
        <v>2035</v>
      </c>
      <c r="R17" s="113">
        <v>2036</v>
      </c>
      <c r="S17" s="113">
        <v>2037</v>
      </c>
      <c r="T17" s="113">
        <v>2038</v>
      </c>
      <c r="U17" s="113">
        <v>2039</v>
      </c>
      <c r="V17" s="113">
        <v>2040</v>
      </c>
      <c r="W17" s="113">
        <v>2041</v>
      </c>
      <c r="X17" s="113">
        <v>2042</v>
      </c>
      <c r="Y17" s="113">
        <v>2043</v>
      </c>
      <c r="Z17" s="113">
        <v>2044</v>
      </c>
      <c r="AA17" s="113">
        <v>2045</v>
      </c>
      <c r="AB17" s="113">
        <v>2046</v>
      </c>
      <c r="AC17" s="113">
        <v>2047</v>
      </c>
      <c r="AD17" s="113">
        <v>2048</v>
      </c>
      <c r="AE17" s="72"/>
      <c r="AF17" s="72"/>
      <c r="AG17" s="72"/>
      <c r="AH17" s="72"/>
      <c r="AI17" s="72"/>
    </row>
    <row r="18" spans="1:35" ht="49.75" customHeight="1" thickTop="1" x14ac:dyDescent="0.35">
      <c r="A18" s="72"/>
      <c r="B18" s="27" t="s">
        <v>15</v>
      </c>
      <c r="C18" s="72" t="s">
        <v>107</v>
      </c>
      <c r="D18" s="53">
        <v>49328.200000000405</v>
      </c>
      <c r="E18" s="53">
        <v>49736.291346154219</v>
      </c>
      <c r="F18" s="53">
        <v>50144.382692308034</v>
      </c>
      <c r="G18" s="53">
        <v>50552.474038461849</v>
      </c>
      <c r="H18" s="53">
        <v>50960.565384615664</v>
      </c>
      <c r="I18" s="53">
        <v>51368.656730769479</v>
      </c>
      <c r="J18" s="53">
        <v>51776.748076923293</v>
      </c>
      <c r="K18" s="53">
        <v>51088.999999999942</v>
      </c>
      <c r="L18" s="53">
        <v>50877.450000000033</v>
      </c>
      <c r="M18" s="53">
        <v>50664.200000000375</v>
      </c>
      <c r="N18" s="53">
        <v>51004.824999999888</v>
      </c>
      <c r="O18" s="53">
        <v>51341.95156249986</v>
      </c>
      <c r="P18" s="53">
        <v>51679.078124999833</v>
      </c>
      <c r="Q18" s="53">
        <v>52016.204687499805</v>
      </c>
      <c r="R18" s="53">
        <v>52353.331249999777</v>
      </c>
      <c r="S18" s="53">
        <v>52690.45781249975</v>
      </c>
      <c r="T18" s="53">
        <v>53027.584374999722</v>
      </c>
      <c r="U18" s="53">
        <v>53364.710937499694</v>
      </c>
      <c r="V18" s="53">
        <v>53701.837499999667</v>
      </c>
      <c r="W18" s="53">
        <v>54038.964062499639</v>
      </c>
      <c r="X18" s="53">
        <v>54376.090624999611</v>
      </c>
      <c r="Y18" s="53">
        <v>54713.217187499584</v>
      </c>
      <c r="Z18" s="53">
        <v>55050.343749999556</v>
      </c>
      <c r="AA18" s="53">
        <v>55387.470312499529</v>
      </c>
      <c r="AB18" s="53">
        <v>55724.596874999501</v>
      </c>
      <c r="AC18" s="53">
        <v>56061.723437499473</v>
      </c>
      <c r="AD18" s="53">
        <v>56398.849999999438</v>
      </c>
      <c r="AE18" s="72"/>
      <c r="AF18" s="72"/>
      <c r="AG18" s="72"/>
      <c r="AH18" s="72"/>
      <c r="AI18" s="72"/>
    </row>
    <row r="19" spans="1:35" x14ac:dyDescent="0.35">
      <c r="A19" s="72" t="s">
        <v>30</v>
      </c>
      <c r="B19" s="72"/>
      <c r="C19" s="72" t="s">
        <v>31</v>
      </c>
      <c r="D19" s="53">
        <v>5.7999999999999829</v>
      </c>
      <c r="E19" s="53">
        <v>14.48333333333332</v>
      </c>
      <c r="F19" s="53">
        <v>23.166666666666657</v>
      </c>
      <c r="G19" s="53">
        <v>31.849999999999994</v>
      </c>
      <c r="H19" s="53">
        <v>40.533333333333331</v>
      </c>
      <c r="I19" s="53">
        <v>49.216666666666669</v>
      </c>
      <c r="J19" s="53">
        <v>57.900000000000006</v>
      </c>
      <c r="K19" s="53">
        <v>52.5</v>
      </c>
      <c r="L19" s="53">
        <v>44.099999999999966</v>
      </c>
      <c r="M19" s="53">
        <v>35.900000000000006</v>
      </c>
      <c r="N19" s="53">
        <v>48.499999999999972</v>
      </c>
      <c r="O19" s="53">
        <v>61.10000000000008</v>
      </c>
      <c r="P19" s="53">
        <v>82.380000000000067</v>
      </c>
      <c r="Q19" s="53">
        <v>103.66000000000005</v>
      </c>
      <c r="R19" s="53">
        <v>124.94000000000004</v>
      </c>
      <c r="S19" s="53">
        <v>146.22000000000003</v>
      </c>
      <c r="T19" s="53">
        <v>167.5</v>
      </c>
      <c r="U19" s="53">
        <v>220.02</v>
      </c>
      <c r="V19" s="53">
        <v>272.54000000000002</v>
      </c>
      <c r="W19" s="53">
        <v>325.06</v>
      </c>
      <c r="X19" s="53">
        <v>377.58</v>
      </c>
      <c r="Y19" s="53">
        <v>430.1</v>
      </c>
      <c r="Z19" s="53">
        <v>490.70000000000005</v>
      </c>
      <c r="AA19" s="53">
        <v>551.30000000000007</v>
      </c>
      <c r="AB19" s="53">
        <v>611.90000000000009</v>
      </c>
      <c r="AC19" s="53">
        <v>672.50000000000011</v>
      </c>
      <c r="AD19" s="53">
        <v>733.1</v>
      </c>
      <c r="AE19" s="72"/>
      <c r="AF19" s="72"/>
      <c r="AG19" s="72"/>
      <c r="AH19" s="72"/>
      <c r="AI19" s="72"/>
    </row>
    <row r="20" spans="1:35" x14ac:dyDescent="0.35">
      <c r="A20" s="72" t="s">
        <v>30</v>
      </c>
      <c r="B20" s="72"/>
      <c r="C20" s="72" t="s">
        <v>32</v>
      </c>
      <c r="D20" s="53">
        <v>3</v>
      </c>
      <c r="E20" s="53">
        <v>4.916666666666667</v>
      </c>
      <c r="F20" s="53">
        <v>6.8333333333333339</v>
      </c>
      <c r="G20" s="53">
        <v>8.75</v>
      </c>
      <c r="H20" s="53">
        <v>10.666666666666666</v>
      </c>
      <c r="I20" s="53">
        <v>12.583333333333332</v>
      </c>
      <c r="J20" s="53">
        <v>14.5</v>
      </c>
      <c r="K20" s="53">
        <v>13.5</v>
      </c>
      <c r="L20" s="53">
        <v>11.800000000000011</v>
      </c>
      <c r="M20" s="53">
        <v>10.100000000000023</v>
      </c>
      <c r="N20" s="53">
        <v>12.899999999999977</v>
      </c>
      <c r="O20" s="53">
        <v>15.100000000000023</v>
      </c>
      <c r="P20" s="53">
        <v>17.260000000000012</v>
      </c>
      <c r="Q20" s="53">
        <v>19.420000000000002</v>
      </c>
      <c r="R20" s="53">
        <v>21.579999999999991</v>
      </c>
      <c r="S20" s="53">
        <v>23.739999999999981</v>
      </c>
      <c r="T20" s="53">
        <v>25.899999999999977</v>
      </c>
      <c r="U20" s="53">
        <v>27.819999999999983</v>
      </c>
      <c r="V20" s="53">
        <v>29.739999999999988</v>
      </c>
      <c r="W20" s="53">
        <v>31.659999999999993</v>
      </c>
      <c r="X20" s="53">
        <v>33.58</v>
      </c>
      <c r="Y20" s="53">
        <v>35.5</v>
      </c>
      <c r="Z20" s="53">
        <v>36.58</v>
      </c>
      <c r="AA20" s="53">
        <v>37.659999999999997</v>
      </c>
      <c r="AB20" s="53">
        <v>38.739999999999995</v>
      </c>
      <c r="AC20" s="53">
        <v>39.819999999999993</v>
      </c>
      <c r="AD20" s="53">
        <v>40.899999999999977</v>
      </c>
      <c r="AE20" s="72"/>
      <c r="AF20" s="72"/>
      <c r="AG20" s="72"/>
      <c r="AH20" s="72"/>
      <c r="AI20" s="72"/>
    </row>
    <row r="21" spans="1:35" x14ac:dyDescent="0.35">
      <c r="A21" s="72" t="s">
        <v>30</v>
      </c>
      <c r="B21" s="72"/>
      <c r="C21" s="72" t="s">
        <v>33</v>
      </c>
      <c r="D21" s="53">
        <v>1.589413014335395E-2</v>
      </c>
      <c r="E21" s="53">
        <v>8.3763892766986259E-2</v>
      </c>
      <c r="F21" s="53">
        <v>0.15163365539061857</v>
      </c>
      <c r="G21" s="53">
        <v>0.21950341801425088</v>
      </c>
      <c r="H21" s="53">
        <v>0.2873731806378832</v>
      </c>
      <c r="I21" s="53">
        <v>0.35524294326151551</v>
      </c>
      <c r="J21" s="53">
        <v>0.42311270588514782</v>
      </c>
      <c r="K21" s="53">
        <v>0.33569499009670084</v>
      </c>
      <c r="L21" s="53">
        <v>0.28198379168122845</v>
      </c>
      <c r="M21" s="53">
        <v>0.19675836970565813</v>
      </c>
      <c r="N21" s="53">
        <v>0.31011822894647584</v>
      </c>
      <c r="O21" s="53">
        <v>0.44649717322249682</v>
      </c>
      <c r="P21" s="53">
        <v>0.87624427563870033</v>
      </c>
      <c r="Q21" s="53">
        <v>1.305991378054904</v>
      </c>
      <c r="R21" s="53">
        <v>1.7357384804711073</v>
      </c>
      <c r="S21" s="53">
        <v>2.1654855828873107</v>
      </c>
      <c r="T21" s="53">
        <v>2.5952326853035141</v>
      </c>
      <c r="U21" s="53">
        <v>4.3787527413114233</v>
      </c>
      <c r="V21" s="53">
        <v>6.162272797319333</v>
      </c>
      <c r="W21" s="53">
        <v>7.9457928533272426</v>
      </c>
      <c r="X21" s="53">
        <v>9.7293129093351514</v>
      </c>
      <c r="Y21" s="53">
        <v>11.512832965343062</v>
      </c>
      <c r="Z21" s="53">
        <v>14.811529356203364</v>
      </c>
      <c r="AA21" s="53">
        <v>18.110225747063666</v>
      </c>
      <c r="AB21" s="53">
        <v>21.408922137923966</v>
      </c>
      <c r="AC21" s="53">
        <v>24.707618528784266</v>
      </c>
      <c r="AD21" s="53">
        <v>28.00631491964457</v>
      </c>
      <c r="AE21" s="72"/>
      <c r="AF21" s="72"/>
      <c r="AG21" s="72"/>
      <c r="AH21" s="72"/>
      <c r="AI21" s="72"/>
    </row>
    <row r="22" spans="1:35" x14ac:dyDescent="0.35">
      <c r="A22" s="72" t="s">
        <v>30</v>
      </c>
      <c r="B22" s="72"/>
      <c r="C22" s="72" t="s">
        <v>34</v>
      </c>
      <c r="D22" s="53">
        <v>5.2980433811179832E-3</v>
      </c>
      <c r="E22" s="53">
        <v>1.3229884190205566E-2</v>
      </c>
      <c r="F22" s="53">
        <v>2.1161724999293148E-2</v>
      </c>
      <c r="G22" s="53">
        <v>2.9093565808380732E-2</v>
      </c>
      <c r="H22" s="53">
        <v>3.7025406617468316E-2</v>
      </c>
      <c r="I22" s="53">
        <v>4.4957247426555901E-2</v>
      </c>
      <c r="J22" s="53">
        <v>5.2889088235643478E-2</v>
      </c>
      <c r="K22" s="53">
        <v>4.7956427156671547E-2</v>
      </c>
      <c r="L22" s="53">
        <v>4.0283398811604067E-2</v>
      </c>
      <c r="M22" s="53">
        <v>3.2793061617609691E-2</v>
      </c>
      <c r="N22" s="53">
        <v>4.4302604135210831E-2</v>
      </c>
      <c r="O22" s="53">
        <v>5.5812146652812103E-2</v>
      </c>
      <c r="P22" s="53">
        <v>7.5253192874087688E-2</v>
      </c>
      <c r="Q22" s="53">
        <v>9.4694239095363286E-2</v>
      </c>
      <c r="R22" s="53">
        <v>0.11413528531663888</v>
      </c>
      <c r="S22" s="53">
        <v>0.13357633153791448</v>
      </c>
      <c r="T22" s="53">
        <v>0.15301737775919005</v>
      </c>
      <c r="U22" s="53">
        <v>0.20155147472899532</v>
      </c>
      <c r="V22" s="53">
        <v>0.25008557169880058</v>
      </c>
      <c r="W22" s="53">
        <v>0.29861966866860584</v>
      </c>
      <c r="X22" s="53">
        <v>0.3471537656384111</v>
      </c>
      <c r="Y22" s="53">
        <v>0.39568786260821631</v>
      </c>
      <c r="Z22" s="53">
        <v>0.45221430727952383</v>
      </c>
      <c r="AA22" s="53">
        <v>0.50874075195083135</v>
      </c>
      <c r="AB22" s="53">
        <v>0.56526719662213887</v>
      </c>
      <c r="AC22" s="53">
        <v>0.62179364129344639</v>
      </c>
      <c r="AD22" s="53">
        <v>0.67832008596475402</v>
      </c>
      <c r="AE22" s="72"/>
      <c r="AF22" s="72"/>
      <c r="AG22" s="72"/>
      <c r="AH22" s="72"/>
      <c r="AI22" s="72"/>
    </row>
    <row r="23" spans="1:35" x14ac:dyDescent="0.35">
      <c r="A23" s="72" t="s">
        <v>30</v>
      </c>
      <c r="B23" s="72"/>
      <c r="C23" s="72" t="s">
        <v>35</v>
      </c>
      <c r="D23" s="53">
        <v>3</v>
      </c>
      <c r="E23" s="53">
        <v>3.8333333333333335</v>
      </c>
      <c r="F23" s="53">
        <v>4.666666666666667</v>
      </c>
      <c r="G23" s="53">
        <v>5.5</v>
      </c>
      <c r="H23" s="53">
        <v>6.333333333333333</v>
      </c>
      <c r="I23" s="53">
        <v>7.1666666666666661</v>
      </c>
      <c r="J23" s="53">
        <v>8</v>
      </c>
      <c r="K23" s="53">
        <v>7</v>
      </c>
      <c r="L23" s="53">
        <v>6.9999999999999991</v>
      </c>
      <c r="M23" s="53">
        <v>6</v>
      </c>
      <c r="N23" s="53">
        <v>7</v>
      </c>
      <c r="O23" s="53">
        <v>8</v>
      </c>
      <c r="P23" s="53">
        <v>9.8000000000000007</v>
      </c>
      <c r="Q23" s="53">
        <v>11.600000000000001</v>
      </c>
      <c r="R23" s="53">
        <v>13.400000000000002</v>
      </c>
      <c r="S23" s="53">
        <v>15.200000000000003</v>
      </c>
      <c r="T23" s="53">
        <v>17</v>
      </c>
      <c r="U23" s="53">
        <v>19.600000000000001</v>
      </c>
      <c r="V23" s="53">
        <v>22.200000000000003</v>
      </c>
      <c r="W23" s="53">
        <v>24.800000000000004</v>
      </c>
      <c r="X23" s="53">
        <v>27.400000000000006</v>
      </c>
      <c r="Y23" s="53">
        <v>30</v>
      </c>
      <c r="Z23" s="53">
        <v>32.799999999999997</v>
      </c>
      <c r="AA23" s="53">
        <v>35.599999999999994</v>
      </c>
      <c r="AB23" s="53">
        <v>38.399999999999991</v>
      </c>
      <c r="AC23" s="53">
        <v>41.199999999999989</v>
      </c>
      <c r="AD23" s="53">
        <v>44</v>
      </c>
      <c r="AE23" s="72"/>
      <c r="AF23" s="72"/>
      <c r="AG23" s="72"/>
      <c r="AH23" s="72"/>
      <c r="AI23" s="72"/>
    </row>
    <row r="24" spans="1:35" x14ac:dyDescent="0.35">
      <c r="A24" s="72" t="s">
        <v>30</v>
      </c>
      <c r="B24" s="72"/>
      <c r="C24" s="72" t="s">
        <v>108</v>
      </c>
      <c r="D24" s="53">
        <v>3808.3606649666053</v>
      </c>
      <c r="E24" s="53">
        <v>5063.9625989576198</v>
      </c>
      <c r="F24" s="53">
        <v>6319.5645329486342</v>
      </c>
      <c r="G24" s="53">
        <v>7575.1664669396487</v>
      </c>
      <c r="H24" s="53">
        <v>8830.7684009306613</v>
      </c>
      <c r="I24" s="53">
        <v>10086.370334921676</v>
      </c>
      <c r="J24" s="53">
        <v>11341.97226891269</v>
      </c>
      <c r="K24" s="53">
        <v>10868.455604166578</v>
      </c>
      <c r="L24" s="53">
        <v>10394.938939420466</v>
      </c>
      <c r="M24" s="53">
        <v>9921.4222746743526</v>
      </c>
      <c r="N24" s="53">
        <v>10158.180607047409</v>
      </c>
      <c r="O24" s="53">
        <v>11732.447696763189</v>
      </c>
      <c r="P24" s="53">
        <v>12452.819245108331</v>
      </c>
      <c r="Q24" s="53">
        <v>13173.190793453474</v>
      </c>
      <c r="R24" s="53">
        <v>13893.562341798617</v>
      </c>
      <c r="S24" s="53">
        <v>14613.933890143759</v>
      </c>
      <c r="T24" s="53">
        <v>15334.3054384889</v>
      </c>
      <c r="U24" s="53">
        <v>16054.676986834043</v>
      </c>
      <c r="V24" s="53">
        <v>16775.048535179187</v>
      </c>
      <c r="W24" s="53">
        <v>17495.420083524328</v>
      </c>
      <c r="X24" s="53">
        <v>18215.79163186947</v>
      </c>
      <c r="Y24" s="53">
        <v>18936.163180214615</v>
      </c>
      <c r="Z24" s="53">
        <v>19656.534728559756</v>
      </c>
      <c r="AA24" s="53">
        <v>20376.906276904898</v>
      </c>
      <c r="AB24" s="53">
        <v>21097.277825250039</v>
      </c>
      <c r="AC24" s="53">
        <v>21817.649373595181</v>
      </c>
      <c r="AD24" s="53">
        <v>22538.02092194033</v>
      </c>
      <c r="AE24" s="72"/>
      <c r="AF24" s="72"/>
      <c r="AG24" s="72"/>
      <c r="AH24" s="72"/>
      <c r="AI24" s="72"/>
    </row>
    <row r="25" spans="1:35" x14ac:dyDescent="0.35">
      <c r="A25" s="72" t="s">
        <v>30</v>
      </c>
      <c r="B25" s="72"/>
      <c r="C25" s="72" t="s">
        <v>109</v>
      </c>
      <c r="D25" s="53">
        <v>192864.66620394157</v>
      </c>
      <c r="E25" s="53">
        <v>195239.2419650236</v>
      </c>
      <c r="F25" s="53">
        <v>196366.76544203321</v>
      </c>
      <c r="G25" s="53">
        <v>197525.37556068008</v>
      </c>
      <c r="H25" s="53">
        <v>198743.92387830256</v>
      </c>
      <c r="I25" s="53">
        <v>200140.93841202525</v>
      </c>
      <c r="J25" s="53">
        <v>201537.7102617296</v>
      </c>
      <c r="K25" s="53">
        <v>200616.89493678272</v>
      </c>
      <c r="L25" s="53">
        <v>199696.14928779242</v>
      </c>
      <c r="M25" s="53">
        <v>198775.23322502323</v>
      </c>
      <c r="N25" s="53">
        <v>200250.33489773443</v>
      </c>
      <c r="O25" s="53">
        <v>201766.1654636735</v>
      </c>
      <c r="P25" s="53">
        <v>203325.96278464468</v>
      </c>
      <c r="Q25" s="53">
        <v>204856.96017693213</v>
      </c>
      <c r="R25" s="53">
        <v>206421.18825616254</v>
      </c>
      <c r="S25" s="53">
        <v>208013.70502273936</v>
      </c>
      <c r="T25" s="53">
        <v>209643.37199318074</v>
      </c>
      <c r="U25" s="53">
        <v>211125.2902170599</v>
      </c>
      <c r="V25" s="53">
        <v>212613.854578328</v>
      </c>
      <c r="W25" s="53">
        <v>214101.90769825791</v>
      </c>
      <c r="X25" s="53">
        <v>215599.50398982322</v>
      </c>
      <c r="Y25" s="53">
        <v>216849.14823265999</v>
      </c>
      <c r="Z25" s="53">
        <v>218069.3108916957</v>
      </c>
      <c r="AA25" s="53">
        <v>219248.74465750376</v>
      </c>
      <c r="AB25" s="53">
        <v>220395.79980526475</v>
      </c>
      <c r="AC25" s="53">
        <v>221214.46760051764</v>
      </c>
      <c r="AD25" s="53">
        <v>221946.05395460132</v>
      </c>
      <c r="AE25" s="72"/>
      <c r="AF25" s="72"/>
      <c r="AG25" s="72"/>
      <c r="AH25" s="72"/>
      <c r="AI25" s="72"/>
    </row>
    <row r="26" spans="1:35" s="66" customFormat="1" x14ac:dyDescent="0.35">
      <c r="A26" s="72" t="s">
        <v>30</v>
      </c>
      <c r="B26" s="72"/>
      <c r="C26" s="72" t="s">
        <v>110</v>
      </c>
      <c r="D26" s="53">
        <v>15863.846476217259</v>
      </c>
      <c r="E26" s="53">
        <v>17648.293767042403</v>
      </c>
      <c r="F26" s="53">
        <v>18532.244523148096</v>
      </c>
      <c r="G26" s="53">
        <v>19475.148233995918</v>
      </c>
      <c r="H26" s="53">
        <v>20493.678762344603</v>
      </c>
      <c r="I26" s="53">
        <v>21703.196239143919</v>
      </c>
      <c r="J26" s="53">
        <v>22945.987241384046</v>
      </c>
      <c r="K26" s="53">
        <v>22121.167384204149</v>
      </c>
      <c r="L26" s="53">
        <v>21313.216847513409</v>
      </c>
      <c r="M26" s="53">
        <v>20520.343055199748</v>
      </c>
      <c r="N26" s="53">
        <v>21799.181944671545</v>
      </c>
      <c r="O26" s="53">
        <v>23155.160797144639</v>
      </c>
      <c r="P26" s="53">
        <v>24606.212858334246</v>
      </c>
      <c r="Q26" s="53">
        <v>26062.534655766136</v>
      </c>
      <c r="R26" s="53">
        <v>27614.352629039277</v>
      </c>
      <c r="S26" s="53">
        <v>29256.497034562006</v>
      </c>
      <c r="T26" s="53">
        <v>30979.052125443355</v>
      </c>
      <c r="U26" s="53">
        <v>32583.371772255432</v>
      </c>
      <c r="V26" s="53">
        <v>34238.68977756815</v>
      </c>
      <c r="W26" s="53">
        <v>35926.36101064668</v>
      </c>
      <c r="X26" s="53">
        <v>37681.745153968404</v>
      </c>
      <c r="Y26" s="53">
        <v>39178.670783861744</v>
      </c>
      <c r="Z26" s="53">
        <v>40662.761386946149</v>
      </c>
      <c r="AA26" s="53">
        <v>42131.111721124595</v>
      </c>
      <c r="AB26" s="53">
        <v>43588.039918084593</v>
      </c>
      <c r="AC26" s="53">
        <v>44646.029972745077</v>
      </c>
      <c r="AD26" s="53">
        <v>45597.096228981674</v>
      </c>
      <c r="AE26" s="72"/>
      <c r="AF26" s="72"/>
      <c r="AG26" s="72"/>
      <c r="AH26" s="72"/>
      <c r="AI26" s="72"/>
    </row>
    <row r="27" spans="1:35" s="66" customFormat="1" x14ac:dyDescent="0.35">
      <c r="A27" s="72" t="s">
        <v>39</v>
      </c>
      <c r="B27" s="72"/>
      <c r="C27" s="72" t="s">
        <v>153</v>
      </c>
      <c r="D27" s="53">
        <v>0</v>
      </c>
      <c r="E27" s="53">
        <v>0</v>
      </c>
      <c r="F27" s="53">
        <v>0</v>
      </c>
      <c r="G27" s="53">
        <v>0</v>
      </c>
      <c r="H27" s="53">
        <v>0</v>
      </c>
      <c r="I27" s="53">
        <v>0</v>
      </c>
      <c r="J27" s="53">
        <v>0</v>
      </c>
      <c r="K27" s="53">
        <v>0</v>
      </c>
      <c r="L27" s="53">
        <v>0</v>
      </c>
      <c r="M27" s="53">
        <v>0</v>
      </c>
      <c r="N27" s="53">
        <v>0</v>
      </c>
      <c r="O27" s="53">
        <v>0</v>
      </c>
      <c r="P27" s="53">
        <v>0</v>
      </c>
      <c r="Q27" s="53">
        <v>0</v>
      </c>
      <c r="R27" s="53">
        <v>0</v>
      </c>
      <c r="S27" s="53">
        <v>0</v>
      </c>
      <c r="T27" s="53">
        <v>0</v>
      </c>
      <c r="U27" s="53">
        <v>0</v>
      </c>
      <c r="V27" s="53">
        <v>0</v>
      </c>
      <c r="W27" s="53">
        <v>0</v>
      </c>
      <c r="X27" s="53">
        <v>0</v>
      </c>
      <c r="Y27" s="53">
        <v>0</v>
      </c>
      <c r="Z27" s="53">
        <v>0</v>
      </c>
      <c r="AA27" s="53">
        <v>0</v>
      </c>
      <c r="AB27" s="53">
        <v>0</v>
      </c>
      <c r="AC27" s="53">
        <v>0</v>
      </c>
      <c r="AD27" s="53">
        <v>0</v>
      </c>
      <c r="AE27" s="53"/>
      <c r="AF27" s="53"/>
      <c r="AG27" s="53"/>
      <c r="AH27" s="53"/>
      <c r="AI27" s="53"/>
    </row>
    <row r="28" spans="1:35" x14ac:dyDescent="0.35">
      <c r="A28" s="72" t="s">
        <v>39</v>
      </c>
      <c r="B28" s="72"/>
      <c r="C28" s="72" t="s">
        <v>154</v>
      </c>
      <c r="D28" s="53">
        <v>0</v>
      </c>
      <c r="E28" s="53">
        <v>0</v>
      </c>
      <c r="F28" s="53">
        <v>0</v>
      </c>
      <c r="G28" s="53">
        <v>0</v>
      </c>
      <c r="H28" s="53">
        <v>0</v>
      </c>
      <c r="I28" s="53">
        <v>0</v>
      </c>
      <c r="J28" s="53">
        <v>0</v>
      </c>
      <c r="K28" s="53">
        <v>0</v>
      </c>
      <c r="L28" s="53">
        <v>0</v>
      </c>
      <c r="M28" s="53">
        <v>0</v>
      </c>
      <c r="N28" s="53">
        <v>0</v>
      </c>
      <c r="O28" s="53">
        <v>0</v>
      </c>
      <c r="P28" s="53">
        <v>0</v>
      </c>
      <c r="Q28" s="53">
        <v>0</v>
      </c>
      <c r="R28" s="53">
        <v>0</v>
      </c>
      <c r="S28" s="53">
        <v>0</v>
      </c>
      <c r="T28" s="53">
        <v>0</v>
      </c>
      <c r="U28" s="53">
        <v>0</v>
      </c>
      <c r="V28" s="53">
        <v>1</v>
      </c>
      <c r="W28" s="53">
        <v>31.933333333333394</v>
      </c>
      <c r="X28" s="53">
        <v>62.866666666666788</v>
      </c>
      <c r="Y28" s="53">
        <v>93.800000000000182</v>
      </c>
      <c r="Z28" s="53">
        <v>225.00000000000017</v>
      </c>
      <c r="AA28" s="53">
        <v>356.20000000000016</v>
      </c>
      <c r="AB28" s="53">
        <v>487.40000000000015</v>
      </c>
      <c r="AC28" s="53">
        <v>618.60000000000014</v>
      </c>
      <c r="AD28" s="53">
        <v>749.80000000000018</v>
      </c>
      <c r="AE28" s="9"/>
      <c r="AF28" s="72"/>
      <c r="AG28" s="72"/>
      <c r="AH28" s="72"/>
      <c r="AI28" s="72"/>
    </row>
    <row r="29" spans="1:35" x14ac:dyDescent="0.35">
      <c r="A29" s="72" t="s">
        <v>39</v>
      </c>
      <c r="B29" s="72"/>
      <c r="C29" s="72" t="s">
        <v>32</v>
      </c>
      <c r="D29" s="53">
        <v>0</v>
      </c>
      <c r="E29" s="53">
        <v>0</v>
      </c>
      <c r="F29" s="53">
        <v>0</v>
      </c>
      <c r="G29" s="53">
        <v>0</v>
      </c>
      <c r="H29" s="53">
        <v>0</v>
      </c>
      <c r="I29" s="53">
        <v>0</v>
      </c>
      <c r="J29" s="53">
        <v>0</v>
      </c>
      <c r="K29" s="53">
        <v>0</v>
      </c>
      <c r="L29" s="53">
        <v>0</v>
      </c>
      <c r="M29" s="53">
        <v>0</v>
      </c>
      <c r="N29" s="53">
        <v>0</v>
      </c>
      <c r="O29" s="53">
        <v>0</v>
      </c>
      <c r="P29" s="53">
        <v>0</v>
      </c>
      <c r="Q29" s="53">
        <v>0</v>
      </c>
      <c r="R29" s="53">
        <v>0</v>
      </c>
      <c r="S29" s="53">
        <v>0</v>
      </c>
      <c r="T29" s="53">
        <v>0</v>
      </c>
      <c r="U29" s="53">
        <v>0</v>
      </c>
      <c r="V29" s="53">
        <v>1</v>
      </c>
      <c r="W29" s="53">
        <v>17.066666666666759</v>
      </c>
      <c r="X29" s="53">
        <v>33.133333333333518</v>
      </c>
      <c r="Y29" s="53">
        <v>49.200000000000273</v>
      </c>
      <c r="Z29" s="53">
        <v>79.680000000000248</v>
      </c>
      <c r="AA29" s="53">
        <v>110.16000000000022</v>
      </c>
      <c r="AB29" s="53">
        <v>140.64000000000019</v>
      </c>
      <c r="AC29" s="53">
        <v>171.12000000000015</v>
      </c>
      <c r="AD29" s="53">
        <v>201.60000000000014</v>
      </c>
      <c r="AE29" s="9"/>
      <c r="AF29" s="72"/>
      <c r="AG29" s="72"/>
      <c r="AH29" s="72"/>
      <c r="AI29" s="72"/>
    </row>
    <row r="30" spans="1:35" x14ac:dyDescent="0.35">
      <c r="A30" s="72" t="s">
        <v>39</v>
      </c>
      <c r="B30" s="72"/>
      <c r="C30" s="72" t="s">
        <v>33</v>
      </c>
      <c r="D30" s="53">
        <v>0</v>
      </c>
      <c r="E30" s="53">
        <v>0</v>
      </c>
      <c r="F30" s="53">
        <v>0</v>
      </c>
      <c r="G30" s="53">
        <v>0</v>
      </c>
      <c r="H30" s="53">
        <v>0</v>
      </c>
      <c r="I30" s="53">
        <v>0</v>
      </c>
      <c r="J30" s="53">
        <v>0</v>
      </c>
      <c r="K30" s="53">
        <v>0</v>
      </c>
      <c r="L30" s="53">
        <v>0</v>
      </c>
      <c r="M30" s="53">
        <v>0</v>
      </c>
      <c r="N30" s="53">
        <v>0</v>
      </c>
      <c r="O30" s="53">
        <v>0</v>
      </c>
      <c r="P30" s="53">
        <v>0</v>
      </c>
      <c r="Q30" s="53">
        <v>0</v>
      </c>
      <c r="R30" s="53">
        <v>0</v>
      </c>
      <c r="S30" s="53">
        <v>0</v>
      </c>
      <c r="T30" s="53">
        <v>0</v>
      </c>
      <c r="U30" s="53">
        <v>0</v>
      </c>
      <c r="V30" s="53">
        <v>1E-4</v>
      </c>
      <c r="W30" s="53">
        <v>0.23539421547051567</v>
      </c>
      <c r="X30" s="53">
        <v>0.47068843094103135</v>
      </c>
      <c r="Y30" s="53">
        <v>0.70598264641154707</v>
      </c>
      <c r="Z30" s="53">
        <v>4.1389048013183505</v>
      </c>
      <c r="AA30" s="53">
        <v>7.5718269562251539</v>
      </c>
      <c r="AB30" s="53">
        <v>11.004749111131957</v>
      </c>
      <c r="AC30" s="53">
        <v>14.437671266038761</v>
      </c>
      <c r="AD30" s="53">
        <v>17.870593420945568</v>
      </c>
      <c r="AE30" s="72"/>
      <c r="AF30" s="72"/>
      <c r="AG30" s="72"/>
      <c r="AH30" s="72"/>
      <c r="AI30" s="72"/>
    </row>
    <row r="31" spans="1:35" x14ac:dyDescent="0.35">
      <c r="A31" s="72" t="s">
        <v>39</v>
      </c>
      <c r="B31" s="72"/>
      <c r="C31" s="72" t="s">
        <v>34</v>
      </c>
      <c r="D31" s="53">
        <v>0</v>
      </c>
      <c r="E31" s="53">
        <v>0</v>
      </c>
      <c r="F31" s="53">
        <v>0</v>
      </c>
      <c r="G31" s="53">
        <v>0</v>
      </c>
      <c r="H31" s="53">
        <v>0</v>
      </c>
      <c r="I31" s="53">
        <v>0</v>
      </c>
      <c r="J31" s="53">
        <v>0</v>
      </c>
      <c r="K31" s="53">
        <v>0</v>
      </c>
      <c r="L31" s="53">
        <v>0</v>
      </c>
      <c r="M31" s="53">
        <v>0</v>
      </c>
      <c r="N31" s="53">
        <v>0</v>
      </c>
      <c r="O31" s="53">
        <v>0</v>
      </c>
      <c r="P31" s="53">
        <v>0</v>
      </c>
      <c r="Q31" s="53">
        <v>0</v>
      </c>
      <c r="R31" s="53">
        <v>0</v>
      </c>
      <c r="S31" s="53">
        <v>0</v>
      </c>
      <c r="T31" s="53">
        <v>0</v>
      </c>
      <c r="U31" s="53">
        <v>0</v>
      </c>
      <c r="V31" s="53">
        <v>1E-4</v>
      </c>
      <c r="W31" s="53">
        <v>3.9287924800641506E-2</v>
      </c>
      <c r="X31" s="53">
        <v>7.847584960128301E-2</v>
      </c>
      <c r="Y31" s="53">
        <v>0.11766377440192451</v>
      </c>
      <c r="Z31" s="53">
        <v>0.28224252921570347</v>
      </c>
      <c r="AA31" s="53">
        <v>0.4468212840294824</v>
      </c>
      <c r="AB31" s="53">
        <v>0.61140003884326133</v>
      </c>
      <c r="AC31" s="53">
        <v>0.77597879365704026</v>
      </c>
      <c r="AD31" s="53">
        <v>0.94055754847081929</v>
      </c>
      <c r="AE31" s="72"/>
      <c r="AF31" s="72"/>
      <c r="AG31" s="72"/>
      <c r="AH31" s="72"/>
      <c r="AI31" s="72"/>
    </row>
    <row r="32" spans="1:35" x14ac:dyDescent="0.35">
      <c r="A32" s="72" t="s">
        <v>39</v>
      </c>
      <c r="B32" s="72"/>
      <c r="C32" s="72" t="s">
        <v>35</v>
      </c>
      <c r="D32" s="53">
        <v>0</v>
      </c>
      <c r="E32" s="53">
        <v>0</v>
      </c>
      <c r="F32" s="53">
        <v>0</v>
      </c>
      <c r="G32" s="53">
        <v>0</v>
      </c>
      <c r="H32" s="53">
        <v>0</v>
      </c>
      <c r="I32" s="53">
        <v>0</v>
      </c>
      <c r="J32" s="53">
        <v>0</v>
      </c>
      <c r="K32" s="53">
        <v>0</v>
      </c>
      <c r="L32" s="53">
        <v>0</v>
      </c>
      <c r="M32" s="53">
        <v>0</v>
      </c>
      <c r="N32" s="53">
        <v>0</v>
      </c>
      <c r="O32" s="53">
        <v>0</v>
      </c>
      <c r="P32" s="53">
        <v>0</v>
      </c>
      <c r="Q32" s="53">
        <v>0</v>
      </c>
      <c r="R32" s="53">
        <v>0</v>
      </c>
      <c r="S32" s="53">
        <v>0</v>
      </c>
      <c r="T32" s="53">
        <v>0</v>
      </c>
      <c r="U32" s="53">
        <v>0</v>
      </c>
      <c r="V32" s="53">
        <v>1</v>
      </c>
      <c r="W32" s="53">
        <v>2.666666666666667</v>
      </c>
      <c r="X32" s="53">
        <v>4.3333333333333339</v>
      </c>
      <c r="Y32" s="53">
        <v>6</v>
      </c>
      <c r="Z32" s="53">
        <v>8.6</v>
      </c>
      <c r="AA32" s="53">
        <v>11.2</v>
      </c>
      <c r="AB32" s="53">
        <v>13.799999999999999</v>
      </c>
      <c r="AC32" s="53">
        <v>16.399999999999999</v>
      </c>
      <c r="AD32" s="53">
        <v>19</v>
      </c>
      <c r="AE32" s="72"/>
      <c r="AF32" s="72"/>
      <c r="AG32" s="72"/>
      <c r="AH32" s="72"/>
      <c r="AI32" s="72"/>
    </row>
    <row r="33" spans="1:30" x14ac:dyDescent="0.35">
      <c r="A33" s="72" t="s">
        <v>130</v>
      </c>
      <c r="B33" s="72" t="s">
        <v>111</v>
      </c>
      <c r="C33" s="72" t="s">
        <v>131</v>
      </c>
      <c r="D33" s="53">
        <v>0</v>
      </c>
      <c r="E33" s="53">
        <v>0</v>
      </c>
      <c r="F33" s="53">
        <v>0</v>
      </c>
      <c r="G33" s="53">
        <v>0</v>
      </c>
      <c r="H33" s="53">
        <v>0</v>
      </c>
      <c r="I33" s="53">
        <v>0</v>
      </c>
      <c r="J33" s="53">
        <v>0</v>
      </c>
      <c r="K33" s="53">
        <v>0</v>
      </c>
      <c r="L33" s="53">
        <v>0</v>
      </c>
      <c r="M33" s="53">
        <v>0</v>
      </c>
      <c r="N33" s="53">
        <v>0</v>
      </c>
      <c r="O33" s="53">
        <v>0</v>
      </c>
      <c r="P33" s="53">
        <v>0</v>
      </c>
      <c r="Q33" s="53">
        <v>0</v>
      </c>
      <c r="R33" s="53">
        <v>0</v>
      </c>
      <c r="S33" s="53">
        <v>0</v>
      </c>
      <c r="T33" s="53">
        <v>0</v>
      </c>
      <c r="U33" s="53">
        <v>0</v>
      </c>
      <c r="V33" s="53">
        <v>13378.685343511281</v>
      </c>
      <c r="W33" s="53">
        <v>184613.54315218912</v>
      </c>
      <c r="X33" s="53">
        <v>655744.9507371221</v>
      </c>
      <c r="Y33" s="53">
        <v>1176150.7446169092</v>
      </c>
      <c r="Z33" s="53">
        <v>1859058.0491611338</v>
      </c>
      <c r="AA33" s="53">
        <v>2929109.3857803079</v>
      </c>
      <c r="AB33" s="53">
        <v>3949158.6180419442</v>
      </c>
      <c r="AC33" s="53">
        <v>5053459.3235525154</v>
      </c>
      <c r="AD33" s="53">
        <v>6408936.1761768414</v>
      </c>
    </row>
    <row r="34" spans="1:30" x14ac:dyDescent="0.35">
      <c r="A34" s="72" t="s">
        <v>130</v>
      </c>
      <c r="B34" s="72" t="s">
        <v>132</v>
      </c>
      <c r="C34" s="72" t="s">
        <v>131</v>
      </c>
      <c r="D34" s="53">
        <v>0</v>
      </c>
      <c r="E34" s="53">
        <v>0</v>
      </c>
      <c r="F34" s="53">
        <v>0</v>
      </c>
      <c r="G34" s="53">
        <v>0</v>
      </c>
      <c r="H34" s="53">
        <v>0</v>
      </c>
      <c r="I34" s="53">
        <v>0</v>
      </c>
      <c r="J34" s="53">
        <v>0</v>
      </c>
      <c r="K34" s="53">
        <v>0</v>
      </c>
      <c r="L34" s="53">
        <v>0</v>
      </c>
      <c r="M34" s="53">
        <v>0</v>
      </c>
      <c r="N34" s="53">
        <v>0</v>
      </c>
      <c r="O34" s="53">
        <v>0</v>
      </c>
      <c r="P34" s="53">
        <v>0</v>
      </c>
      <c r="Q34" s="53">
        <v>0</v>
      </c>
      <c r="R34" s="53">
        <v>0</v>
      </c>
      <c r="S34" s="53">
        <v>0</v>
      </c>
      <c r="T34" s="53">
        <v>0</v>
      </c>
      <c r="U34" s="53">
        <v>0</v>
      </c>
      <c r="V34" s="53">
        <v>80036.654733656382</v>
      </c>
      <c r="W34" s="53">
        <v>1104432.1645246765</v>
      </c>
      <c r="X34" s="53">
        <v>3740697.1497465489</v>
      </c>
      <c r="Y34" s="53">
        <v>6181651.0287370011</v>
      </c>
      <c r="Z34" s="53">
        <v>8806685.1830686163</v>
      </c>
      <c r="AA34" s="53">
        <v>13335315.490911461</v>
      </c>
      <c r="AB34" s="53">
        <v>17196082.678458896</v>
      </c>
      <c r="AC34" s="53">
        <v>21988181.24792935</v>
      </c>
      <c r="AD34" s="53">
        <v>28116925.805449199</v>
      </c>
    </row>
    <row r="35" spans="1:30" x14ac:dyDescent="0.35">
      <c r="A35" s="72" t="s">
        <v>133</v>
      </c>
      <c r="B35" s="72" t="s">
        <v>111</v>
      </c>
      <c r="C35" s="72" t="s">
        <v>131</v>
      </c>
      <c r="D35" s="53">
        <v>1269.4984609921005</v>
      </c>
      <c r="E35" s="17">
        <v>3507.3998571021511</v>
      </c>
      <c r="F35" s="17">
        <v>5745.301253212202</v>
      </c>
      <c r="G35" s="17">
        <v>7983.2026493222529</v>
      </c>
      <c r="H35" s="17">
        <v>10221.104045432305</v>
      </c>
      <c r="I35" s="17">
        <v>12459.005441542355</v>
      </c>
      <c r="J35" s="53">
        <v>14696.906837652406</v>
      </c>
      <c r="K35" s="17">
        <v>13659.366134735234</v>
      </c>
      <c r="L35" s="17">
        <v>11760.714242007025</v>
      </c>
      <c r="M35" s="17">
        <v>9813.2626376474818</v>
      </c>
      <c r="N35" s="17">
        <v>13588.908603733982</v>
      </c>
      <c r="O35" s="53">
        <v>17547.203578976321</v>
      </c>
      <c r="P35" s="17">
        <v>24911.682783246899</v>
      </c>
      <c r="Q35" s="17">
        <v>32276.161987517477</v>
      </c>
      <c r="R35" s="17">
        <v>39640.641191788054</v>
      </c>
      <c r="S35" s="17">
        <v>47005.120396058635</v>
      </c>
      <c r="T35" s="53">
        <v>54369.599600329217</v>
      </c>
      <c r="U35" s="17">
        <v>77256.78591830263</v>
      </c>
      <c r="V35" s="17">
        <v>100143.97223627605</v>
      </c>
      <c r="W35" s="17">
        <v>123031.15855424947</v>
      </c>
      <c r="X35" s="17">
        <v>145918.34487222289</v>
      </c>
      <c r="Y35" s="53">
        <v>168805.53119019631</v>
      </c>
      <c r="Z35" s="17">
        <v>204593.57758659072</v>
      </c>
      <c r="AA35" s="17">
        <v>240381.62398298515</v>
      </c>
      <c r="AB35" s="17">
        <v>276169.67037937959</v>
      </c>
      <c r="AC35" s="17">
        <v>311957.71677577402</v>
      </c>
      <c r="AD35" s="53">
        <v>347745.7631721684</v>
      </c>
    </row>
    <row r="36" spans="1:30" x14ac:dyDescent="0.35">
      <c r="A36" s="72" t="s">
        <v>133</v>
      </c>
      <c r="B36" s="72" t="s">
        <v>132</v>
      </c>
      <c r="C36" s="72" t="s">
        <v>131</v>
      </c>
      <c r="D36" s="53">
        <v>5267.7658737530246</v>
      </c>
      <c r="E36" s="17">
        <v>14553.906003485823</v>
      </c>
      <c r="F36" s="17">
        <v>23840.046133218624</v>
      </c>
      <c r="G36" s="17">
        <v>33126.186262951422</v>
      </c>
      <c r="H36" s="17">
        <v>42412.326392684219</v>
      </c>
      <c r="I36" s="17">
        <v>51698.466522417017</v>
      </c>
      <c r="J36" s="53">
        <v>60984.606652149814</v>
      </c>
      <c r="K36" s="17">
        <v>56679.346208442345</v>
      </c>
      <c r="L36" s="17">
        <v>48800.91708546882</v>
      </c>
      <c r="M36" s="17">
        <v>40719.994250624492</v>
      </c>
      <c r="N36" s="17">
        <v>56386.983682010279</v>
      </c>
      <c r="O36" s="53">
        <v>72811.872588558865</v>
      </c>
      <c r="P36" s="17">
        <v>103370.67468423292</v>
      </c>
      <c r="Q36" s="17">
        <v>133929.47677990695</v>
      </c>
      <c r="R36" s="17">
        <v>164488.27887558099</v>
      </c>
      <c r="S36" s="17">
        <v>195047.08097125503</v>
      </c>
      <c r="T36" s="53">
        <v>225605.88306692912</v>
      </c>
      <c r="U36" s="17">
        <v>320575.93835776235</v>
      </c>
      <c r="V36" s="17">
        <v>415545.99364859558</v>
      </c>
      <c r="W36" s="17">
        <v>510516.04893942882</v>
      </c>
      <c r="X36" s="17">
        <v>605486.10423026211</v>
      </c>
      <c r="Y36" s="53">
        <v>700456.15952109534</v>
      </c>
      <c r="Z36" s="17">
        <v>848958.1508885267</v>
      </c>
      <c r="AA36" s="17">
        <v>997460.14225595805</v>
      </c>
      <c r="AB36" s="17">
        <v>1145962.1336233895</v>
      </c>
      <c r="AC36" s="17">
        <v>1294464.1249908209</v>
      </c>
      <c r="AD36" s="53">
        <v>1442966.1163582522</v>
      </c>
    </row>
    <row r="37" spans="1:30" ht="29" x14ac:dyDescent="0.35">
      <c r="A37" s="3" t="s">
        <v>134</v>
      </c>
      <c r="B37" s="3" t="s">
        <v>135</v>
      </c>
      <c r="C37" s="72" t="s">
        <v>131</v>
      </c>
      <c r="D37" s="53">
        <v>4851883.8074179851</v>
      </c>
      <c r="E37" s="53">
        <v>5548866.4783700239</v>
      </c>
      <c r="F37" s="53">
        <v>5954619.7490993757</v>
      </c>
      <c r="G37" s="53">
        <v>6363793.177570492</v>
      </c>
      <c r="H37" s="53">
        <v>6862681.5291777924</v>
      </c>
      <c r="I37" s="53">
        <v>7430776.4174247123</v>
      </c>
      <c r="J37" s="53">
        <v>7958064.5940639684</v>
      </c>
      <c r="K37" s="53">
        <v>7957168.0490261456</v>
      </c>
      <c r="L37" s="53">
        <v>7874171.1774361301</v>
      </c>
      <c r="M37" s="53">
        <v>7776287.7266217675</v>
      </c>
      <c r="N37" s="53">
        <v>8450702.8694002908</v>
      </c>
      <c r="O37" s="53">
        <v>9080603.7963677123</v>
      </c>
      <c r="P37" s="53">
        <v>9916810.7160479799</v>
      </c>
      <c r="Q37" s="53">
        <v>10742147.081796253</v>
      </c>
      <c r="R37" s="53">
        <v>11532452.826251276</v>
      </c>
      <c r="S37" s="53">
        <v>12410650.170190752</v>
      </c>
      <c r="T37" s="53">
        <v>13427370.439666543</v>
      </c>
      <c r="U37" s="53">
        <v>14508754.442283049</v>
      </c>
      <c r="V37" s="53">
        <v>15576671.591655424</v>
      </c>
      <c r="W37" s="53">
        <v>16678510.376912402</v>
      </c>
      <c r="X37" s="53">
        <v>17727086.423294671</v>
      </c>
      <c r="Y37" s="53">
        <v>18931202.45624445</v>
      </c>
      <c r="Z37" s="53">
        <v>20126360.67314858</v>
      </c>
      <c r="AA37" s="53">
        <v>21277070.972831454</v>
      </c>
      <c r="AB37" s="53">
        <v>22513024.658740595</v>
      </c>
      <c r="AC37" s="53">
        <v>23603677.486926477</v>
      </c>
      <c r="AD37" s="53">
        <v>24710377.8005694</v>
      </c>
    </row>
    <row r="39" spans="1:30" x14ac:dyDescent="0.35">
      <c r="A39" s="72"/>
      <c r="B39" s="72"/>
      <c r="C39" s="72" t="s">
        <v>136</v>
      </c>
      <c r="D39" s="53">
        <f>'Cost Assumptions'!$B$4</f>
        <v>40</v>
      </c>
      <c r="E39" s="53">
        <f>D39*'Cost Assumptions'!$B$5</f>
        <v>41</v>
      </c>
      <c r="F39" s="53">
        <f>E39*'Cost Assumptions'!$B$5</f>
        <v>42.024999999999999</v>
      </c>
      <c r="G39" s="53">
        <f>F39*'Cost Assumptions'!$B$5</f>
        <v>43.075624999999995</v>
      </c>
      <c r="H39" s="9">
        <f>G39*'Cost Assumptions'!$B$5</f>
        <v>44.152515624999992</v>
      </c>
      <c r="I39" s="9">
        <f>H39*'Cost Assumptions'!$B$5</f>
        <v>45.256328515624986</v>
      </c>
      <c r="J39" s="9">
        <f>I39*'Cost Assumptions'!$B$5</f>
        <v>46.387736728515605</v>
      </c>
      <c r="K39" s="9">
        <f>J39*'Cost Assumptions'!$B$5</f>
        <v>47.547430146728495</v>
      </c>
      <c r="L39" s="9">
        <f>K39*'Cost Assumptions'!$B$5</f>
        <v>48.736115900396705</v>
      </c>
      <c r="M39" s="9">
        <f>L39*'Cost Assumptions'!$B$5</f>
        <v>49.954518797906616</v>
      </c>
      <c r="N39" s="9">
        <f>M39*'Cost Assumptions'!$B$5</f>
        <v>51.203381767854275</v>
      </c>
      <c r="O39" s="9">
        <f>N39*'Cost Assumptions'!$B$5</f>
        <v>52.483466312050624</v>
      </c>
      <c r="P39" s="9">
        <f>O39*'Cost Assumptions'!$B$5</f>
        <v>53.795552969851883</v>
      </c>
      <c r="Q39" s="9">
        <f>P39*'Cost Assumptions'!$B$5</f>
        <v>55.140441794098173</v>
      </c>
      <c r="R39" s="9">
        <f>Q39*'Cost Assumptions'!$B$5</f>
        <v>56.518952838950625</v>
      </c>
      <c r="S39" s="9">
        <f>R39*'Cost Assumptions'!$B$5</f>
        <v>57.931926659924386</v>
      </c>
      <c r="T39" s="9">
        <f>S39*'Cost Assumptions'!$B$5</f>
        <v>59.380224826422491</v>
      </c>
      <c r="U39" s="9">
        <f>T39*'Cost Assumptions'!$B$5</f>
        <v>60.864730447083048</v>
      </c>
      <c r="V39" s="9">
        <f>U39*'Cost Assumptions'!$B$5</f>
        <v>62.386348708260115</v>
      </c>
      <c r="W39" s="9">
        <f>V39*'Cost Assumptions'!$B$5</f>
        <v>63.946007425966613</v>
      </c>
      <c r="X39" s="9">
        <f>W39*'Cost Assumptions'!$B$5</f>
        <v>65.544657611615776</v>
      </c>
      <c r="Y39" s="9">
        <f>X39*'Cost Assumptions'!$B$5</f>
        <v>67.183274051906167</v>
      </c>
      <c r="Z39" s="9">
        <f>Y39*'Cost Assumptions'!$B$5</f>
        <v>68.862855903203823</v>
      </c>
      <c r="AA39" s="9">
        <f>Z39*'Cost Assumptions'!$B$5</f>
        <v>70.584427300783915</v>
      </c>
      <c r="AB39" s="9">
        <f>AA39*'Cost Assumptions'!$B$5</f>
        <v>72.349037983303504</v>
      </c>
      <c r="AC39" s="9">
        <f>AB39*'Cost Assumptions'!$B$5</f>
        <v>74.157763932886084</v>
      </c>
      <c r="AD39" s="9">
        <f>AC39*'Cost Assumptions'!$B$5</f>
        <v>76.011708031208229</v>
      </c>
    </row>
    <row r="40" spans="1:30" x14ac:dyDescent="0.35">
      <c r="A40" s="72"/>
      <c r="B40" s="72"/>
      <c r="C40" s="72"/>
      <c r="D40" s="72"/>
      <c r="E40" s="72"/>
      <c r="F40" s="72"/>
      <c r="G40" s="53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</row>
    <row r="41" spans="1:30" ht="23.5" x14ac:dyDescent="0.55000000000000004">
      <c r="A41" s="72"/>
      <c r="B41" s="178" t="s">
        <v>137</v>
      </c>
      <c r="C41" s="178"/>
      <c r="D41" s="178"/>
      <c r="E41" s="178"/>
      <c r="F41" s="178"/>
      <c r="G41" s="178"/>
      <c r="H41" s="178"/>
      <c r="I41" s="178"/>
      <c r="J41" s="178"/>
      <c r="K41" s="178"/>
      <c r="L41" s="178"/>
      <c r="M41" s="178"/>
      <c r="N41" s="178"/>
      <c r="O41" s="178"/>
      <c r="P41" s="178"/>
      <c r="Q41" s="178"/>
      <c r="R41" s="178"/>
      <c r="S41" s="178"/>
      <c r="T41" s="178"/>
      <c r="U41" s="178"/>
      <c r="V41" s="178"/>
      <c r="W41" s="178"/>
      <c r="X41" s="178"/>
      <c r="Y41" s="178"/>
      <c r="Z41" s="178"/>
      <c r="AA41" s="178"/>
      <c r="AB41" s="178"/>
      <c r="AC41" s="178"/>
      <c r="AD41" s="178"/>
    </row>
    <row r="42" spans="1:30" ht="20" thickBot="1" x14ac:dyDescent="0.5">
      <c r="A42" s="113"/>
      <c r="B42" s="122" t="s">
        <v>138</v>
      </c>
      <c r="C42" s="113" t="s">
        <v>105</v>
      </c>
      <c r="D42" s="113">
        <v>2022</v>
      </c>
      <c r="E42" s="113">
        <v>2023</v>
      </c>
      <c r="F42" s="113">
        <v>2024</v>
      </c>
      <c r="G42" s="113">
        <v>2025</v>
      </c>
      <c r="H42" s="113">
        <v>2026</v>
      </c>
      <c r="I42" s="113">
        <v>2027</v>
      </c>
      <c r="J42" s="113">
        <v>2028</v>
      </c>
      <c r="K42" s="113">
        <v>2029</v>
      </c>
      <c r="L42" s="113">
        <v>2030</v>
      </c>
      <c r="M42" s="113">
        <v>2031</v>
      </c>
      <c r="N42" s="113">
        <v>2032</v>
      </c>
      <c r="O42" s="113">
        <v>2033</v>
      </c>
      <c r="P42" s="113">
        <v>2034</v>
      </c>
      <c r="Q42" s="113">
        <v>2035</v>
      </c>
      <c r="R42" s="113">
        <v>2036</v>
      </c>
      <c r="S42" s="113">
        <v>2037</v>
      </c>
      <c r="T42" s="113">
        <v>2038</v>
      </c>
      <c r="U42" s="113">
        <v>2039</v>
      </c>
      <c r="V42" s="113">
        <v>2040</v>
      </c>
      <c r="W42" s="113">
        <v>2041</v>
      </c>
      <c r="X42" s="113">
        <v>2042</v>
      </c>
      <c r="Y42" s="113">
        <v>2043</v>
      </c>
      <c r="Z42" s="113">
        <v>2044</v>
      </c>
      <c r="AA42" s="113">
        <v>2045</v>
      </c>
      <c r="AB42" s="113">
        <v>2046</v>
      </c>
      <c r="AC42" s="113">
        <v>2047</v>
      </c>
      <c r="AD42" s="113">
        <v>2048</v>
      </c>
    </row>
    <row r="43" spans="1:30" ht="15" thickTop="1" x14ac:dyDescent="0.35">
      <c r="A43" s="72"/>
      <c r="B43" s="10">
        <f>NPV('Cost Assumptions'!$B$3,'Valley South to Valley North'!D43:'Valley South to Valley North'!AD43)</f>
        <v>7386.6021281514886</v>
      </c>
      <c r="C43" s="72" t="s">
        <v>107</v>
      </c>
      <c r="D43" s="53">
        <f t="shared" ref="D43:AD43" si="0">D2-D18</f>
        <v>338.7999999991298</v>
      </c>
      <c r="E43" s="53">
        <f t="shared" si="0"/>
        <v>367.49903846071538</v>
      </c>
      <c r="F43" s="53">
        <f t="shared" si="0"/>
        <v>396.19807692230097</v>
      </c>
      <c r="G43" s="53">
        <f t="shared" si="0"/>
        <v>424.89711538388656</v>
      </c>
      <c r="H43" s="53">
        <f t="shared" si="0"/>
        <v>453.59615384547214</v>
      </c>
      <c r="I43" s="53">
        <f t="shared" si="0"/>
        <v>482.29519230705773</v>
      </c>
      <c r="J43" s="53">
        <f t="shared" si="0"/>
        <v>510.99423076864332</v>
      </c>
      <c r="K43" s="53">
        <f t="shared" si="0"/>
        <v>609.18461538424162</v>
      </c>
      <c r="L43" s="53">
        <f t="shared" si="0"/>
        <v>1110.9038461533855</v>
      </c>
      <c r="M43" s="53">
        <f t="shared" si="0"/>
        <v>1614.3230769222791</v>
      </c>
      <c r="N43" s="53">
        <f t="shared" si="0"/>
        <v>1563.8673076920022</v>
      </c>
      <c r="O43" s="53">
        <f t="shared" si="0"/>
        <v>1516.9099759612654</v>
      </c>
      <c r="P43" s="53">
        <f t="shared" si="0"/>
        <v>1469.9526442305287</v>
      </c>
      <c r="Q43" s="53">
        <f t="shared" si="0"/>
        <v>1422.9953124997919</v>
      </c>
      <c r="R43" s="53">
        <f t="shared" si="0"/>
        <v>1376.0379807690551</v>
      </c>
      <c r="S43" s="53">
        <f t="shared" si="0"/>
        <v>1329.0806490383184</v>
      </c>
      <c r="T43" s="53">
        <f t="shared" si="0"/>
        <v>1282.1233173075816</v>
      </c>
      <c r="U43" s="53">
        <f t="shared" si="0"/>
        <v>1235.1659855768448</v>
      </c>
      <c r="V43" s="53">
        <f t="shared" si="0"/>
        <v>1188.2086538461081</v>
      </c>
      <c r="W43" s="53">
        <f t="shared" si="0"/>
        <v>1141.2513221153713</v>
      </c>
      <c r="X43" s="53">
        <f t="shared" si="0"/>
        <v>1094.2939903846345</v>
      </c>
      <c r="Y43" s="53">
        <f t="shared" si="0"/>
        <v>1047.3366586538978</v>
      </c>
      <c r="Z43" s="53">
        <f t="shared" si="0"/>
        <v>1000.379326923161</v>
      </c>
      <c r="AA43" s="53">
        <f t="shared" si="0"/>
        <v>953.42199519242422</v>
      </c>
      <c r="AB43" s="53">
        <f t="shared" si="0"/>
        <v>906.46466346168745</v>
      </c>
      <c r="AC43" s="53">
        <f t="shared" si="0"/>
        <v>859.50733173095068</v>
      </c>
      <c r="AD43" s="53">
        <f t="shared" si="0"/>
        <v>812.55000000019936</v>
      </c>
    </row>
    <row r="44" spans="1:30" x14ac:dyDescent="0.35">
      <c r="A44" s="72"/>
      <c r="B44" s="10">
        <f>NPV('Cost Assumptions'!$B$3,'Valley South to Valley North'!D44:'Valley South to Valley North'!AD44)</f>
        <v>387169.66315450199</v>
      </c>
      <c r="C44" s="72" t="s">
        <v>139</v>
      </c>
      <c r="D44" s="53">
        <f>D43*D39</f>
        <v>13551.999999965192</v>
      </c>
      <c r="E44" s="53">
        <f>E43*E39</f>
        <v>15067.460576889331</v>
      </c>
      <c r="F44" s="53">
        <f>F43*F39</f>
        <v>16650.224182659698</v>
      </c>
      <c r="G44" s="53">
        <f>G43*G39</f>
        <v>18302.708805858027</v>
      </c>
      <c r="H44" s="53">
        <f t="shared" ref="H44:AD44" si="1">H43*H39</f>
        <v>20027.411270102108</v>
      </c>
      <c r="I44" s="53">
        <f t="shared" si="1"/>
        <v>21826.909664554732</v>
      </c>
      <c r="J44" s="53">
        <f t="shared" si="1"/>
        <v>23703.865846686174</v>
      </c>
      <c r="K44" s="53">
        <f t="shared" si="1"/>
        <v>28965.162946443892</v>
      </c>
      <c r="L44" s="53">
        <f t="shared" si="1"/>
        <v>54141.138600327868</v>
      </c>
      <c r="M44" s="53">
        <f t="shared" si="1"/>
        <v>80642.732492008436</v>
      </c>
      <c r="N44" s="53">
        <f t="shared" si="1"/>
        <v>80075.294790020023</v>
      </c>
      <c r="O44" s="53">
        <f t="shared" si="1"/>
        <v>79612.693621776591</v>
      </c>
      <c r="P44" s="53">
        <f t="shared" si="1"/>
        <v>79076.915335877246</v>
      </c>
      <c r="Q44" s="53">
        <f t="shared" si="1"/>
        <v>78464.590202169318</v>
      </c>
      <c r="R44" s="53">
        <f t="shared" si="1"/>
        <v>77772.225739691072</v>
      </c>
      <c r="S44" s="53">
        <f t="shared" si="1"/>
        <v>76996.202685212556</v>
      </c>
      <c r="T44" s="53">
        <f t="shared" si="1"/>
        <v>76132.77083692282</v>
      </c>
      <c r="U44" s="53">
        <f t="shared" si="1"/>
        <v>75178.044769540327</v>
      </c>
      <c r="V44" s="53">
        <f t="shared" si="1"/>
        <v>74127.999417015628</v>
      </c>
      <c r="W44" s="53">
        <f t="shared" si="1"/>
        <v>72978.46551888375</v>
      </c>
      <c r="X44" s="53">
        <f t="shared" si="1"/>
        <v>71725.124926209639</v>
      </c>
      <c r="Y44" s="53">
        <f t="shared" si="1"/>
        <v>70363.505762952511</v>
      </c>
      <c r="Z44" s="53">
        <f t="shared" si="1"/>
        <v>68888.977438453658</v>
      </c>
      <c r="AA44" s="53">
        <f t="shared" si="1"/>
        <v>67296.745506628024</v>
      </c>
      <c r="AB44" s="53">
        <f t="shared" si="1"/>
        <v>65581.846367312057</v>
      </c>
      <c r="AC44" s="53">
        <f t="shared" si="1"/>
        <v>63739.14180508865</v>
      </c>
      <c r="AD44" s="53">
        <f t="shared" si="1"/>
        <v>61763.313360773398</v>
      </c>
    </row>
    <row r="45" spans="1:30" x14ac:dyDescent="0.35">
      <c r="A45" s="72" t="s">
        <v>30</v>
      </c>
      <c r="B45" s="10">
        <f>NPV('Cost Assumptions'!$B$3,'Valley South to Valley North'!D45:'Valley South to Valley North'!AD45)</f>
        <v>114.42912412587738</v>
      </c>
      <c r="C45" s="72" t="s">
        <v>31</v>
      </c>
      <c r="D45" s="53">
        <f t="shared" ref="D45:AD45" si="2">D3-D19</f>
        <v>4.2000000000000171</v>
      </c>
      <c r="E45" s="53">
        <f t="shared" si="2"/>
        <v>6.0166666666666799</v>
      </c>
      <c r="F45" s="53">
        <f t="shared" si="2"/>
        <v>6.7133333333333383</v>
      </c>
      <c r="G45" s="53">
        <f t="shared" si="2"/>
        <v>7.4099999999999966</v>
      </c>
      <c r="H45" s="53">
        <f t="shared" si="2"/>
        <v>8.1066666666666549</v>
      </c>
      <c r="I45" s="53">
        <f t="shared" si="2"/>
        <v>8.8033333333333132</v>
      </c>
      <c r="J45" s="53">
        <f t="shared" si="2"/>
        <v>9.4999999999999716</v>
      </c>
      <c r="K45" s="53">
        <f t="shared" si="2"/>
        <v>5.0999999999999659</v>
      </c>
      <c r="L45" s="53">
        <f t="shared" si="2"/>
        <v>5.7000000000000455</v>
      </c>
      <c r="M45" s="53">
        <f t="shared" si="2"/>
        <v>5.5999999999999943</v>
      </c>
      <c r="N45" s="53">
        <f t="shared" si="2"/>
        <v>5.2000000000000455</v>
      </c>
      <c r="O45" s="53">
        <f t="shared" si="2"/>
        <v>13.966666666666612</v>
      </c>
      <c r="P45" s="53">
        <f t="shared" si="2"/>
        <v>14.053333333333299</v>
      </c>
      <c r="Q45" s="53">
        <f t="shared" si="2"/>
        <v>14.139999999999986</v>
      </c>
      <c r="R45" s="53">
        <f t="shared" si="2"/>
        <v>14.226666666666674</v>
      </c>
      <c r="S45" s="53">
        <f t="shared" si="2"/>
        <v>14.313333333333361</v>
      </c>
      <c r="T45" s="53">
        <f t="shared" si="2"/>
        <v>14.400000000000034</v>
      </c>
      <c r="U45" s="53">
        <f t="shared" si="2"/>
        <v>24.210000000000008</v>
      </c>
      <c r="V45" s="53">
        <f t="shared" si="2"/>
        <v>34.019999999999982</v>
      </c>
      <c r="W45" s="53">
        <f t="shared" si="2"/>
        <v>43.829999999999984</v>
      </c>
      <c r="X45" s="53">
        <f t="shared" si="2"/>
        <v>53.639999999999986</v>
      </c>
      <c r="Y45" s="53">
        <f t="shared" si="2"/>
        <v>23.60000000000008</v>
      </c>
      <c r="Z45" s="53">
        <f t="shared" si="2"/>
        <v>33.300000000000068</v>
      </c>
      <c r="AA45" s="53">
        <f t="shared" si="2"/>
        <v>43</v>
      </c>
      <c r="AB45" s="53">
        <f t="shared" si="2"/>
        <v>52.699999999999932</v>
      </c>
      <c r="AC45" s="53">
        <f t="shared" si="2"/>
        <v>62.399999999999864</v>
      </c>
      <c r="AD45" s="53">
        <f t="shared" si="2"/>
        <v>72.100000000000023</v>
      </c>
    </row>
    <row r="46" spans="1:30" x14ac:dyDescent="0.35">
      <c r="A46" s="72" t="s">
        <v>30</v>
      </c>
      <c r="B46" s="10">
        <f>NPV('Cost Assumptions'!$B$3,'Valley South to Valley North'!D46:'Valley South to Valley North'!AD46)</f>
        <v>-30.412621955669433</v>
      </c>
      <c r="C46" s="72" t="s">
        <v>32</v>
      </c>
      <c r="D46" s="53">
        <f t="shared" ref="D46:AD46" si="3">D4-D20</f>
        <v>-1</v>
      </c>
      <c r="E46" s="53">
        <f t="shared" si="3"/>
        <v>-1.916666666666667</v>
      </c>
      <c r="F46" s="53">
        <f t="shared" si="3"/>
        <v>-2.1533333333333387</v>
      </c>
      <c r="G46" s="53">
        <f t="shared" si="3"/>
        <v>-2.3900000000000095</v>
      </c>
      <c r="H46" s="53">
        <f t="shared" si="3"/>
        <v>-2.6266666666666794</v>
      </c>
      <c r="I46" s="53">
        <f t="shared" si="3"/>
        <v>-2.8633333333333493</v>
      </c>
      <c r="J46" s="53">
        <f t="shared" si="3"/>
        <v>-3.1000000000000227</v>
      </c>
      <c r="K46" s="53">
        <f t="shared" si="3"/>
        <v>-3.3000000000000114</v>
      </c>
      <c r="L46" s="53">
        <f t="shared" si="3"/>
        <v>-3.2000000000000171</v>
      </c>
      <c r="M46" s="53">
        <f t="shared" si="3"/>
        <v>-3.3000000000000114</v>
      </c>
      <c r="N46" s="53">
        <f t="shared" si="3"/>
        <v>-3.2999999999999545</v>
      </c>
      <c r="O46" s="53">
        <f t="shared" si="3"/>
        <v>-3.766666666666671</v>
      </c>
      <c r="P46" s="53">
        <f t="shared" si="3"/>
        <v>-4.1933333333333316</v>
      </c>
      <c r="Q46" s="53">
        <f t="shared" si="3"/>
        <v>-4.6199999999999921</v>
      </c>
      <c r="R46" s="53">
        <f t="shared" si="3"/>
        <v>-5.0466666666666526</v>
      </c>
      <c r="S46" s="53">
        <f t="shared" si="3"/>
        <v>-5.4733333333333114</v>
      </c>
      <c r="T46" s="53">
        <f t="shared" si="3"/>
        <v>-5.8999999999999773</v>
      </c>
      <c r="U46" s="53">
        <f t="shared" si="3"/>
        <v>-5.9599999999999795</v>
      </c>
      <c r="V46" s="53">
        <f t="shared" si="3"/>
        <v>-6.0199999999999818</v>
      </c>
      <c r="W46" s="53">
        <f t="shared" si="3"/>
        <v>-6.0799999999999841</v>
      </c>
      <c r="X46" s="53">
        <f t="shared" si="3"/>
        <v>-6.1399999999999864</v>
      </c>
      <c r="Y46" s="53">
        <f t="shared" si="3"/>
        <v>-6.1999999999999886</v>
      </c>
      <c r="Z46" s="53">
        <f t="shared" si="3"/>
        <v>-6.0999999999999908</v>
      </c>
      <c r="AA46" s="53">
        <f t="shared" si="3"/>
        <v>-5.9999999999999929</v>
      </c>
      <c r="AB46" s="53">
        <f t="shared" si="3"/>
        <v>-5.8999999999999986</v>
      </c>
      <c r="AC46" s="53">
        <f t="shared" si="3"/>
        <v>-5.8000000000000043</v>
      </c>
      <c r="AD46" s="53">
        <f t="shared" si="3"/>
        <v>-5.6999999999999886</v>
      </c>
    </row>
    <row r="47" spans="1:30" x14ac:dyDescent="0.35">
      <c r="A47" s="72" t="s">
        <v>30</v>
      </c>
      <c r="B47" s="10">
        <f>NPV('Cost Assumptions'!$B$3,'Valley South to Valley North'!D47:'Valley South to Valley North'!AD47)</f>
        <v>54.408682117250308</v>
      </c>
      <c r="C47" s="72" t="s">
        <v>33</v>
      </c>
      <c r="D47" s="53">
        <f t="shared" ref="D47:AD47" si="4">D5-D21</f>
        <v>6.8917982049977566E-2</v>
      </c>
      <c r="E47" s="53">
        <f t="shared" si="4"/>
        <v>0.15906981935651673</v>
      </c>
      <c r="F47" s="53">
        <f t="shared" si="4"/>
        <v>0.18882910507601286</v>
      </c>
      <c r="G47" s="53">
        <f t="shared" si="4"/>
        <v>0.21858839079550896</v>
      </c>
      <c r="H47" s="53">
        <f t="shared" si="4"/>
        <v>0.24834767651500511</v>
      </c>
      <c r="I47" s="53">
        <f t="shared" si="4"/>
        <v>0.27810696223450126</v>
      </c>
      <c r="J47" s="53">
        <f t="shared" si="4"/>
        <v>0.30786624795399731</v>
      </c>
      <c r="K47" s="53">
        <f t="shared" si="4"/>
        <v>0.28195331487555592</v>
      </c>
      <c r="L47" s="53">
        <f t="shared" si="4"/>
        <v>0.24759433463986247</v>
      </c>
      <c r="M47" s="53">
        <f t="shared" si="4"/>
        <v>0.28509284700382959</v>
      </c>
      <c r="N47" s="53">
        <f t="shared" si="4"/>
        <v>0.25668888932566963</v>
      </c>
      <c r="O47" s="53">
        <f t="shared" si="4"/>
        <v>0.52330631477244116</v>
      </c>
      <c r="P47" s="53">
        <f t="shared" si="4"/>
        <v>0.49655558207903017</v>
      </c>
      <c r="Q47" s="53">
        <f t="shared" si="4"/>
        <v>0.46980484938561906</v>
      </c>
      <c r="R47" s="53">
        <f t="shared" si="4"/>
        <v>0.44305411669220796</v>
      </c>
      <c r="S47" s="53">
        <f t="shared" si="4"/>
        <v>0.41630338399879685</v>
      </c>
      <c r="T47" s="53">
        <f t="shared" si="4"/>
        <v>0.38955265130538619</v>
      </c>
      <c r="U47" s="53">
        <f t="shared" si="4"/>
        <v>16.691773167103541</v>
      </c>
      <c r="V47" s="53">
        <f t="shared" si="4"/>
        <v>32.993993682901696</v>
      </c>
      <c r="W47" s="53">
        <f t="shared" si="4"/>
        <v>49.29621419869985</v>
      </c>
      <c r="X47" s="53">
        <f t="shared" si="4"/>
        <v>65.598434714497998</v>
      </c>
      <c r="Y47" s="53">
        <f t="shared" si="4"/>
        <v>81.900655230296152</v>
      </c>
      <c r="Z47" s="53">
        <f t="shared" si="4"/>
        <v>66.250682664889567</v>
      </c>
      <c r="AA47" s="53">
        <f t="shared" si="4"/>
        <v>50.600710099482981</v>
      </c>
      <c r="AB47" s="53">
        <f t="shared" si="4"/>
        <v>34.950737534076396</v>
      </c>
      <c r="AC47" s="53">
        <f t="shared" si="4"/>
        <v>19.30076496866981</v>
      </c>
      <c r="AD47" s="53">
        <f t="shared" si="4"/>
        <v>3.6507924032632211</v>
      </c>
    </row>
    <row r="48" spans="1:30" x14ac:dyDescent="0.35">
      <c r="A48" s="72" t="s">
        <v>30</v>
      </c>
      <c r="B48" s="10">
        <f>NPV('Cost Assumptions'!$B$3,'Valley South to Valley North'!D48:'Valley South to Valley North'!AD48)</f>
        <v>0.65104463482712971</v>
      </c>
      <c r="C48" s="72" t="s">
        <v>34</v>
      </c>
      <c r="D48" s="53">
        <f t="shared" ref="D48:AD48" si="5">D6-D22</f>
        <v>7.5996463269141067E-4</v>
      </c>
      <c r="E48" s="53">
        <f t="shared" si="5"/>
        <v>4.541872046191173E-3</v>
      </c>
      <c r="F48" s="53">
        <f t="shared" si="5"/>
        <v>3.8850528478319817E-3</v>
      </c>
      <c r="G48" s="53">
        <f t="shared" si="5"/>
        <v>3.2282336494727851E-3</v>
      </c>
      <c r="H48" s="53">
        <f t="shared" si="5"/>
        <v>2.571414451113592E-3</v>
      </c>
      <c r="I48" s="53">
        <f t="shared" si="5"/>
        <v>1.9145952527543988E-3</v>
      </c>
      <c r="J48" s="53">
        <f t="shared" si="5"/>
        <v>1.2577760543952127E-3</v>
      </c>
      <c r="K48" s="53">
        <f t="shared" si="5"/>
        <v>-2.2393738075584466E-3</v>
      </c>
      <c r="L48" s="53">
        <f t="shared" si="5"/>
        <v>-1.2916028075159111E-3</v>
      </c>
      <c r="M48" s="53">
        <f t="shared" si="5"/>
        <v>-1.0001742556337428E-3</v>
      </c>
      <c r="N48" s="53">
        <f t="shared" si="5"/>
        <v>-2.0899793109296627E-3</v>
      </c>
      <c r="O48" s="53">
        <f t="shared" si="5"/>
        <v>3.9542679857833413E-3</v>
      </c>
      <c r="P48" s="53">
        <f t="shared" si="5"/>
        <v>2.0670115788220395E-3</v>
      </c>
      <c r="Q48" s="53">
        <f t="shared" si="5"/>
        <v>1.7975517186072376E-4</v>
      </c>
      <c r="R48" s="53">
        <f t="shared" si="5"/>
        <v>-1.7075012351005919E-3</v>
      </c>
      <c r="S48" s="53">
        <f t="shared" si="5"/>
        <v>-3.5947576420619076E-3</v>
      </c>
      <c r="T48" s="53">
        <f t="shared" si="5"/>
        <v>-5.4820140490232094E-3</v>
      </c>
      <c r="U48" s="53">
        <f t="shared" si="5"/>
        <v>0.19895940009878027</v>
      </c>
      <c r="V48" s="53">
        <f t="shared" si="5"/>
        <v>0.40340081424658375</v>
      </c>
      <c r="W48" s="53">
        <f t="shared" si="5"/>
        <v>0.60784222839438717</v>
      </c>
      <c r="X48" s="53">
        <f t="shared" si="5"/>
        <v>0.81228364254219065</v>
      </c>
      <c r="Y48" s="53">
        <f t="shared" si="5"/>
        <v>1.0167250566899941</v>
      </c>
      <c r="Z48" s="53">
        <f t="shared" si="5"/>
        <v>0.81880901262046424</v>
      </c>
      <c r="AA48" s="53">
        <f t="shared" si="5"/>
        <v>0.62089296855093434</v>
      </c>
      <c r="AB48" s="53">
        <f t="shared" si="5"/>
        <v>0.42297692448140445</v>
      </c>
      <c r="AC48" s="53">
        <f t="shared" si="5"/>
        <v>0.22506088041187455</v>
      </c>
      <c r="AD48" s="53">
        <f t="shared" si="5"/>
        <v>2.7144836342344214E-2</v>
      </c>
    </row>
    <row r="49" spans="1:30" x14ac:dyDescent="0.35">
      <c r="A49" s="72" t="s">
        <v>30</v>
      </c>
      <c r="B49" s="10">
        <f>NPV('Cost Assumptions'!$B$3,'Valley South to Valley North'!D49:'Valley South to Valley North'!AD49)</f>
        <v>225.53030430590292</v>
      </c>
      <c r="C49" s="72" t="s">
        <v>35</v>
      </c>
      <c r="D49" s="53">
        <f t="shared" ref="D49:AD49" si="6">D7-D23</f>
        <v>11</v>
      </c>
      <c r="E49" s="53">
        <f t="shared" si="6"/>
        <v>17.166666666666668</v>
      </c>
      <c r="F49" s="53">
        <f t="shared" si="6"/>
        <v>18.533333333333331</v>
      </c>
      <c r="G49" s="53">
        <f t="shared" si="6"/>
        <v>19.899999999999999</v>
      </c>
      <c r="H49" s="53">
        <f t="shared" si="6"/>
        <v>21.266666666666666</v>
      </c>
      <c r="I49" s="53">
        <f t="shared" si="6"/>
        <v>22.633333333333333</v>
      </c>
      <c r="J49" s="53">
        <f t="shared" si="6"/>
        <v>24</v>
      </c>
      <c r="K49" s="53">
        <f t="shared" si="6"/>
        <v>23</v>
      </c>
      <c r="L49" s="53">
        <f t="shared" si="6"/>
        <v>22</v>
      </c>
      <c r="M49" s="53">
        <f t="shared" si="6"/>
        <v>23</v>
      </c>
      <c r="N49" s="53">
        <f t="shared" si="6"/>
        <v>22</v>
      </c>
      <c r="O49" s="53">
        <f t="shared" si="6"/>
        <v>24.666666666666664</v>
      </c>
      <c r="P49" s="53">
        <f t="shared" si="6"/>
        <v>26.533333333333328</v>
      </c>
      <c r="Q49" s="53">
        <f t="shared" si="6"/>
        <v>28.399999999999991</v>
      </c>
      <c r="R49" s="53">
        <f t="shared" si="6"/>
        <v>30.266666666666655</v>
      </c>
      <c r="S49" s="53">
        <f t="shared" si="6"/>
        <v>32.133333333333319</v>
      </c>
      <c r="T49" s="53">
        <f t="shared" si="6"/>
        <v>34</v>
      </c>
      <c r="U49" s="53">
        <f t="shared" si="6"/>
        <v>37</v>
      </c>
      <c r="V49" s="53">
        <f t="shared" si="6"/>
        <v>40</v>
      </c>
      <c r="W49" s="53">
        <f t="shared" si="6"/>
        <v>42.999999999999993</v>
      </c>
      <c r="X49" s="53">
        <f t="shared" si="6"/>
        <v>45.999999999999986</v>
      </c>
      <c r="Y49" s="53">
        <f t="shared" si="6"/>
        <v>49</v>
      </c>
      <c r="Z49" s="53">
        <f t="shared" si="6"/>
        <v>49.2</v>
      </c>
      <c r="AA49" s="53">
        <f t="shared" si="6"/>
        <v>49.400000000000006</v>
      </c>
      <c r="AB49" s="53">
        <f t="shared" si="6"/>
        <v>49.600000000000009</v>
      </c>
      <c r="AC49" s="53">
        <f t="shared" si="6"/>
        <v>49.800000000000011</v>
      </c>
      <c r="AD49" s="53">
        <f t="shared" si="6"/>
        <v>50</v>
      </c>
    </row>
    <row r="50" spans="1:30" x14ac:dyDescent="0.35">
      <c r="A50" s="72" t="s">
        <v>30</v>
      </c>
      <c r="B50" s="10">
        <f>NPV('Cost Assumptions'!$B$3,'Valley South to Valley North'!D50:'Valley South to Valley North'!AD50)</f>
        <v>39141.445534236278</v>
      </c>
      <c r="C50" s="70" t="s">
        <v>140</v>
      </c>
      <c r="D50" s="53">
        <f>D13-D24</f>
        <v>1637.4650100268436</v>
      </c>
      <c r="E50" s="53">
        <f t="shared" ref="E50:AD50" si="7">E13-E24</f>
        <v>2177.3309561137412</v>
      </c>
      <c r="F50" s="53">
        <f t="shared" si="7"/>
        <v>2717.1969022006379</v>
      </c>
      <c r="G50" s="53">
        <f t="shared" si="7"/>
        <v>3257.0628482875345</v>
      </c>
      <c r="H50" s="53">
        <f t="shared" si="7"/>
        <v>3796.928794374433</v>
      </c>
      <c r="I50" s="53">
        <f t="shared" si="7"/>
        <v>4336.7947404613296</v>
      </c>
      <c r="J50" s="53">
        <f t="shared" si="7"/>
        <v>4876.6606865482263</v>
      </c>
      <c r="K50" s="53">
        <f t="shared" si="7"/>
        <v>4751.6880579350345</v>
      </c>
      <c r="L50" s="53">
        <f t="shared" si="7"/>
        <v>4626.7154293218427</v>
      </c>
      <c r="M50" s="53">
        <f t="shared" si="7"/>
        <v>3604.0088606696972</v>
      </c>
      <c r="N50" s="53">
        <f t="shared" si="7"/>
        <v>4264.9844683355968</v>
      </c>
      <c r="O50" s="53">
        <f t="shared" si="7"/>
        <v>5180.7852586977097</v>
      </c>
      <c r="P50" s="53">
        <f t="shared" si="7"/>
        <v>5378.5499981392313</v>
      </c>
      <c r="Q50" s="53">
        <f t="shared" si="7"/>
        <v>5576.3147375807512</v>
      </c>
      <c r="R50" s="53">
        <f t="shared" si="7"/>
        <v>5774.079477022271</v>
      </c>
      <c r="S50" s="53">
        <f t="shared" si="7"/>
        <v>5971.8442164637927</v>
      </c>
      <c r="T50" s="53">
        <f t="shared" si="7"/>
        <v>6169.6089559053144</v>
      </c>
      <c r="U50" s="53">
        <f t="shared" si="7"/>
        <v>6367.3736953468342</v>
      </c>
      <c r="V50" s="53">
        <f t="shared" si="7"/>
        <v>6565.1384347883541</v>
      </c>
      <c r="W50" s="53">
        <f t="shared" si="7"/>
        <v>6762.9031742298757</v>
      </c>
      <c r="X50" s="53">
        <f t="shared" si="7"/>
        <v>6960.6679136713974</v>
      </c>
      <c r="Y50" s="53">
        <f t="shared" si="7"/>
        <v>7158.4326531129154</v>
      </c>
      <c r="Z50" s="53">
        <f t="shared" si="7"/>
        <v>7356.1973925544371</v>
      </c>
      <c r="AA50" s="53">
        <f t="shared" si="7"/>
        <v>7553.9621319959588</v>
      </c>
      <c r="AB50" s="53">
        <f t="shared" si="7"/>
        <v>7751.7268714374804</v>
      </c>
      <c r="AC50" s="53">
        <f t="shared" si="7"/>
        <v>7949.4916108790021</v>
      </c>
      <c r="AD50" s="53">
        <f t="shared" si="7"/>
        <v>8147.2563503205129</v>
      </c>
    </row>
    <row r="51" spans="1:30" x14ac:dyDescent="0.35">
      <c r="A51" s="72" t="s">
        <v>30</v>
      </c>
      <c r="B51" s="10">
        <f>NPV('Cost Assumptions'!$B$3,'Valley South to Valley North'!D51:'Valley South to Valley North'!AD51)</f>
        <v>0</v>
      </c>
      <c r="C51" s="70" t="s">
        <v>141</v>
      </c>
      <c r="D51" s="53">
        <f>D14-D25</f>
        <v>0</v>
      </c>
      <c r="E51" s="53">
        <f t="shared" ref="E51:AD51" si="8">E14-E25</f>
        <v>0</v>
      </c>
      <c r="F51" s="53">
        <f t="shared" si="8"/>
        <v>0</v>
      </c>
      <c r="G51" s="53">
        <f t="shared" si="8"/>
        <v>0</v>
      </c>
      <c r="H51" s="53">
        <f t="shared" si="8"/>
        <v>0</v>
      </c>
      <c r="I51" s="53">
        <f t="shared" si="8"/>
        <v>0</v>
      </c>
      <c r="J51" s="53">
        <f t="shared" si="8"/>
        <v>0</v>
      </c>
      <c r="K51" s="53">
        <f t="shared" si="8"/>
        <v>0</v>
      </c>
      <c r="L51" s="53">
        <f t="shared" si="8"/>
        <v>0</v>
      </c>
      <c r="M51" s="53">
        <f t="shared" si="8"/>
        <v>0</v>
      </c>
      <c r="N51" s="53">
        <f t="shared" si="8"/>
        <v>0</v>
      </c>
      <c r="O51" s="53">
        <f t="shared" si="8"/>
        <v>0</v>
      </c>
      <c r="P51" s="53">
        <f t="shared" si="8"/>
        <v>0</v>
      </c>
      <c r="Q51" s="53">
        <f t="shared" si="8"/>
        <v>0</v>
      </c>
      <c r="R51" s="53">
        <f t="shared" si="8"/>
        <v>0</v>
      </c>
      <c r="S51" s="53">
        <f t="shared" si="8"/>
        <v>0</v>
      </c>
      <c r="T51" s="53">
        <f t="shared" si="8"/>
        <v>0</v>
      </c>
      <c r="U51" s="53">
        <f t="shared" si="8"/>
        <v>0</v>
      </c>
      <c r="V51" s="53">
        <f t="shared" si="8"/>
        <v>0</v>
      </c>
      <c r="W51" s="53">
        <f t="shared" si="8"/>
        <v>0</v>
      </c>
      <c r="X51" s="53">
        <f t="shared" si="8"/>
        <v>0</v>
      </c>
      <c r="Y51" s="53">
        <f t="shared" si="8"/>
        <v>0</v>
      </c>
      <c r="Z51" s="53">
        <f t="shared" si="8"/>
        <v>0</v>
      </c>
      <c r="AA51" s="53">
        <f t="shared" si="8"/>
        <v>0</v>
      </c>
      <c r="AB51" s="53">
        <f t="shared" si="8"/>
        <v>0</v>
      </c>
      <c r="AC51" s="53">
        <f t="shared" si="8"/>
        <v>0</v>
      </c>
      <c r="AD51" s="53">
        <f t="shared" si="8"/>
        <v>0</v>
      </c>
    </row>
    <row r="52" spans="1:30" s="66" customFormat="1" x14ac:dyDescent="0.35">
      <c r="A52" s="72" t="s">
        <v>30</v>
      </c>
      <c r="B52" s="10">
        <f>NPV('Cost Assumptions'!$B$3,'Valley South to Valley North'!D52:'Valley South to Valley North'!AD52)</f>
        <v>479183.40573156968</v>
      </c>
      <c r="C52" s="70" t="s">
        <v>142</v>
      </c>
      <c r="D52" s="53">
        <f>D15-D26</f>
        <v>41950.317319588241</v>
      </c>
      <c r="E52" s="53">
        <f t="shared" ref="E52:AD52" si="9">E15-E26</f>
        <v>44543.453126980952</v>
      </c>
      <c r="F52" s="53">
        <f t="shared" si="9"/>
        <v>45828.860716419767</v>
      </c>
      <c r="G52" s="53">
        <f t="shared" si="9"/>
        <v>47153.352767109565</v>
      </c>
      <c r="H52" s="53">
        <f t="shared" si="9"/>
        <v>48574.54795918976</v>
      </c>
      <c r="I52" s="53">
        <f t="shared" si="9"/>
        <v>50215.764777497636</v>
      </c>
      <c r="J52" s="53">
        <f t="shared" si="9"/>
        <v>51874.691963872247</v>
      </c>
      <c r="K52" s="53">
        <f t="shared" si="9"/>
        <v>50778.114869249301</v>
      </c>
      <c r="L52" s="53">
        <f t="shared" si="9"/>
        <v>49693.135746863452</v>
      </c>
      <c r="M52" s="53">
        <f t="shared" si="9"/>
        <v>48611.273086176574</v>
      </c>
      <c r="N52" s="53">
        <f t="shared" si="9"/>
        <v>50344.583019320264</v>
      </c>
      <c r="O52" s="53">
        <f t="shared" si="9"/>
        <v>52146.765099087497</v>
      </c>
      <c r="P52" s="53">
        <f t="shared" si="9"/>
        <v>54023.414660322465</v>
      </c>
      <c r="Q52" s="53">
        <f t="shared" si="9"/>
        <v>55888.522918306931</v>
      </c>
      <c r="R52" s="53">
        <f t="shared" si="9"/>
        <v>57769.072009230513</v>
      </c>
      <c r="S52" s="53">
        <f t="shared" si="9"/>
        <v>59689.474085032125</v>
      </c>
      <c r="T52" s="53">
        <f t="shared" si="9"/>
        <v>61697.84379550803</v>
      </c>
      <c r="U52" s="53">
        <f t="shared" si="9"/>
        <v>63562.358136175724</v>
      </c>
      <c r="V52" s="53">
        <f t="shared" si="9"/>
        <v>65462.168384773649</v>
      </c>
      <c r="W52" s="53">
        <f t="shared" si="9"/>
        <v>67413.848768282201</v>
      </c>
      <c r="X52" s="53">
        <f t="shared" si="9"/>
        <v>69383.773026755458</v>
      </c>
      <c r="Y52" s="53">
        <f t="shared" si="9"/>
        <v>71058.973139583541</v>
      </c>
      <c r="Z52" s="53">
        <f t="shared" si="9"/>
        <v>72692.90965949271</v>
      </c>
      <c r="AA52" s="53">
        <f t="shared" si="9"/>
        <v>74263.686691227922</v>
      </c>
      <c r="AB52" s="53">
        <f t="shared" si="9"/>
        <v>75805.906063189002</v>
      </c>
      <c r="AC52" s="53">
        <f t="shared" si="9"/>
        <v>76906.765075590141</v>
      </c>
      <c r="AD52" s="53">
        <f t="shared" si="9"/>
        <v>77904.270842658967</v>
      </c>
    </row>
    <row r="53" spans="1:30" x14ac:dyDescent="0.35">
      <c r="A53" s="72" t="s">
        <v>39</v>
      </c>
      <c r="B53" s="10">
        <f>NPV('Cost Assumptions'!$B$3,'Valley South to Valley North'!D53:'Valley South to Valley North'!AD53)</f>
        <v>3422.1305658870738</v>
      </c>
      <c r="C53" s="72" t="s">
        <v>31</v>
      </c>
      <c r="D53" s="53">
        <f>D8-SUM(D28,D27)</f>
        <v>22.2</v>
      </c>
      <c r="E53" s="53">
        <f t="shared" ref="E53:AD53" si="10">E8-SUM(E28,E27)</f>
        <v>65.8</v>
      </c>
      <c r="F53" s="53">
        <f t="shared" si="10"/>
        <v>102.72</v>
      </c>
      <c r="G53" s="53">
        <f t="shared" si="10"/>
        <v>139.63999999999999</v>
      </c>
      <c r="H53" s="53">
        <f t="shared" si="10"/>
        <v>176.56</v>
      </c>
      <c r="I53" s="53">
        <f t="shared" si="10"/>
        <v>213.48000000000002</v>
      </c>
      <c r="J53" s="53">
        <f t="shared" si="10"/>
        <v>250.4</v>
      </c>
      <c r="K53" s="53">
        <f t="shared" si="10"/>
        <v>216.60000000000014</v>
      </c>
      <c r="L53" s="53">
        <f t="shared" si="10"/>
        <v>182.59999999999991</v>
      </c>
      <c r="M53" s="53">
        <f t="shared" si="10"/>
        <v>151.20000000000005</v>
      </c>
      <c r="N53" s="53">
        <f t="shared" si="10"/>
        <v>202.60000000000014</v>
      </c>
      <c r="O53" s="53">
        <f t="shared" si="10"/>
        <v>292.1666666666668</v>
      </c>
      <c r="P53" s="53">
        <f t="shared" si="10"/>
        <v>381.73333333333346</v>
      </c>
      <c r="Q53" s="53">
        <f t="shared" si="10"/>
        <v>471.30000000000013</v>
      </c>
      <c r="R53" s="53">
        <f t="shared" si="10"/>
        <v>560.86666666666679</v>
      </c>
      <c r="S53" s="53">
        <f t="shared" si="10"/>
        <v>650.43333333333339</v>
      </c>
      <c r="T53" s="53">
        <f t="shared" si="10"/>
        <v>740</v>
      </c>
      <c r="U53" s="53">
        <f t="shared" si="10"/>
        <v>930.87999999999988</v>
      </c>
      <c r="V53" s="53">
        <f t="shared" si="10"/>
        <v>1120.7599999999998</v>
      </c>
      <c r="W53" s="53">
        <f t="shared" si="10"/>
        <v>1280.7066666666663</v>
      </c>
      <c r="X53" s="53">
        <f t="shared" si="10"/>
        <v>1440.6533333333327</v>
      </c>
      <c r="Y53" s="53">
        <f t="shared" si="10"/>
        <v>1600.5999999999992</v>
      </c>
      <c r="Z53" s="53">
        <f t="shared" si="10"/>
        <v>1662.3999999999992</v>
      </c>
      <c r="AA53" s="53">
        <f t="shared" si="10"/>
        <v>1724.1999999999994</v>
      </c>
      <c r="AB53" s="53">
        <f t="shared" si="10"/>
        <v>1785.9999999999995</v>
      </c>
      <c r="AC53" s="53">
        <f t="shared" si="10"/>
        <v>1847.7999999999995</v>
      </c>
      <c r="AD53" s="53">
        <f t="shared" si="10"/>
        <v>1909.5999999999995</v>
      </c>
    </row>
    <row r="54" spans="1:30" x14ac:dyDescent="0.35">
      <c r="A54" s="72" t="s">
        <v>39</v>
      </c>
      <c r="B54" s="10">
        <f>NPV('Cost Assumptions'!$B$3,'Valley South to Valley North'!D54:'Valley South to Valley North'!AD54)</f>
        <v>527.31679336051275</v>
      </c>
      <c r="C54" s="72" t="s">
        <v>32</v>
      </c>
      <c r="D54" s="53">
        <f t="shared" ref="D54:AD54" si="11">D9-D29</f>
        <v>13</v>
      </c>
      <c r="E54" s="53">
        <f t="shared" si="11"/>
        <v>27</v>
      </c>
      <c r="F54" s="53">
        <f t="shared" si="11"/>
        <v>34.519999999999982</v>
      </c>
      <c r="G54" s="53">
        <f t="shared" si="11"/>
        <v>42.039999999999964</v>
      </c>
      <c r="H54" s="53">
        <f t="shared" si="11"/>
        <v>49.559999999999945</v>
      </c>
      <c r="I54" s="53">
        <f t="shared" si="11"/>
        <v>57.079999999999927</v>
      </c>
      <c r="J54" s="53">
        <f t="shared" si="11"/>
        <v>64.599999999999909</v>
      </c>
      <c r="K54" s="53">
        <f t="shared" si="11"/>
        <v>59.799999999999955</v>
      </c>
      <c r="L54" s="53">
        <f t="shared" si="11"/>
        <v>52.799999999999955</v>
      </c>
      <c r="M54" s="53">
        <f t="shared" si="11"/>
        <v>46</v>
      </c>
      <c r="N54" s="53">
        <f t="shared" si="11"/>
        <v>57.400000000000091</v>
      </c>
      <c r="O54" s="53">
        <f t="shared" si="11"/>
        <v>67.333333333333414</v>
      </c>
      <c r="P54" s="53">
        <f t="shared" si="11"/>
        <v>77.266666666666737</v>
      </c>
      <c r="Q54" s="53">
        <f t="shared" si="11"/>
        <v>87.20000000000006</v>
      </c>
      <c r="R54" s="53">
        <f t="shared" si="11"/>
        <v>97.133333333333383</v>
      </c>
      <c r="S54" s="53">
        <f t="shared" si="11"/>
        <v>107.06666666666671</v>
      </c>
      <c r="T54" s="53">
        <f t="shared" si="11"/>
        <v>117</v>
      </c>
      <c r="U54" s="53">
        <f t="shared" si="11"/>
        <v>126.6</v>
      </c>
      <c r="V54" s="53">
        <f t="shared" si="11"/>
        <v>135.19999999999999</v>
      </c>
      <c r="W54" s="53">
        <f t="shared" si="11"/>
        <v>128.73333333333323</v>
      </c>
      <c r="X54" s="53">
        <f t="shared" si="11"/>
        <v>122.26666666666645</v>
      </c>
      <c r="Y54" s="53">
        <f t="shared" si="11"/>
        <v>115.79999999999973</v>
      </c>
      <c r="Z54" s="53">
        <f t="shared" si="11"/>
        <v>92.159999999999755</v>
      </c>
      <c r="AA54" s="53">
        <f t="shared" si="11"/>
        <v>68.519999999999783</v>
      </c>
      <c r="AB54" s="53">
        <f t="shared" si="11"/>
        <v>44.879999999999825</v>
      </c>
      <c r="AC54" s="53">
        <f t="shared" si="11"/>
        <v>21.239999999999867</v>
      </c>
      <c r="AD54" s="53">
        <f t="shared" si="11"/>
        <v>-2.4000000000000909</v>
      </c>
    </row>
    <row r="55" spans="1:30" x14ac:dyDescent="0.35">
      <c r="A55" s="72" t="s">
        <v>39</v>
      </c>
      <c r="B55" s="10">
        <f>NPV('Cost Assumptions'!$B$3,'Valley South to Valley North'!D55:'Valley South to Valley North'!AD55)</f>
        <v>49.08328766658186</v>
      </c>
      <c r="C55" s="72" t="s">
        <v>33</v>
      </c>
      <c r="D55" s="53">
        <f t="shared" ref="D55:AD55" si="12">D10-D30</f>
        <v>4.7253529883901121E-2</v>
      </c>
      <c r="E55" s="53">
        <f t="shared" si="12"/>
        <v>0.28011551949195379</v>
      </c>
      <c r="F55" s="53">
        <f t="shared" si="12"/>
        <v>0.59718244793816533</v>
      </c>
      <c r="G55" s="53">
        <f t="shared" si="12"/>
        <v>0.91424937638437687</v>
      </c>
      <c r="H55" s="53">
        <f t="shared" si="12"/>
        <v>1.2313163048305884</v>
      </c>
      <c r="I55" s="53">
        <f t="shared" si="12"/>
        <v>1.5483832332767999</v>
      </c>
      <c r="J55" s="53">
        <f t="shared" si="12"/>
        <v>1.8654501617230115</v>
      </c>
      <c r="K55" s="53">
        <f t="shared" si="12"/>
        <v>1.6136441894137561</v>
      </c>
      <c r="L55" s="53">
        <f t="shared" si="12"/>
        <v>1.1660127779459895</v>
      </c>
      <c r="M55" s="53">
        <f t="shared" si="12"/>
        <v>0.80458713045561225</v>
      </c>
      <c r="N55" s="53">
        <f t="shared" si="12"/>
        <v>0.56680711827214547</v>
      </c>
      <c r="O55" s="53">
        <f t="shared" si="12"/>
        <v>3.0445179689462347</v>
      </c>
      <c r="P55" s="53">
        <f t="shared" si="12"/>
        <v>4.5886299372095039</v>
      </c>
      <c r="Q55" s="53">
        <f t="shared" si="12"/>
        <v>6.1327419054727734</v>
      </c>
      <c r="R55" s="53">
        <f t="shared" si="12"/>
        <v>7.676853873736043</v>
      </c>
      <c r="S55" s="53">
        <f t="shared" si="12"/>
        <v>9.2209658419993126</v>
      </c>
      <c r="T55" s="53">
        <f t="shared" si="12"/>
        <v>10.765077810262582</v>
      </c>
      <c r="U55" s="53">
        <f t="shared" si="12"/>
        <v>11.285969377257926</v>
      </c>
      <c r="V55" s="53">
        <f t="shared" si="12"/>
        <v>11.80676094425327</v>
      </c>
      <c r="W55" s="53">
        <f t="shared" si="12"/>
        <v>12.092358295778098</v>
      </c>
      <c r="X55" s="53">
        <f t="shared" si="12"/>
        <v>12.377955647302926</v>
      </c>
      <c r="Y55" s="53">
        <f t="shared" si="12"/>
        <v>12.663552998827756</v>
      </c>
      <c r="Z55" s="53">
        <f t="shared" si="12"/>
        <v>26.885979829758707</v>
      </c>
      <c r="AA55" s="53">
        <f t="shared" si="12"/>
        <v>41.10840666068966</v>
      </c>
      <c r="AB55" s="53">
        <f t="shared" si="12"/>
        <v>55.330833491620609</v>
      </c>
      <c r="AC55" s="53">
        <f t="shared" si="12"/>
        <v>69.553260322551552</v>
      </c>
      <c r="AD55" s="53">
        <f t="shared" si="12"/>
        <v>83.775687153482508</v>
      </c>
    </row>
    <row r="56" spans="1:30" x14ac:dyDescent="0.35">
      <c r="A56" s="72" t="s">
        <v>39</v>
      </c>
      <c r="B56" s="10">
        <f>NPV('Cost Assumptions'!$B$3,'Valley South to Valley North'!D56:'Valley South to Valley North'!AD56)</f>
        <v>2.6067895419981455</v>
      </c>
      <c r="C56" s="72" t="s">
        <v>34</v>
      </c>
      <c r="D56" s="53">
        <f t="shared" ref="D56:AD56" si="13">D11-D31</f>
        <v>2.3626764941950561E-2</v>
      </c>
      <c r="E56" s="53">
        <f t="shared" si="13"/>
        <v>7.0028879872988448E-2</v>
      </c>
      <c r="F56" s="53">
        <f t="shared" si="13"/>
        <v>0.10932167994761965</v>
      </c>
      <c r="G56" s="53">
        <f t="shared" si="13"/>
        <v>0.14861448002225086</v>
      </c>
      <c r="H56" s="53">
        <f t="shared" si="13"/>
        <v>0.18790728009688207</v>
      </c>
      <c r="I56" s="53">
        <f t="shared" si="13"/>
        <v>0.22720008017151327</v>
      </c>
      <c r="J56" s="53">
        <f t="shared" si="13"/>
        <v>0.26649288024614448</v>
      </c>
      <c r="K56" s="53">
        <f t="shared" si="13"/>
        <v>0.23052059848767945</v>
      </c>
      <c r="L56" s="53">
        <f t="shared" si="13"/>
        <v>0.19433546299099821</v>
      </c>
      <c r="M56" s="53">
        <f t="shared" si="13"/>
        <v>0.16091742609112245</v>
      </c>
      <c r="N56" s="53">
        <f t="shared" si="13"/>
        <v>4.2212624824281168E-2</v>
      </c>
      <c r="O56" s="53">
        <f t="shared" si="13"/>
        <v>0.30677545020347896</v>
      </c>
      <c r="P56" s="53">
        <f t="shared" si="13"/>
        <v>0.39920718602367722</v>
      </c>
      <c r="Q56" s="53">
        <f t="shared" si="13"/>
        <v>0.49163892184387548</v>
      </c>
      <c r="R56" s="53">
        <f t="shared" si="13"/>
        <v>0.58407065766407373</v>
      </c>
      <c r="S56" s="53">
        <f t="shared" si="13"/>
        <v>0.67650239348427199</v>
      </c>
      <c r="T56" s="53">
        <f t="shared" si="13"/>
        <v>0.76893412930447014</v>
      </c>
      <c r="U56" s="53">
        <f t="shared" si="13"/>
        <v>0.69278283231502535</v>
      </c>
      <c r="V56" s="53">
        <f t="shared" si="13"/>
        <v>0.61653153532558058</v>
      </c>
      <c r="W56" s="53">
        <f t="shared" si="13"/>
        <v>0.50119231353549432</v>
      </c>
      <c r="X56" s="53">
        <f t="shared" si="13"/>
        <v>0.38585309174540799</v>
      </c>
      <c r="Y56" s="53">
        <f t="shared" si="13"/>
        <v>0.27051386995532162</v>
      </c>
      <c r="Z56" s="53">
        <f t="shared" si="13"/>
        <v>0.57773894072646137</v>
      </c>
      <c r="AA56" s="53">
        <f t="shared" si="13"/>
        <v>0.88496401149760129</v>
      </c>
      <c r="AB56" s="53">
        <f t="shared" si="13"/>
        <v>1.1921890822687411</v>
      </c>
      <c r="AC56" s="53">
        <f t="shared" si="13"/>
        <v>1.499414153039881</v>
      </c>
      <c r="AD56" s="53">
        <f t="shared" si="13"/>
        <v>1.8066392238110207</v>
      </c>
    </row>
    <row r="57" spans="1:30" x14ac:dyDescent="0.35">
      <c r="A57" s="72" t="s">
        <v>39</v>
      </c>
      <c r="B57" s="10">
        <f>NPV('Cost Assumptions'!$B$3,'Valley South to Valley North'!D57:'Valley South to Valley North'!AD57)</f>
        <v>73.897420709513568</v>
      </c>
      <c r="C57" s="72" t="s">
        <v>35</v>
      </c>
      <c r="D57" s="53">
        <f t="shared" ref="D57:AD57" si="14">D12-D32</f>
        <v>2</v>
      </c>
      <c r="E57" s="53">
        <f t="shared" si="14"/>
        <v>4</v>
      </c>
      <c r="F57" s="53">
        <f t="shared" si="14"/>
        <v>4.5999999999999996</v>
      </c>
      <c r="G57" s="53">
        <f t="shared" si="14"/>
        <v>5.1999999999999993</v>
      </c>
      <c r="H57" s="53">
        <f t="shared" si="14"/>
        <v>5.7999999999999989</v>
      </c>
      <c r="I57" s="53">
        <f t="shared" si="14"/>
        <v>6.3999999999999986</v>
      </c>
      <c r="J57" s="53">
        <f t="shared" si="14"/>
        <v>7</v>
      </c>
      <c r="K57" s="53">
        <f t="shared" si="14"/>
        <v>7</v>
      </c>
      <c r="L57" s="53">
        <f t="shared" si="14"/>
        <v>6</v>
      </c>
      <c r="M57" s="53">
        <f t="shared" si="14"/>
        <v>5</v>
      </c>
      <c r="N57" s="53">
        <f t="shared" si="14"/>
        <v>7</v>
      </c>
      <c r="O57" s="53">
        <f t="shared" si="14"/>
        <v>8.1666666666666661</v>
      </c>
      <c r="P57" s="53">
        <f t="shared" si="14"/>
        <v>9.3333333333333321</v>
      </c>
      <c r="Q57" s="53">
        <f t="shared" si="14"/>
        <v>10.499999999999998</v>
      </c>
      <c r="R57" s="53">
        <f t="shared" si="14"/>
        <v>11.666666666666664</v>
      </c>
      <c r="S57" s="53">
        <f t="shared" si="14"/>
        <v>12.83333333333333</v>
      </c>
      <c r="T57" s="53">
        <f t="shared" si="14"/>
        <v>14</v>
      </c>
      <c r="U57" s="53">
        <f t="shared" si="14"/>
        <v>17</v>
      </c>
      <c r="V57" s="53">
        <f t="shared" si="14"/>
        <v>19</v>
      </c>
      <c r="W57" s="53">
        <f t="shared" si="14"/>
        <v>20.333333333333332</v>
      </c>
      <c r="X57" s="53">
        <f t="shared" si="14"/>
        <v>21.666666666666664</v>
      </c>
      <c r="Y57" s="53">
        <f t="shared" si="14"/>
        <v>23</v>
      </c>
      <c r="Z57" s="53">
        <f t="shared" si="14"/>
        <v>22</v>
      </c>
      <c r="AA57" s="53">
        <f t="shared" si="14"/>
        <v>21.000000000000004</v>
      </c>
      <c r="AB57" s="53">
        <f t="shared" si="14"/>
        <v>20.000000000000007</v>
      </c>
      <c r="AC57" s="53">
        <f t="shared" si="14"/>
        <v>19.000000000000007</v>
      </c>
      <c r="AD57" s="53">
        <f t="shared" si="14"/>
        <v>18</v>
      </c>
    </row>
    <row r="58" spans="1:30" x14ac:dyDescent="0.35">
      <c r="A58" s="72"/>
      <c r="B58" s="72"/>
      <c r="C58" s="72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</row>
    <row r="59" spans="1:30" ht="15" thickBot="1" x14ac:dyDescent="0.4">
      <c r="A59" s="177" t="s">
        <v>143</v>
      </c>
      <c r="B59" s="177"/>
      <c r="C59" s="177"/>
      <c r="D59" s="177"/>
      <c r="E59" s="177"/>
      <c r="F59" s="177"/>
      <c r="G59" s="177"/>
      <c r="H59" s="177"/>
      <c r="I59" s="177"/>
      <c r="J59" s="177"/>
      <c r="K59" s="177"/>
      <c r="L59" s="177"/>
      <c r="M59" s="177"/>
      <c r="N59" s="177"/>
      <c r="O59" s="177"/>
      <c r="P59" s="177"/>
      <c r="Q59" s="177"/>
      <c r="R59" s="177"/>
      <c r="S59" s="177"/>
      <c r="T59" s="177"/>
      <c r="U59" s="177"/>
      <c r="V59" s="177"/>
      <c r="W59" s="177"/>
      <c r="X59" s="177"/>
      <c r="Y59" s="177"/>
      <c r="Z59" s="177"/>
      <c r="AA59" s="177"/>
      <c r="AB59" s="177"/>
      <c r="AC59" s="177"/>
      <c r="AD59" s="177"/>
    </row>
    <row r="60" spans="1:30" ht="15.5" thickTop="1" thickBot="1" x14ac:dyDescent="0.4">
      <c r="A60" s="177"/>
      <c r="B60" s="177"/>
      <c r="C60" s="177"/>
      <c r="D60" s="177"/>
      <c r="E60" s="177"/>
      <c r="F60" s="177"/>
      <c r="G60" s="177"/>
      <c r="H60" s="177"/>
      <c r="I60" s="177"/>
      <c r="J60" s="177"/>
      <c r="K60" s="177"/>
      <c r="L60" s="177"/>
      <c r="M60" s="177"/>
      <c r="N60" s="177"/>
      <c r="O60" s="177"/>
      <c r="P60" s="177"/>
      <c r="Q60" s="177"/>
      <c r="R60" s="177"/>
      <c r="S60" s="177"/>
      <c r="T60" s="177"/>
      <c r="U60" s="177"/>
      <c r="V60" s="177"/>
      <c r="W60" s="177"/>
      <c r="X60" s="177"/>
      <c r="Y60" s="177"/>
      <c r="Z60" s="177"/>
      <c r="AA60" s="177"/>
      <c r="AB60" s="177"/>
      <c r="AC60" s="177"/>
      <c r="AD60" s="177"/>
    </row>
    <row r="61" spans="1:30" ht="15" thickTop="1" x14ac:dyDescent="0.35">
      <c r="A61" s="72" t="str">
        <f>'Baseline System Analysis'!A17</f>
        <v>Residential</v>
      </c>
      <c r="B61" s="72" t="str">
        <f>'Baseline System Analysis'!B17</f>
        <v>Cost of Reliability (N-1)</v>
      </c>
      <c r="C61" s="72" t="str">
        <f>'Baseline System Analysis'!C17</f>
        <v>$/kWh</v>
      </c>
      <c r="D61" s="4">
        <f>'Baseline System Analysis'!D17</f>
        <v>4.4933261328125003</v>
      </c>
      <c r="E61" s="4">
        <f>'Baseline System Analysis'!E17</f>
        <v>4.6056592861328127</v>
      </c>
      <c r="F61" s="4">
        <f>'Baseline System Analysis'!F17</f>
        <v>4.720800768286133</v>
      </c>
      <c r="G61" s="4">
        <f>'Baseline System Analysis'!G17</f>
        <v>4.8388207874932858</v>
      </c>
      <c r="H61" s="4">
        <f>'Baseline System Analysis'!H17</f>
        <v>4.9597913071806179</v>
      </c>
      <c r="I61" s="4">
        <f>'Baseline System Analysis'!I17</f>
        <v>5.0837860898601326</v>
      </c>
      <c r="J61" s="4">
        <f>'Baseline System Analysis'!J17</f>
        <v>5.2108807421066352</v>
      </c>
      <c r="K61" s="4">
        <f>'Baseline System Analysis'!K17</f>
        <v>5.341152760659301</v>
      </c>
      <c r="L61" s="4">
        <f>'Baseline System Analysis'!L17</f>
        <v>5.4746815796757833</v>
      </c>
      <c r="M61" s="4">
        <f>'Baseline System Analysis'!M17</f>
        <v>5.6115486191676771</v>
      </c>
      <c r="N61" s="4">
        <f>'Baseline System Analysis'!N17</f>
        <v>5.7518373346468685</v>
      </c>
      <c r="O61" s="4">
        <f>'Baseline System Analysis'!O17</f>
        <v>5.8956332680130394</v>
      </c>
      <c r="P61" s="4">
        <f>'Baseline System Analysis'!P17</f>
        <v>6.0430240997133646</v>
      </c>
      <c r="Q61" s="4">
        <f>'Baseline System Analysis'!Q17</f>
        <v>6.1940997022061985</v>
      </c>
      <c r="R61" s="4">
        <f>'Baseline System Analysis'!R17</f>
        <v>6.3489521947613525</v>
      </c>
      <c r="S61" s="4">
        <f>'Baseline System Analysis'!S17</f>
        <v>6.5076759996303855</v>
      </c>
      <c r="T61" s="4">
        <f>'Baseline System Analysis'!T17</f>
        <v>6.6703678996211444</v>
      </c>
      <c r="U61" s="4">
        <f>'Baseline System Analysis'!U17</f>
        <v>6.8371270971116722</v>
      </c>
      <c r="V61" s="4">
        <f>'Baseline System Analysis'!V17</f>
        <v>7.0080552745394638</v>
      </c>
      <c r="W61" s="4">
        <f>'Baseline System Analysis'!W17</f>
        <v>7.1832566564029499</v>
      </c>
      <c r="X61" s="4">
        <f>'Baseline System Analysis'!X17</f>
        <v>7.3628380728130232</v>
      </c>
      <c r="Y61" s="4">
        <f>'Baseline System Analysis'!Y17</f>
        <v>7.5469090246333481</v>
      </c>
      <c r="Z61" s="4">
        <f>'Baseline System Analysis'!Z17</f>
        <v>7.7355817502491808</v>
      </c>
      <c r="AA61" s="4">
        <f>'Baseline System Analysis'!AA17</f>
        <v>7.92897129400541</v>
      </c>
      <c r="AB61" s="4">
        <f>'Baseline System Analysis'!AB17</f>
        <v>8.127195576355545</v>
      </c>
      <c r="AC61" s="4">
        <f>'Baseline System Analysis'!AC17</f>
        <v>8.3303754657644333</v>
      </c>
      <c r="AD61" s="4">
        <f>'Baseline System Analysis'!AD17</f>
        <v>8.5386348524085438</v>
      </c>
    </row>
    <row r="62" spans="1:30" x14ac:dyDescent="0.35">
      <c r="A62" s="72" t="str">
        <f>'Baseline System Analysis'!A18</f>
        <v>Residential</v>
      </c>
      <c r="B62" s="72" t="str">
        <f>'Baseline System Analysis'!B18</f>
        <v>Cost of Reliability (N-0)</v>
      </c>
      <c r="C62" s="72" t="str">
        <f>'Baseline System Analysis'!C18</f>
        <v>$/kWh</v>
      </c>
      <c r="D62" s="4">
        <f>'Baseline System Analysis'!D18</f>
        <v>3.7920011132812497</v>
      </c>
      <c r="E62" s="4">
        <f>'Baseline System Analysis'!E18</f>
        <v>3.8868011411132808</v>
      </c>
      <c r="F62" s="4">
        <f>'Baseline System Analysis'!F18</f>
        <v>3.9839711696411126</v>
      </c>
      <c r="G62" s="4">
        <f>'Baseline System Analysis'!G18</f>
        <v>4.0835704488821403</v>
      </c>
      <c r="H62" s="4">
        <f>'Baseline System Analysis'!H18</f>
        <v>4.1856597101041935</v>
      </c>
      <c r="I62" s="4">
        <f>'Baseline System Analysis'!I18</f>
        <v>4.2903012028567975</v>
      </c>
      <c r="J62" s="4">
        <f>'Baseline System Analysis'!J18</f>
        <v>4.3975587329282169</v>
      </c>
      <c r="K62" s="4">
        <f>'Baseline System Analysis'!K18</f>
        <v>4.5074977012514221</v>
      </c>
      <c r="L62" s="4">
        <f>'Baseline System Analysis'!L18</f>
        <v>4.6201851437827068</v>
      </c>
      <c r="M62" s="4">
        <f>'Baseline System Analysis'!M18</f>
        <v>4.735689772377274</v>
      </c>
      <c r="N62" s="4">
        <f>'Baseline System Analysis'!N18</f>
        <v>4.8540820166867054</v>
      </c>
      <c r="O62" s="4">
        <f>'Baseline System Analysis'!O18</f>
        <v>4.9754340671038726</v>
      </c>
      <c r="P62" s="4">
        <f>'Baseline System Analysis'!P18</f>
        <v>5.0998199187814688</v>
      </c>
      <c r="Q62" s="4">
        <f>'Baseline System Analysis'!Q18</f>
        <v>5.2273154167510052</v>
      </c>
      <c r="R62" s="4">
        <f>'Baseline System Analysis'!R18</f>
        <v>5.3579983021697801</v>
      </c>
      <c r="S62" s="4">
        <f>'Baseline System Analysis'!S18</f>
        <v>5.4919482597240243</v>
      </c>
      <c r="T62" s="4">
        <f>'Baseline System Analysis'!T18</f>
        <v>5.6292469662171243</v>
      </c>
      <c r="U62" s="4">
        <f>'Baseline System Analysis'!U18</f>
        <v>5.7699781403725519</v>
      </c>
      <c r="V62" s="4">
        <f>'Baseline System Analysis'!V18</f>
        <v>5.9142275938818649</v>
      </c>
      <c r="W62" s="4">
        <f>'Baseline System Analysis'!W18</f>
        <v>6.0620832837289109</v>
      </c>
      <c r="X62" s="4">
        <f>'Baseline System Analysis'!X18</f>
        <v>6.2136353658221335</v>
      </c>
      <c r="Y62" s="4">
        <f>'Baseline System Analysis'!Y18</f>
        <v>6.3689762499676865</v>
      </c>
      <c r="Z62" s="4">
        <f>'Baseline System Analysis'!Z18</f>
        <v>6.5282006562168782</v>
      </c>
      <c r="AA62" s="4">
        <f>'Baseline System Analysis'!AA18</f>
        <v>6.6914056726222997</v>
      </c>
      <c r="AB62" s="4">
        <f>'Baseline System Analysis'!AB18</f>
        <v>6.8586908144378569</v>
      </c>
      <c r="AC62" s="4">
        <f>'Baseline System Analysis'!AC18</f>
        <v>7.0301580847988028</v>
      </c>
      <c r="AD62" s="4">
        <f>'Baseline System Analysis'!AD18</f>
        <v>7.2059120369187726</v>
      </c>
    </row>
    <row r="63" spans="1:30" x14ac:dyDescent="0.35">
      <c r="A63" s="72" t="str">
        <f>'Baseline System Analysis'!A19</f>
        <v>Commerical</v>
      </c>
      <c r="B63" s="72" t="str">
        <f>'Baseline System Analysis'!B19</f>
        <v>Cost of Reliability (N-1)</v>
      </c>
      <c r="C63" s="72" t="str">
        <f>'Baseline System Analysis'!C19</f>
        <v>$/kWh</v>
      </c>
      <c r="D63" s="4">
        <f>'Baseline System Analysis'!D19</f>
        <v>166.59767191406246</v>
      </c>
      <c r="E63" s="4">
        <f>'Baseline System Analysis'!E19</f>
        <v>170.76261371191401</v>
      </c>
      <c r="F63" s="4">
        <f>'Baseline System Analysis'!F19</f>
        <v>175.03167905471184</v>
      </c>
      <c r="G63" s="4">
        <f>'Baseline System Analysis'!G19</f>
        <v>179.40747103107964</v>
      </c>
      <c r="H63" s="4">
        <f>'Baseline System Analysis'!H19</f>
        <v>183.89265780685662</v>
      </c>
      <c r="I63" s="4">
        <f>'Baseline System Analysis'!I19</f>
        <v>188.48997425202802</v>
      </c>
      <c r="J63" s="4">
        <f>'Baseline System Analysis'!J19</f>
        <v>193.20222360832869</v>
      </c>
      <c r="K63" s="4">
        <f>'Baseline System Analysis'!K19</f>
        <v>198.03227919853688</v>
      </c>
      <c r="L63" s="4">
        <f>'Baseline System Analysis'!L19</f>
        <v>202.98308617850029</v>
      </c>
      <c r="M63" s="4">
        <f>'Baseline System Analysis'!M19</f>
        <v>208.05766333296279</v>
      </c>
      <c r="N63" s="4">
        <f>'Baseline System Analysis'!N19</f>
        <v>213.25910491628684</v>
      </c>
      <c r="O63" s="4">
        <f>'Baseline System Analysis'!O19</f>
        <v>218.590582539194</v>
      </c>
      <c r="P63" s="4">
        <f>'Baseline System Analysis'!P19</f>
        <v>224.05534710267384</v>
      </c>
      <c r="Q63" s="4">
        <f>'Baseline System Analysis'!Q19</f>
        <v>229.65673078024065</v>
      </c>
      <c r="R63" s="4">
        <f>'Baseline System Analysis'!R19</f>
        <v>235.39814904974665</v>
      </c>
      <c r="S63" s="4">
        <f>'Baseline System Analysis'!S19</f>
        <v>241.2831027759903</v>
      </c>
      <c r="T63" s="4">
        <f>'Baseline System Analysis'!T19</f>
        <v>247.31518034539005</v>
      </c>
      <c r="U63" s="4">
        <f>'Baseline System Analysis'!U19</f>
        <v>253.49805985402477</v>
      </c>
      <c r="V63" s="4">
        <f>'Baseline System Analysis'!V19</f>
        <v>259.83551135037538</v>
      </c>
      <c r="W63" s="4">
        <f>'Baseline System Analysis'!W19</f>
        <v>266.33139913413476</v>
      </c>
      <c r="X63" s="4">
        <f>'Baseline System Analysis'!X19</f>
        <v>272.98968411248808</v>
      </c>
      <c r="Y63" s="4">
        <f>'Baseline System Analysis'!Y19</f>
        <v>279.81442621530027</v>
      </c>
      <c r="Z63" s="4">
        <f>'Baseline System Analysis'!Z19</f>
        <v>286.80978687068273</v>
      </c>
      <c r="AA63" s="4">
        <f>'Baseline System Analysis'!AA19</f>
        <v>293.98003154244975</v>
      </c>
      <c r="AB63" s="4">
        <f>'Baseline System Analysis'!AB19</f>
        <v>301.32953233101097</v>
      </c>
      <c r="AC63" s="4">
        <f>'Baseline System Analysis'!AC19</f>
        <v>308.86277063928623</v>
      </c>
      <c r="AD63" s="4">
        <f>'Baseline System Analysis'!AD19</f>
        <v>316.58433990526834</v>
      </c>
    </row>
    <row r="64" spans="1:30" x14ac:dyDescent="0.35">
      <c r="A64" s="72" t="str">
        <f>'Baseline System Analysis'!A20</f>
        <v>Commerical</v>
      </c>
      <c r="B64" s="72" t="str">
        <f>'Baseline System Analysis'!B20</f>
        <v>Cost of Reliability (N-0)</v>
      </c>
      <c r="C64" s="72" t="str">
        <f>'Baseline System Analysis'!C20</f>
        <v>$/kWh</v>
      </c>
      <c r="D64" s="4">
        <f>'Baseline System Analysis'!D20</f>
        <v>153.83719106445315</v>
      </c>
      <c r="E64" s="4">
        <f>'Baseline System Analysis'!E20</f>
        <v>157.68312084106446</v>
      </c>
      <c r="F64" s="4">
        <f>'Baseline System Analysis'!F20</f>
        <v>161.62519886209105</v>
      </c>
      <c r="G64" s="4">
        <f>'Baseline System Analysis'!G20</f>
        <v>165.6658288336433</v>
      </c>
      <c r="H64" s="4">
        <f>'Baseline System Analysis'!H20</f>
        <v>169.80747455448437</v>
      </c>
      <c r="I64" s="4">
        <f>'Baseline System Analysis'!I20</f>
        <v>174.05266141834647</v>
      </c>
      <c r="J64" s="4">
        <f>'Baseline System Analysis'!J20</f>
        <v>178.40397795380511</v>
      </c>
      <c r="K64" s="4">
        <f>'Baseline System Analysis'!K20</f>
        <v>182.86407740265022</v>
      </c>
      <c r="L64" s="4">
        <f>'Baseline System Analysis'!L20</f>
        <v>187.43567933771646</v>
      </c>
      <c r="M64" s="4">
        <f>'Baseline System Analysis'!M20</f>
        <v>192.12157132115937</v>
      </c>
      <c r="N64" s="4">
        <f>'Baseline System Analysis'!N20</f>
        <v>196.92461060418833</v>
      </c>
      <c r="O64" s="4">
        <f>'Baseline System Analysis'!O20</f>
        <v>201.84772586929301</v>
      </c>
      <c r="P64" s="4">
        <f>'Baseline System Analysis'!P20</f>
        <v>206.89391901602534</v>
      </c>
      <c r="Q64" s="4">
        <f>'Baseline System Analysis'!Q20</f>
        <v>212.06626699142595</v>
      </c>
      <c r="R64" s="4">
        <f>'Baseline System Analysis'!R20</f>
        <v>217.36792366621157</v>
      </c>
      <c r="S64" s="4">
        <f>'Baseline System Analysis'!S20</f>
        <v>222.80212175786684</v>
      </c>
      <c r="T64" s="4">
        <f>'Baseline System Analysis'!T20</f>
        <v>228.37217480181349</v>
      </c>
      <c r="U64" s="4">
        <f>'Baseline System Analysis'!U20</f>
        <v>234.0814791718588</v>
      </c>
      <c r="V64" s="4">
        <f>'Baseline System Analysis'!V20</f>
        <v>239.93351615115526</v>
      </c>
      <c r="W64" s="4">
        <f>'Baseline System Analysis'!W20</f>
        <v>245.93185405493412</v>
      </c>
      <c r="X64" s="4">
        <f>'Baseline System Analysis'!X20</f>
        <v>252.08015040630744</v>
      </c>
      <c r="Y64" s="4">
        <f>'Baseline System Analysis'!Y20</f>
        <v>258.38215416646511</v>
      </c>
      <c r="Z64" s="4">
        <f>'Baseline System Analysis'!Z20</f>
        <v>264.8417080206267</v>
      </c>
      <c r="AA64" s="4">
        <f>'Baseline System Analysis'!AA20</f>
        <v>271.46275072114236</v>
      </c>
      <c r="AB64" s="4">
        <f>'Baseline System Analysis'!AB20</f>
        <v>278.24931948917089</v>
      </c>
      <c r="AC64" s="4">
        <f>'Baseline System Analysis'!AC20</f>
        <v>285.20555247640016</v>
      </c>
      <c r="AD64" s="4">
        <f>'Baseline System Analysis'!AD20</f>
        <v>292.33569128831016</v>
      </c>
    </row>
    <row r="66" spans="1:30" x14ac:dyDescent="0.35">
      <c r="A66" s="72" t="s">
        <v>117</v>
      </c>
      <c r="B66" s="72" t="s">
        <v>31</v>
      </c>
      <c r="C66" s="18">
        <f>NPV('Cost Assumptions'!$B$3,D66:AD66)</f>
        <v>34143.207027077427</v>
      </c>
      <c r="D66" s="4">
        <f>'Baseline System Analysis'!D24-D35</f>
        <v>85.467055666139231</v>
      </c>
      <c r="E66" s="4">
        <f>'Baseline System Analysis'!E24-E35</f>
        <v>-38.570120586914072</v>
      </c>
      <c r="F66" s="4">
        <f>'Baseline System Analysis'!F24-F35</f>
        <v>-162.6072968399676</v>
      </c>
      <c r="G66" s="4">
        <f>'Baseline System Analysis'!G24-G35</f>
        <v>-286.64447309302159</v>
      </c>
      <c r="H66" s="4">
        <f>'Baseline System Analysis'!H24-H35</f>
        <v>-410.68164934607557</v>
      </c>
      <c r="I66" s="4">
        <f>'Baseline System Analysis'!I24-I35</f>
        <v>-534.71882559912774</v>
      </c>
      <c r="J66" s="4">
        <f>'Baseline System Analysis'!J24-J35</f>
        <v>-658.75600185218173</v>
      </c>
      <c r="K66" s="4">
        <f>'Baseline System Analysis'!K24-K35</f>
        <v>-1572.2209183654504</v>
      </c>
      <c r="L66" s="4">
        <f>'Baseline System Analysis'!L24-L35</f>
        <v>-1299.1265165287841</v>
      </c>
      <c r="M66" s="4">
        <f>'Baseline System Analysis'!M24-M35</f>
        <v>-1202.7397104637585</v>
      </c>
      <c r="N66" s="4">
        <f>'Baseline System Analysis'!N24-N35</f>
        <v>-1056.4556606256465</v>
      </c>
      <c r="O66" s="4">
        <f>'Baseline System Analysis'!O24-O35</f>
        <v>1671.6038953372336</v>
      </c>
      <c r="P66" s="4">
        <f>'Baseline System Analysis'!P24-P35</f>
        <v>993.47922227187519</v>
      </c>
      <c r="Q66" s="4">
        <f>'Baseline System Analysis'!Q24-Q35</f>
        <v>315.35454920651682</v>
      </c>
      <c r="R66" s="4">
        <f>'Baseline System Analysis'!R24-R35</f>
        <v>-362.77012385884154</v>
      </c>
      <c r="S66" s="4">
        <f>'Baseline System Analysis'!S24-S35</f>
        <v>-1040.8947969242072</v>
      </c>
      <c r="T66" s="4">
        <f>'Baseline System Analysis'!T24-T35</f>
        <v>-1719.0194699895728</v>
      </c>
      <c r="U66" s="4">
        <f>'Baseline System Analysis'!U24-U35</f>
        <v>4040.5971902026795</v>
      </c>
      <c r="V66" s="4">
        <f>'Baseline System Analysis'!V24-V35</f>
        <v>9800.21385039491</v>
      </c>
      <c r="W66" s="4">
        <f>'Baseline System Analysis'!W24-W35</f>
        <v>15559.83051058714</v>
      </c>
      <c r="X66" s="4">
        <f>'Baseline System Analysis'!X24-X35</f>
        <v>21319.447170779371</v>
      </c>
      <c r="Y66" s="4">
        <f>'Baseline System Analysis'!Y24-Y35</f>
        <v>27079.063830971601</v>
      </c>
      <c r="Z66" s="4">
        <f>'Baseline System Analysis'!Z24-Z35</f>
        <v>37562.495116897771</v>
      </c>
      <c r="AA66" s="4">
        <f>'Baseline System Analysis'!AA24-AA35</f>
        <v>48045.926402823883</v>
      </c>
      <c r="AB66" s="4">
        <f>'Baseline System Analysis'!AB24-AB35</f>
        <v>58529.357688750024</v>
      </c>
      <c r="AC66" s="4">
        <f>'Baseline System Analysis'!AC24-AC35</f>
        <v>69012.788974676165</v>
      </c>
      <c r="AD66" s="4">
        <f>'Baseline System Analysis'!AD24-AD35</f>
        <v>79496.220260602364</v>
      </c>
    </row>
    <row r="67" spans="1:30" x14ac:dyDescent="0.35">
      <c r="A67" s="72" t="s">
        <v>119</v>
      </c>
      <c r="B67" s="72" t="s">
        <v>31</v>
      </c>
      <c r="C67" s="18">
        <f>NPV('Cost Assumptions'!$B$3,D67:AD67)</f>
        <v>141676.75371356108</v>
      </c>
      <c r="D67" s="4">
        <f>'Baseline System Analysis'!D25-D36</f>
        <v>354.64433632821692</v>
      </c>
      <c r="E67" s="4">
        <f>'Baseline System Analysis'!E25-E36</f>
        <v>-160.04616879606328</v>
      </c>
      <c r="F67" s="4">
        <f>'Baseline System Analysis'!F25-F36</f>
        <v>-674.73667392034622</v>
      </c>
      <c r="G67" s="4">
        <f>'Baseline System Analysis'!G25-G36</f>
        <v>-1189.4271790446255</v>
      </c>
      <c r="H67" s="4">
        <f>'Baseline System Analysis'!H25-H36</f>
        <v>-1704.1176841689012</v>
      </c>
      <c r="I67" s="4">
        <f>'Baseline System Analysis'!I25-I36</f>
        <v>-2218.8081892931805</v>
      </c>
      <c r="J67" s="4">
        <f>'Baseline System Analysis'!J25-J36</f>
        <v>-2733.498694417467</v>
      </c>
      <c r="K67" s="4">
        <f>'Baseline System Analysis'!K25-K36</f>
        <v>-6523.9084207268679</v>
      </c>
      <c r="L67" s="4">
        <f>'Baseline System Analysis'!L25-L36</f>
        <v>-5390.7070703416684</v>
      </c>
      <c r="M67" s="4">
        <f>'Baseline System Analysis'!M25-M36</f>
        <v>-4990.7513844776477</v>
      </c>
      <c r="N67" s="4">
        <f>'Baseline System Analysis'!N25-N36</f>
        <v>-4383.7477926738648</v>
      </c>
      <c r="O67" s="4">
        <f>'Baseline System Analysis'!O25-O36</f>
        <v>6936.2966753095388</v>
      </c>
      <c r="P67" s="4">
        <f>'Baseline System Analysis'!P25-P36</f>
        <v>4122.4279541674769</v>
      </c>
      <c r="Q67" s="4">
        <f>'Baseline System Analysis'!Q25-Q36</f>
        <v>1308.5592330254149</v>
      </c>
      <c r="R67" s="4">
        <f>'Baseline System Analysis'!R25-R36</f>
        <v>-1505.3094881166471</v>
      </c>
      <c r="S67" s="4">
        <f>'Baseline System Analysis'!S25-S36</f>
        <v>-4319.1782092587091</v>
      </c>
      <c r="T67" s="4">
        <f>'Baseline System Analysis'!T25-T36</f>
        <v>-7133.0469304008002</v>
      </c>
      <c r="U67" s="4">
        <f>'Baseline System Analysis'!U25-U36</f>
        <v>16766.400781217089</v>
      </c>
      <c r="V67" s="4">
        <f>'Baseline System Analysis'!V25-V36</f>
        <v>40665.84849283495</v>
      </c>
      <c r="W67" s="4">
        <f>'Baseline System Analysis'!W25-W36</f>
        <v>64565.29620445281</v>
      </c>
      <c r="X67" s="4">
        <f>'Baseline System Analysis'!X25-X36</f>
        <v>88464.743916070671</v>
      </c>
      <c r="Y67" s="4">
        <f>'Baseline System Analysis'!Y25-Y36</f>
        <v>112364.19162768847</v>
      </c>
      <c r="Z67" s="4">
        <f>'Baseline System Analysis'!Z25-Z36</f>
        <v>155865.04118734784</v>
      </c>
      <c r="AA67" s="4">
        <f>'Baseline System Analysis'!AA25-AA36</f>
        <v>199365.89074700733</v>
      </c>
      <c r="AB67" s="4">
        <f>'Baseline System Analysis'!AB25-AB36</f>
        <v>242866.74030666659</v>
      </c>
      <c r="AC67" s="4">
        <f>'Baseline System Analysis'!AC25-AC36</f>
        <v>286367.58986632596</v>
      </c>
      <c r="AD67" s="4">
        <f>'Baseline System Analysis'!AD25-AD36</f>
        <v>329868.43942598533</v>
      </c>
    </row>
    <row r="68" spans="1:30" x14ac:dyDescent="0.35">
      <c r="A68" s="72" t="s">
        <v>24</v>
      </c>
      <c r="B68" s="72" t="s">
        <v>31</v>
      </c>
      <c r="C68" s="18">
        <f>NPV('Cost Assumptions'!$B$3,D68:AD68)</f>
        <v>175819.96074063852</v>
      </c>
      <c r="D68" s="4">
        <f>SUM(D66:D67)</f>
        <v>440.11139199435615</v>
      </c>
      <c r="E68" s="4">
        <f t="shared" ref="E68:AD68" si="15">SUM(E66:E67)</f>
        <v>-198.61628938297736</v>
      </c>
      <c r="F68" s="4">
        <f t="shared" si="15"/>
        <v>-837.34397076031382</v>
      </c>
      <c r="G68" s="4">
        <f t="shared" si="15"/>
        <v>-1476.0716521376471</v>
      </c>
      <c r="H68" s="4">
        <f t="shared" si="15"/>
        <v>-2114.7993335149768</v>
      </c>
      <c r="I68" s="4">
        <f t="shared" si="15"/>
        <v>-2753.5270148923082</v>
      </c>
      <c r="J68" s="4">
        <f t="shared" si="15"/>
        <v>-3392.2546962696488</v>
      </c>
      <c r="K68" s="4">
        <f t="shared" si="15"/>
        <v>-8096.1293390923183</v>
      </c>
      <c r="L68" s="4">
        <f t="shared" si="15"/>
        <v>-6689.8335868704526</v>
      </c>
      <c r="M68" s="4">
        <f t="shared" si="15"/>
        <v>-6193.4910949414061</v>
      </c>
      <c r="N68" s="4">
        <f t="shared" si="15"/>
        <v>-5440.2034532995112</v>
      </c>
      <c r="O68" s="4">
        <f t="shared" si="15"/>
        <v>8607.9005706467724</v>
      </c>
      <c r="P68" s="4">
        <f t="shared" si="15"/>
        <v>5115.907176439352</v>
      </c>
      <c r="Q68" s="4">
        <f t="shared" si="15"/>
        <v>1623.9137822319317</v>
      </c>
      <c r="R68" s="4">
        <f t="shared" si="15"/>
        <v>-1868.0796119754887</v>
      </c>
      <c r="S68" s="4">
        <f t="shared" si="15"/>
        <v>-5360.0730061829163</v>
      </c>
      <c r="T68" s="4">
        <f t="shared" si="15"/>
        <v>-8852.066400390373</v>
      </c>
      <c r="U68" s="4">
        <f t="shared" si="15"/>
        <v>20806.997971419769</v>
      </c>
      <c r="V68" s="4">
        <f t="shared" si="15"/>
        <v>50466.06234322986</v>
      </c>
      <c r="W68" s="4">
        <f t="shared" si="15"/>
        <v>80125.126715039951</v>
      </c>
      <c r="X68" s="4">
        <f t="shared" si="15"/>
        <v>109784.19108685004</v>
      </c>
      <c r="Y68" s="4">
        <f t="shared" si="15"/>
        <v>139443.25545866007</v>
      </c>
      <c r="Z68" s="4">
        <f t="shared" si="15"/>
        <v>193427.53630424562</v>
      </c>
      <c r="AA68" s="4">
        <f t="shared" si="15"/>
        <v>247411.81714983121</v>
      </c>
      <c r="AB68" s="4">
        <f t="shared" si="15"/>
        <v>301396.09799541661</v>
      </c>
      <c r="AC68" s="4">
        <f t="shared" si="15"/>
        <v>355380.37884100212</v>
      </c>
      <c r="AD68" s="4">
        <f t="shared" si="15"/>
        <v>409364.65968658769</v>
      </c>
    </row>
    <row r="69" spans="1:30" x14ac:dyDescent="0.35">
      <c r="A69" s="72"/>
      <c r="B69" s="72"/>
      <c r="C69" s="72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</row>
    <row r="70" spans="1:30" x14ac:dyDescent="0.35">
      <c r="A70" s="72" t="s">
        <v>120</v>
      </c>
      <c r="B70" s="72" t="s">
        <v>31</v>
      </c>
      <c r="C70" s="18">
        <f>NPV('Cost Assumptions'!$B$3,D70:AD70)</f>
        <v>22277652.244320095</v>
      </c>
      <c r="D70" s="4">
        <f>'Baseline System Analysis'!D28-D33</f>
        <v>160311.2620318876</v>
      </c>
      <c r="E70" s="4">
        <f>'Baseline System Analysis'!E28-E33</f>
        <v>426681.41358302307</v>
      </c>
      <c r="F70" s="4">
        <f>'Baseline System Analysis'!F28-F33</f>
        <v>622797.58403751405</v>
      </c>
      <c r="G70" s="4">
        <f>'Baseline System Analysis'!G28-G33</f>
        <v>833710.68965832237</v>
      </c>
      <c r="H70" s="4">
        <f>'Baseline System Analysis'!H28-H33</f>
        <v>1064544.9637495263</v>
      </c>
      <c r="I70" s="4">
        <f>'Baseline System Analysis'!I28-I33</f>
        <v>1155248.1483230039</v>
      </c>
      <c r="J70" s="4">
        <f>'Baseline System Analysis'!J28-J33</f>
        <v>1567795.6535710837</v>
      </c>
      <c r="K70" s="4">
        <f>'Baseline System Analysis'!K28-K33</f>
        <v>1347745.4554885479</v>
      </c>
      <c r="L70" s="4">
        <f>'Baseline System Analysis'!L28-L33</f>
        <v>1143199.8672408643</v>
      </c>
      <c r="M70" s="4">
        <f>'Baseline System Analysis'!M28-M33</f>
        <v>1340230.0479167867</v>
      </c>
      <c r="N70" s="4">
        <f>'Baseline System Analysis'!N28-N33</f>
        <v>1211871.2277846751</v>
      </c>
      <c r="O70" s="4">
        <f>'Baseline System Analysis'!O28-O33</f>
        <v>1844840.0090543826</v>
      </c>
      <c r="P70" s="4">
        <f>'Baseline System Analysis'!P28-P33</f>
        <v>2356895.0256503327</v>
      </c>
      <c r="Q70" s="4">
        <f>'Baseline System Analysis'!Q28-Q33</f>
        <v>2752240.7792296447</v>
      </c>
      <c r="R70" s="4">
        <f>'Baseline System Analysis'!R28-R33</f>
        <v>3112959.3920374792</v>
      </c>
      <c r="S70" s="4">
        <f>'Baseline System Analysis'!S28-S33</f>
        <v>3866030.048087935</v>
      </c>
      <c r="T70" s="4">
        <f>'Baseline System Analysis'!T28-T33</f>
        <v>4800043.3764840001</v>
      </c>
      <c r="U70" s="4">
        <f>'Baseline System Analysis'!U28-U33</f>
        <v>5605356.4974824116</v>
      </c>
      <c r="V70" s="4">
        <f>'Baseline System Analysis'!V28-V33</f>
        <v>6860802.8013497852</v>
      </c>
      <c r="W70" s="4">
        <f>'Baseline System Analysis'!W28-W33</f>
        <v>7814963.1205262523</v>
      </c>
      <c r="X70" s="4">
        <f>'Baseline System Analysis'!X28-X33</f>
        <v>9098538.4333289359</v>
      </c>
      <c r="Y70" s="4">
        <f>'Baseline System Analysis'!Y28-Y33</f>
        <v>10359467.232179718</v>
      </c>
      <c r="Z70" s="4">
        <f>'Baseline System Analysis'!Z28-Z33</f>
        <v>11559971.084899511</v>
      </c>
      <c r="AA70" s="4">
        <f>'Baseline System Analysis'!AA28-AA33</f>
        <v>12621132.112799585</v>
      </c>
      <c r="AB70" s="4">
        <f>'Baseline System Analysis'!AB28-AB33</f>
        <v>13802655.638854891</v>
      </c>
      <c r="AC70" s="4">
        <f>'Baseline System Analysis'!AC28-AC33</f>
        <v>14699632.829903409</v>
      </c>
      <c r="AD70" s="4">
        <f>'Baseline System Analysis'!AD28-AD33</f>
        <v>15264592.223335855</v>
      </c>
    </row>
    <row r="71" spans="1:30" x14ac:dyDescent="0.35">
      <c r="A71" s="72" t="s">
        <v>121</v>
      </c>
      <c r="B71" s="72" t="s">
        <v>31</v>
      </c>
      <c r="C71" s="18">
        <f>NPV('Cost Assumptions'!$B$3,D71:AD71)</f>
        <v>102260344.92434242</v>
      </c>
      <c r="D71" s="4">
        <f>'Baseline System Analysis'!D29-D34</f>
        <v>903346.68264248176</v>
      </c>
      <c r="E71" s="4">
        <f>'Baseline System Analysis'!E29-E34</f>
        <v>2253380.2014470203</v>
      </c>
      <c r="F71" s="4">
        <f>'Baseline System Analysis'!F29-F34</f>
        <v>3310518.2522157584</v>
      </c>
      <c r="G71" s="4">
        <f>'Baseline System Analysis'!G29-G34</f>
        <v>4447479.3478986584</v>
      </c>
      <c r="H71" s="4">
        <f>'Baseline System Analysis'!H29-H34</f>
        <v>5587189.795765399</v>
      </c>
      <c r="I71" s="4">
        <f>'Baseline System Analysis'!I29-I34</f>
        <v>5454549.1605001325</v>
      </c>
      <c r="J71" s="4">
        <f>'Baseline System Analysis'!J29-J34</f>
        <v>7543147.8061243081</v>
      </c>
      <c r="K71" s="4">
        <f>'Baseline System Analysis'!K29-K34</f>
        <v>6412592.364404032</v>
      </c>
      <c r="L71" s="4">
        <f>'Baseline System Analysis'!L29-L34</f>
        <v>5385232.8797742622</v>
      </c>
      <c r="M71" s="4">
        <f>'Baseline System Analysis'!M29-M34</f>
        <v>6340117.1212563487</v>
      </c>
      <c r="N71" s="4">
        <f>'Baseline System Analysis'!N29-N34</f>
        <v>6361112.9189538537</v>
      </c>
      <c r="O71" s="4">
        <f>'Baseline System Analysis'!O29-O34</f>
        <v>8895771.1264487375</v>
      </c>
      <c r="P71" s="4">
        <f>'Baseline System Analysis'!P29-P34</f>
        <v>11481103.835917845</v>
      </c>
      <c r="Q71" s="4">
        <f>'Baseline System Analysis'!Q29-Q34</f>
        <v>12843987.910857875</v>
      </c>
      <c r="R71" s="4">
        <f>'Baseline System Analysis'!R29-R34</f>
        <v>13698596.18827603</v>
      </c>
      <c r="S71" s="4">
        <f>'Baseline System Analysis'!S29-S34</f>
        <v>17199347.660875205</v>
      </c>
      <c r="T71" s="4">
        <f>'Baseline System Analysis'!T29-T34</f>
        <v>21372792.810114369</v>
      </c>
      <c r="U71" s="4">
        <f>'Baseline System Analysis'!U29-U34</f>
        <v>24257449.061312743</v>
      </c>
      <c r="V71" s="4">
        <f>'Baseline System Analysis'!V29-V34</f>
        <v>29623484.035008814</v>
      </c>
      <c r="W71" s="4">
        <f>'Baseline System Analysis'!W29-W34</f>
        <v>33670014.911610723</v>
      </c>
      <c r="X71" s="4">
        <f>'Baseline System Analysis'!X29-X34</f>
        <v>38532801.595575318</v>
      </c>
      <c r="Y71" s="4">
        <f>'Baseline System Analysis'!Y29-Y34</f>
        <v>44228764.459273726</v>
      </c>
      <c r="Z71" s="4">
        <f>'Baseline System Analysis'!Z29-Z34</f>
        <v>50286583.672062546</v>
      </c>
      <c r="AA71" s="4">
        <f>'Baseline System Analysis'!AA29-AA34</f>
        <v>55878170.667765625</v>
      </c>
      <c r="AB71" s="4">
        <f>'Baseline System Analysis'!AB29-AB34</f>
        <v>62357409.414620131</v>
      </c>
      <c r="AC71" s="4">
        <f>'Baseline System Analysis'!AC29-AC34</f>
        <v>67170738.814538732</v>
      </c>
      <c r="AD71" s="4">
        <f>'Baseline System Analysis'!AD29-AD34</f>
        <v>70247543.929487929</v>
      </c>
    </row>
    <row r="72" spans="1:30" x14ac:dyDescent="0.35">
      <c r="A72" s="72" t="s">
        <v>24</v>
      </c>
      <c r="B72" s="72" t="s">
        <v>31</v>
      </c>
      <c r="C72" s="18">
        <f>NPV('Cost Assumptions'!$B$3,D72:AD72)</f>
        <v>124537997.16866253</v>
      </c>
      <c r="D72" s="4">
        <f>SUM(D70:D71)</f>
        <v>1063657.9446743694</v>
      </c>
      <c r="E72" s="4">
        <f t="shared" ref="E72:AD72" si="16">SUM(E70:E71)</f>
        <v>2680061.6150300433</v>
      </c>
      <c r="F72" s="4">
        <f t="shared" si="16"/>
        <v>3933315.8362532724</v>
      </c>
      <c r="G72" s="4">
        <f t="shared" si="16"/>
        <v>5281190.0375569807</v>
      </c>
      <c r="H72" s="4">
        <f t="shared" si="16"/>
        <v>6651734.7595149251</v>
      </c>
      <c r="I72" s="4">
        <f t="shared" si="16"/>
        <v>6609797.3088231366</v>
      </c>
      <c r="J72" s="4">
        <f t="shared" si="16"/>
        <v>9110943.4596953914</v>
      </c>
      <c r="K72" s="4">
        <f t="shared" si="16"/>
        <v>7760337.8198925797</v>
      </c>
      <c r="L72" s="4">
        <f t="shared" si="16"/>
        <v>6528432.747015126</v>
      </c>
      <c r="M72" s="4">
        <f t="shared" si="16"/>
        <v>7680347.1691731354</v>
      </c>
      <c r="N72" s="4">
        <f t="shared" si="16"/>
        <v>7572984.1467385292</v>
      </c>
      <c r="O72" s="4">
        <f t="shared" si="16"/>
        <v>10740611.135503121</v>
      </c>
      <c r="P72" s="4">
        <f t="shared" si="16"/>
        <v>13837998.861568179</v>
      </c>
      <c r="Q72" s="4">
        <f t="shared" si="16"/>
        <v>15596228.69008752</v>
      </c>
      <c r="R72" s="4">
        <f t="shared" si="16"/>
        <v>16811555.580313511</v>
      </c>
      <c r="S72" s="4">
        <f t="shared" si="16"/>
        <v>21065377.708963141</v>
      </c>
      <c r="T72" s="4">
        <f t="shared" si="16"/>
        <v>26172836.186598368</v>
      </c>
      <c r="U72" s="4">
        <f t="shared" si="16"/>
        <v>29862805.558795154</v>
      </c>
      <c r="V72" s="4">
        <f t="shared" si="16"/>
        <v>36484286.836358599</v>
      </c>
      <c r="W72" s="4">
        <f t="shared" si="16"/>
        <v>41484978.032136977</v>
      </c>
      <c r="X72" s="4">
        <f t="shared" si="16"/>
        <v>47631340.028904252</v>
      </c>
      <c r="Y72" s="4">
        <f t="shared" si="16"/>
        <v>54588231.691453442</v>
      </c>
      <c r="Z72" s="4">
        <f t="shared" si="16"/>
        <v>61846554.756962061</v>
      </c>
      <c r="AA72" s="4">
        <f t="shared" si="16"/>
        <v>68499302.780565202</v>
      </c>
      <c r="AB72" s="4">
        <f t="shared" si="16"/>
        <v>76160065.053475022</v>
      </c>
      <c r="AC72" s="4">
        <f t="shared" si="16"/>
        <v>81870371.644442141</v>
      </c>
      <c r="AD72" s="4">
        <f t="shared" si="16"/>
        <v>85512136.152823776</v>
      </c>
    </row>
    <row r="74" spans="1:30" x14ac:dyDescent="0.35">
      <c r="A74" s="72" t="s">
        <v>117</v>
      </c>
      <c r="B74" s="72" t="s">
        <v>144</v>
      </c>
      <c r="C74" s="18">
        <f>NPV('Cost Assumptions'!$B$3,D74:AD74)</f>
        <v>207361752.67986608</v>
      </c>
      <c r="D74" s="53">
        <f>ABS((D50*D61*1000*'Cost Assumptions'!$B$6)/'Cost Assumptions'!$B$14)</f>
        <v>6621897.8890077285</v>
      </c>
      <c r="E74" s="53">
        <f>ABS((E50*E61*1000*'Cost Assumptions'!$B$6)/'Cost Assumptions'!$B$14)</f>
        <v>9025240.0833087191</v>
      </c>
      <c r="F74" s="53">
        <f>ABS((F50*F61*1000*'Cost Assumptions'!$B$6)/'Cost Assumptions'!$B$14)</f>
        <v>11544610.701144125</v>
      </c>
      <c r="G74" s="53">
        <f>ABS((G50*G61*1000*'Cost Assumptions'!$B$6)/'Cost Assumptions'!$B$14)</f>
        <v>14184309.074819231</v>
      </c>
      <c r="H74" s="53">
        <f>ABS((H50*H61*1000*'Cost Assumptions'!$B$6)/'Cost Assumptions'!$B$14)</f>
        <v>16948776.985489886</v>
      </c>
      <c r="I74" s="53">
        <f>ABS((I50*I61*1000*'Cost Assumptions'!$B$6)/'Cost Assumptions'!$B$14)</f>
        <v>19842603.098522302</v>
      </c>
      <c r="J74" s="53">
        <f>ABS((J50*J61*1000*'Cost Assumptions'!$B$6)/'Cost Assumptions'!$B$14)</f>
        <v>22870527.531590406</v>
      </c>
      <c r="K74" s="53">
        <f>ABS((K50*K61*1000*'Cost Assumptions'!$B$6)/'Cost Assumptions'!$B$14)</f>
        <v>22841542.609588388</v>
      </c>
      <c r="L74" s="53">
        <f>ABS((L50*L61*1000*'Cost Assumptions'!$B$6)/'Cost Assumptions'!$B$14)</f>
        <v>22796814.361779023</v>
      </c>
      <c r="M74" s="53">
        <f>ABS((M50*M61*1000*'Cost Assumptions'!$B$6)/'Cost Assumptions'!$B$14)</f>
        <v>18201663.851003204</v>
      </c>
      <c r="N74" s="53">
        <f>ABS((N50*N61*1000*'Cost Assumptions'!$B$6)/'Cost Assumptions'!$B$14)</f>
        <v>22078347.206995543</v>
      </c>
      <c r="O74" s="53">
        <f>ABS((O50*O61*1000*'Cost Assumptions'!$B$6)/'Cost Assumptions'!$B$14)</f>
        <v>27489608.933048781</v>
      </c>
      <c r="P74" s="53">
        <f>ABS((P50*P61*1000*'Cost Assumptions'!$B$6)/'Cost Assumptions'!$B$14)</f>
        <v>29252436.534241784</v>
      </c>
      <c r="Q74" s="53">
        <f>ABS((Q50*Q61*1000*'Cost Assumptions'!$B$6)/'Cost Assumptions'!$B$14)</f>
        <v>31086224.509911269</v>
      </c>
      <c r="R74" s="53">
        <f>ABS((R50*R61*1000*'Cost Assumptions'!$B$6)/'Cost Assumptions'!$B$14)</f>
        <v>32993419.11153033</v>
      </c>
      <c r="S74" s="53">
        <f>ABS((S50*S61*1000*'Cost Assumptions'!$B$6)/'Cost Assumptions'!$B$14)</f>
        <v>34976544.552911662</v>
      </c>
      <c r="T74" s="53">
        <f>ABS((T50*T61*1000*'Cost Assumptions'!$B$6)/'Cost Assumptions'!$B$14)</f>
        <v>37038205.379417345</v>
      </c>
      <c r="U74" s="53">
        <f>ABS((U50*U61*1000*'Cost Assumptions'!$B$6)/'Cost Assumptions'!$B$14)</f>
        <v>39181088.90690273</v>
      </c>
      <c r="V74" s="53">
        <f>ABS((V50*V61*1000*'Cost Assumptions'!$B$6)/'Cost Assumptions'!$B$14)</f>
        <v>41407967.732400253</v>
      </c>
      <c r="W74" s="53">
        <f>ABS((W50*W61*1000*'Cost Assumptions'!$B$6)/'Cost Assumptions'!$B$14)</f>
        <v>43721702.318605848</v>
      </c>
      <c r="X74" s="53">
        <f>ABS((X50*X61*1000*'Cost Assumptions'!$B$6)/'Cost Assumptions'!$B$14)</f>
        <v>46125243.654288985</v>
      </c>
      <c r="Y74" s="53">
        <f>ABS((Y50*Y61*1000*'Cost Assumptions'!$B$6)/'Cost Assumptions'!$B$14)</f>
        <v>48621635.992807105</v>
      </c>
      <c r="Z74" s="53">
        <f>ABS((Z50*Z61*1000*'Cost Assumptions'!$B$6)/'Cost Assumptions'!$B$14)</f>
        <v>51214019.670967244</v>
      </c>
      <c r="AA74" s="53">
        <f>ABS((AA50*AA61*1000*'Cost Assumptions'!$B$6)/'Cost Assumptions'!$B$14)</f>
        <v>53905634.010539882</v>
      </c>
      <c r="AB74" s="53">
        <f>ABS((AB50*AB61*1000*'Cost Assumptions'!$B$6)/'Cost Assumptions'!$B$14)</f>
        <v>56699820.304796793</v>
      </c>
      <c r="AC74" s="53">
        <f>ABS((AC50*AC61*1000*'Cost Assumptions'!$B$6)/'Cost Assumptions'!$B$14)</f>
        <v>59600024.892509967</v>
      </c>
      <c r="AD74" s="53">
        <f>ABS((AD50*AD61*1000*'Cost Assumptions'!$B$6)/'Cost Assumptions'!$B$14)</f>
        <v>62609802.321918212</v>
      </c>
    </row>
    <row r="75" spans="1:30" x14ac:dyDescent="0.35">
      <c r="A75" s="72" t="s">
        <v>119</v>
      </c>
      <c r="B75" s="72" t="s">
        <v>144</v>
      </c>
      <c r="C75" s="18">
        <f>NPV('Cost Assumptions'!$B$3,D75:AD75)</f>
        <v>854254218.59947979</v>
      </c>
      <c r="D75" s="53">
        <f>ABS((D50*D63*1000*'Cost Assumptions'!$B$7)/'Cost Assumptions'!$B$14)</f>
        <v>27279785.8511209</v>
      </c>
      <c r="E75" s="53">
        <f>ABS((E50*E63*1000*'Cost Assumptions'!$B$7)/'Cost Assumptions'!$B$14)</f>
        <v>37180672.498184308</v>
      </c>
      <c r="F75" s="53">
        <f>ABS((F50*F63*1000*'Cost Assumptions'!$B$7)/'Cost Assumptions'!$B$14)</f>
        <v>47559553.611443922</v>
      </c>
      <c r="G75" s="53">
        <f>ABS((G50*G63*1000*'Cost Assumptions'!$B$7)/'Cost Assumptions'!$B$14)</f>
        <v>58434140.860055134</v>
      </c>
      <c r="H75" s="53">
        <f>ABS((H50*H63*1000*'Cost Assumptions'!$B$7)/'Cost Assumptions'!$B$14)</f>
        <v>69822732.750089809</v>
      </c>
      <c r="I75" s="53">
        <f>ABS((I50*I63*1000*'Cost Assumptions'!$B$7)/'Cost Assumptions'!$B$14)</f>
        <v>81744232.896588638</v>
      </c>
      <c r="J75" s="53">
        <f>ABS((J50*J63*1000*'Cost Assumptions'!$B$7)/'Cost Assumptions'!$B$14)</f>
        <v>94218168.842443585</v>
      </c>
      <c r="K75" s="53">
        <f>ABS((K50*K63*1000*'Cost Assumptions'!$B$7)/'Cost Assumptions'!$B$14)</f>
        <v>94098761.615334406</v>
      </c>
      <c r="L75" s="53">
        <f>ABS((L50*L63*1000*'Cost Assumptions'!$B$7)/'Cost Assumptions'!$B$14)</f>
        <v>93914497.671343237</v>
      </c>
      <c r="M75" s="53">
        <f>ABS((M50*M63*1000*'Cost Assumptions'!$B$7)/'Cost Assumptions'!$B$14)</f>
        <v>74984166.218223035</v>
      </c>
      <c r="N75" s="53">
        <f>ABS((N50*N63*1000*'Cost Assumptions'!$B$7)/'Cost Assumptions'!$B$14)</f>
        <v>90954677.019911468</v>
      </c>
      <c r="O75" s="53">
        <f>ABS((O50*O63*1000*'Cost Assumptions'!$B$7)/'Cost Assumptions'!$B$14)</f>
        <v>113247086.77092011</v>
      </c>
      <c r="P75" s="53">
        <f>ABS((P50*P63*1000*'Cost Assumptions'!$B$7)/'Cost Assumptions'!$B$14)</f>
        <v>120509288.67421708</v>
      </c>
      <c r="Q75" s="53">
        <f>ABS((Q50*Q63*1000*'Cost Assumptions'!$B$7)/'Cost Assumptions'!$B$14)</f>
        <v>128063821.24344707</v>
      </c>
      <c r="R75" s="53">
        <f>ABS((R50*R63*1000*'Cost Assumptions'!$B$7)/'Cost Assumptions'!$B$14)</f>
        <v>135920762.13571715</v>
      </c>
      <c r="S75" s="53">
        <f>ABS((S50*S63*1000*'Cost Assumptions'!$B$7)/'Cost Assumptions'!$B$14)</f>
        <v>144090510.18432361</v>
      </c>
      <c r="T75" s="53">
        <f>ABS((T50*T63*1000*'Cost Assumptions'!$B$7)/'Cost Assumptions'!$B$14)</f>
        <v>152583795.15902558</v>
      </c>
      <c r="U75" s="53">
        <f>ABS((U50*U63*1000*'Cost Assumptions'!$B$7)/'Cost Assumptions'!$B$14)</f>
        <v>161411687.81359744</v>
      </c>
      <c r="V75" s="53">
        <f>ABS((V50*V63*1000*'Cost Assumptions'!$B$7)/'Cost Assumptions'!$B$14)</f>
        <v>170585610.22892344</v>
      </c>
      <c r="W75" s="53">
        <f>ABS((W50*W63*1000*'Cost Assumptions'!$B$7)/'Cost Assumptions'!$B$14)</f>
        <v>180117346.46013233</v>
      </c>
      <c r="X75" s="53">
        <f>ABS((X50*X63*1000*'Cost Assumptions'!$B$7)/'Cost Assumptions'!$B$14)</f>
        <v>190019053.49650857</v>
      </c>
      <c r="Y75" s="53">
        <f>ABS((Y50*Y63*1000*'Cost Assumptions'!$B$7)/'Cost Assumptions'!$B$14)</f>
        <v>200303272.54316595</v>
      </c>
      <c r="Z75" s="53">
        <f>ABS((Z50*Z63*1000*'Cost Assumptions'!$B$7)/'Cost Assumptions'!$B$14)</f>
        <v>210982940.63372093</v>
      </c>
      <c r="AA75" s="53">
        <f>ABS((AA50*AA63*1000*'Cost Assumptions'!$B$7)/'Cost Assumptions'!$B$14)</f>
        <v>222071402.58346424</v>
      </c>
      <c r="AB75" s="53">
        <f>ABS((AB50*AB63*1000*'Cost Assumptions'!$B$7)/'Cost Assumptions'!$B$14)</f>
        <v>233582423.29279867</v>
      </c>
      <c r="AC75" s="53">
        <f>ABS((AC50*AC63*1000*'Cost Assumptions'!$B$7)/'Cost Assumptions'!$B$14)</f>
        <v>245530200.41098502</v>
      </c>
      <c r="AD75" s="53">
        <f>ABS((AD50*AD63*1000*'Cost Assumptions'!$B$7)/'Cost Assumptions'!$B$14)</f>
        <v>257929377.3705225</v>
      </c>
    </row>
    <row r="76" spans="1:30" x14ac:dyDescent="0.35">
      <c r="A76" s="72" t="s">
        <v>24</v>
      </c>
      <c r="B76" s="72" t="s">
        <v>144</v>
      </c>
      <c r="C76" s="18">
        <f>NPV('Cost Assumptions'!$B$3,D76:AD76)</f>
        <v>1061615971.279346</v>
      </c>
      <c r="D76" s="53">
        <f>SUM(D74:D75)</f>
        <v>33901683.740128629</v>
      </c>
      <c r="E76" s="53">
        <f t="shared" ref="E76:AD76" si="17">SUM(E74:E75)</f>
        <v>46205912.581493028</v>
      </c>
      <c r="F76" s="53">
        <f t="shared" si="17"/>
        <v>59104164.312588051</v>
      </c>
      <c r="G76" s="53">
        <f t="shared" si="17"/>
        <v>72618449.934874371</v>
      </c>
      <c r="H76" s="53">
        <f t="shared" si="17"/>
        <v>86771509.735579699</v>
      </c>
      <c r="I76" s="53">
        <f t="shared" si="17"/>
        <v>101586835.99511094</v>
      </c>
      <c r="J76" s="53">
        <f t="shared" si="17"/>
        <v>117088696.37403399</v>
      </c>
      <c r="K76" s="53">
        <f t="shared" si="17"/>
        <v>116940304.22492279</v>
      </c>
      <c r="L76" s="53">
        <f t="shared" si="17"/>
        <v>116711312.03312226</v>
      </c>
      <c r="M76" s="53">
        <f t="shared" si="17"/>
        <v>93185830.069226235</v>
      </c>
      <c r="N76" s="53">
        <f t="shared" si="17"/>
        <v>113033024.22690701</v>
      </c>
      <c r="O76" s="53">
        <f t="shared" si="17"/>
        <v>140736695.70396888</v>
      </c>
      <c r="P76" s="53">
        <f t="shared" si="17"/>
        <v>149761725.20845887</v>
      </c>
      <c r="Q76" s="53">
        <f t="shared" si="17"/>
        <v>159150045.75335833</v>
      </c>
      <c r="R76" s="53">
        <f t="shared" si="17"/>
        <v>168914181.24724749</v>
      </c>
      <c r="S76" s="53">
        <f t="shared" si="17"/>
        <v>179067054.73723528</v>
      </c>
      <c r="T76" s="53">
        <f t="shared" si="17"/>
        <v>189622000.53844291</v>
      </c>
      <c r="U76" s="53">
        <f t="shared" si="17"/>
        <v>200592776.72050017</v>
      </c>
      <c r="V76" s="53">
        <f t="shared" si="17"/>
        <v>211993577.96132368</v>
      </c>
      <c r="W76" s="53">
        <f t="shared" si="17"/>
        <v>223839048.77873817</v>
      </c>
      <c r="X76" s="53">
        <f t="shared" si="17"/>
        <v>236144297.15079755</v>
      </c>
      <c r="Y76" s="53">
        <f t="shared" si="17"/>
        <v>248924908.53597307</v>
      </c>
      <c r="Z76" s="53">
        <f t="shared" si="17"/>
        <v>262196960.30468819</v>
      </c>
      <c r="AA76" s="53">
        <f t="shared" si="17"/>
        <v>275977036.59400409</v>
      </c>
      <c r="AB76" s="53">
        <f t="shared" si="17"/>
        <v>290282243.59759545</v>
      </c>
      <c r="AC76" s="53">
        <f t="shared" si="17"/>
        <v>305130225.30349499</v>
      </c>
      <c r="AD76" s="53">
        <f t="shared" si="17"/>
        <v>320539179.69244069</v>
      </c>
    </row>
    <row r="77" spans="1:30" x14ac:dyDescent="0.35">
      <c r="A77" s="72"/>
      <c r="B77" s="72"/>
      <c r="C77" s="18"/>
      <c r="D77" s="53"/>
      <c r="E77" s="53"/>
      <c r="F77" s="53"/>
      <c r="G77" s="53"/>
      <c r="H77" s="53"/>
      <c r="I77" s="53"/>
      <c r="J77" s="53"/>
      <c r="K77" s="53"/>
      <c r="L77" s="53"/>
      <c r="M77" s="53"/>
      <c r="N77" s="53"/>
      <c r="O77" s="53"/>
      <c r="P77" s="53"/>
      <c r="Q77" s="53"/>
      <c r="R77" s="53"/>
      <c r="S77" s="53"/>
      <c r="T77" s="53"/>
      <c r="U77" s="53"/>
      <c r="V77" s="53"/>
      <c r="W77" s="53"/>
      <c r="X77" s="53"/>
      <c r="Y77" s="53"/>
      <c r="Z77" s="53"/>
      <c r="AA77" s="53"/>
      <c r="AB77" s="53"/>
      <c r="AC77" s="53"/>
      <c r="AD77" s="53"/>
    </row>
    <row r="78" spans="1:30" x14ac:dyDescent="0.35">
      <c r="A78" s="72" t="s">
        <v>117</v>
      </c>
      <c r="B78" s="72" t="s">
        <v>152</v>
      </c>
      <c r="C78" s="18">
        <f>NPV('Cost Assumptions'!$B$3,D78:AD78)</f>
        <v>0</v>
      </c>
      <c r="D78" s="53">
        <f>ABS(((MIN(ABS(D51),'Baseline System Analysis'!D14)*D62*1000*'Cost Assumptions'!$B$6)*'Cost Assumptions'!$B$13))</f>
        <v>0</v>
      </c>
      <c r="E78" s="53">
        <f>ABS((E51*E61*1000*'Cost Assumptions'!$B$6)*'Cost Assumptions'!$B$13)</f>
        <v>0</v>
      </c>
      <c r="F78" s="53">
        <f>ABS((F51*F61*1000*'Cost Assumptions'!$B$6)*'Cost Assumptions'!$B$13)</f>
        <v>0</v>
      </c>
      <c r="G78" s="53">
        <f>ABS((G51*G61*1000*'Cost Assumptions'!$B$6)*'Cost Assumptions'!$B$13)</f>
        <v>0</v>
      </c>
      <c r="H78" s="53">
        <f>ABS((H51*H61*1000*'Cost Assumptions'!$B$6)*'Cost Assumptions'!$B$13)</f>
        <v>0</v>
      </c>
      <c r="I78" s="53">
        <f>ABS((I51*I61*1000*'Cost Assumptions'!$B$6)*'Cost Assumptions'!$B$13)</f>
        <v>0</v>
      </c>
      <c r="J78" s="53">
        <f>ABS((J51*J61*1000*'Cost Assumptions'!$B$6)*'Cost Assumptions'!$B$13)</f>
        <v>0</v>
      </c>
      <c r="K78" s="53">
        <f>ABS((K51*K61*1000*'Cost Assumptions'!$B$6)*'Cost Assumptions'!$B$13)</f>
        <v>0</v>
      </c>
      <c r="L78" s="53">
        <f>ABS((L51*L61*1000*'Cost Assumptions'!$B$6)*'Cost Assumptions'!$B$13)</f>
        <v>0</v>
      </c>
      <c r="M78" s="53">
        <f>ABS((M51*M61*1000*'Cost Assumptions'!$B$6)*'Cost Assumptions'!$B$13)</f>
        <v>0</v>
      </c>
      <c r="N78" s="53">
        <f>ABS((N51*N61*1000*'Cost Assumptions'!$B$6)*'Cost Assumptions'!$B$13)</f>
        <v>0</v>
      </c>
      <c r="O78" s="53">
        <f>ABS((O51*O61*1000*'Cost Assumptions'!$B$6)*'Cost Assumptions'!$B$13)</f>
        <v>0</v>
      </c>
      <c r="P78" s="53">
        <f>ABS((P51*P61*1000*'Cost Assumptions'!$B$6)*'Cost Assumptions'!$B$13)</f>
        <v>0</v>
      </c>
      <c r="Q78" s="53">
        <f>ABS((Q51*Q61*1000*'Cost Assumptions'!$B$6)*'Cost Assumptions'!$B$13)</f>
        <v>0</v>
      </c>
      <c r="R78" s="53">
        <f>ABS((R51*R61*1000*'Cost Assumptions'!$B$6)*'Cost Assumptions'!$B$13)</f>
        <v>0</v>
      </c>
      <c r="S78" s="53">
        <f>ABS((S51*S61*1000*'Cost Assumptions'!$B$6)*'Cost Assumptions'!$B$13)</f>
        <v>0</v>
      </c>
      <c r="T78" s="53">
        <f>ABS((T51*T61*1000*'Cost Assumptions'!$B$6)*'Cost Assumptions'!$B$13)</f>
        <v>0</v>
      </c>
      <c r="U78" s="53">
        <f>ABS((U51*U61*1000*'Cost Assumptions'!$B$6)*'Cost Assumptions'!$B$13)</f>
        <v>0</v>
      </c>
      <c r="V78" s="53">
        <f>ABS((V51*V61*1000*'Cost Assumptions'!$B$6)*'Cost Assumptions'!$B$13)</f>
        <v>0</v>
      </c>
      <c r="W78" s="53">
        <f>ABS((W51*W61*1000*'Cost Assumptions'!$B$6)*'Cost Assumptions'!$B$13)</f>
        <v>0</v>
      </c>
      <c r="X78" s="53">
        <f>ABS((X51*X61*1000*'Cost Assumptions'!$B$6)*'Cost Assumptions'!$B$13)</f>
        <v>0</v>
      </c>
      <c r="Y78" s="53">
        <f>ABS((Y51*Y61*1000*'Cost Assumptions'!$B$6)*'Cost Assumptions'!$B$13)</f>
        <v>0</v>
      </c>
      <c r="Z78" s="53">
        <f>ABS((Z51*Z61*1000*'Cost Assumptions'!$B$6)*'Cost Assumptions'!$B$13)</f>
        <v>0</v>
      </c>
      <c r="AA78" s="53">
        <f>ABS((AA51*AA61*1000*'Cost Assumptions'!$B$6)*'Cost Assumptions'!$B$13)</f>
        <v>0</v>
      </c>
      <c r="AB78" s="53">
        <f>ABS((AB51*AB61*1000*'Cost Assumptions'!$B$6)*'Cost Assumptions'!$B$13)</f>
        <v>0</v>
      </c>
      <c r="AC78" s="53">
        <f>ABS((AC51*AC61*1000*'Cost Assumptions'!$B$6)*'Cost Assumptions'!$B$13)</f>
        <v>0</v>
      </c>
      <c r="AD78" s="53">
        <f>ABS((AD51*AD61*1000*'Cost Assumptions'!$B$6)*'Cost Assumptions'!$B$13)</f>
        <v>0</v>
      </c>
    </row>
    <row r="79" spans="1:30" x14ac:dyDescent="0.35">
      <c r="A79" s="72" t="s">
        <v>119</v>
      </c>
      <c r="B79" s="72" t="s">
        <v>152</v>
      </c>
      <c r="C79" s="18">
        <f>NPV('Cost Assumptions'!$B$3,D79:AD79)</f>
        <v>0</v>
      </c>
      <c r="D79" s="53">
        <f>ABS(((MIN(ABS(D51),'Baseline System Analysis'!D14)*D64*1000*'Cost Assumptions'!$B$6)*'Cost Assumptions'!$B$13))</f>
        <v>0</v>
      </c>
      <c r="E79" s="53">
        <f>ABS((E51*E63*1000*'Cost Assumptions'!$B$6)*'Cost Assumptions'!$B$13)</f>
        <v>0</v>
      </c>
      <c r="F79" s="53">
        <f>ABS((F51*F63*1000*'Cost Assumptions'!$B$6)*'Cost Assumptions'!$B$13)</f>
        <v>0</v>
      </c>
      <c r="G79" s="53">
        <f>ABS((G51*G63*1000*'Cost Assumptions'!$B$6)*'Cost Assumptions'!$B$13)</f>
        <v>0</v>
      </c>
      <c r="H79" s="53">
        <f>ABS((H51*H63*1000*'Cost Assumptions'!$B$6)*'Cost Assumptions'!$B$13)</f>
        <v>0</v>
      </c>
      <c r="I79" s="53">
        <f>ABS((I51*I63*1000*'Cost Assumptions'!$B$6)*'Cost Assumptions'!$B$13)</f>
        <v>0</v>
      </c>
      <c r="J79" s="53">
        <f>ABS((J51*J63*1000*'Cost Assumptions'!$B$6)*'Cost Assumptions'!$B$13)</f>
        <v>0</v>
      </c>
      <c r="K79" s="53">
        <f>ABS((K51*K63*1000*'Cost Assumptions'!$B$6)*'Cost Assumptions'!$B$13)</f>
        <v>0</v>
      </c>
      <c r="L79" s="53">
        <f>ABS((L51*L63*1000*'Cost Assumptions'!$B$6)*'Cost Assumptions'!$B$13)</f>
        <v>0</v>
      </c>
      <c r="M79" s="53">
        <f>ABS((M51*M63*1000*'Cost Assumptions'!$B$6)*'Cost Assumptions'!$B$13)</f>
        <v>0</v>
      </c>
      <c r="N79" s="53">
        <f>ABS((N51*N63*1000*'Cost Assumptions'!$B$6)*'Cost Assumptions'!$B$13)</f>
        <v>0</v>
      </c>
      <c r="O79" s="53">
        <f>ABS((O51*O63*1000*'Cost Assumptions'!$B$6)*'Cost Assumptions'!$B$13)</f>
        <v>0</v>
      </c>
      <c r="P79" s="53">
        <f>ABS((P51*P63*1000*'Cost Assumptions'!$B$6)*'Cost Assumptions'!$B$13)</f>
        <v>0</v>
      </c>
      <c r="Q79" s="53">
        <f>ABS((Q51*Q63*1000*'Cost Assumptions'!$B$6)*'Cost Assumptions'!$B$13)</f>
        <v>0</v>
      </c>
      <c r="R79" s="53">
        <f>ABS((R51*R63*1000*'Cost Assumptions'!$B$6)*'Cost Assumptions'!$B$13)</f>
        <v>0</v>
      </c>
      <c r="S79" s="53">
        <f>ABS((S51*S63*1000*'Cost Assumptions'!$B$6)*'Cost Assumptions'!$B$13)</f>
        <v>0</v>
      </c>
      <c r="T79" s="53">
        <f>ABS((T51*T63*1000*'Cost Assumptions'!$B$6)*'Cost Assumptions'!$B$13)</f>
        <v>0</v>
      </c>
      <c r="U79" s="53">
        <f>ABS((U51*U63*1000*'Cost Assumptions'!$B$6)*'Cost Assumptions'!$B$13)</f>
        <v>0</v>
      </c>
      <c r="V79" s="53">
        <f>ABS((V51*V63*1000*'Cost Assumptions'!$B$6)*'Cost Assumptions'!$B$13)</f>
        <v>0</v>
      </c>
      <c r="W79" s="53">
        <f>ABS((W51*W63*1000*'Cost Assumptions'!$B$6)*'Cost Assumptions'!$B$13)</f>
        <v>0</v>
      </c>
      <c r="X79" s="53">
        <f>ABS((X51*X63*1000*'Cost Assumptions'!$B$6)*'Cost Assumptions'!$B$13)</f>
        <v>0</v>
      </c>
      <c r="Y79" s="53">
        <f>ABS((Y51*Y63*1000*'Cost Assumptions'!$B$6)*'Cost Assumptions'!$B$13)</f>
        <v>0</v>
      </c>
      <c r="Z79" s="53">
        <f>ABS((Z51*Z63*1000*'Cost Assumptions'!$B$6)*'Cost Assumptions'!$B$13)</f>
        <v>0</v>
      </c>
      <c r="AA79" s="53">
        <f>ABS((AA51*AA63*1000*'Cost Assumptions'!$B$6)*'Cost Assumptions'!$B$13)</f>
        <v>0</v>
      </c>
      <c r="AB79" s="53">
        <f>ABS((AB51*AB63*1000*'Cost Assumptions'!$B$6)*'Cost Assumptions'!$B$13)</f>
        <v>0</v>
      </c>
      <c r="AC79" s="53">
        <f>ABS((AC51*AC63*1000*'Cost Assumptions'!$B$6)*'Cost Assumptions'!$B$13)</f>
        <v>0</v>
      </c>
      <c r="AD79" s="53">
        <f>ABS((AD51*AD63*1000*'Cost Assumptions'!$B$6)*'Cost Assumptions'!$B$13)</f>
        <v>0</v>
      </c>
    </row>
    <row r="80" spans="1:30" ht="29" x14ac:dyDescent="0.35">
      <c r="A80" s="3" t="s">
        <v>146</v>
      </c>
      <c r="B80" s="72" t="s">
        <v>152</v>
      </c>
      <c r="C80" s="18">
        <f>NPV('Cost Assumptions'!$B$3,D80:AD80)</f>
        <v>0</v>
      </c>
      <c r="D80" s="53">
        <f>SUM(D78:D79)</f>
        <v>0</v>
      </c>
      <c r="E80" s="53">
        <f t="shared" ref="E80:AD80" si="18">SUM(E78:E79)</f>
        <v>0</v>
      </c>
      <c r="F80" s="53">
        <f t="shared" si="18"/>
        <v>0</v>
      </c>
      <c r="G80" s="53">
        <f t="shared" si="18"/>
        <v>0</v>
      </c>
      <c r="H80" s="53">
        <f t="shared" si="18"/>
        <v>0</v>
      </c>
      <c r="I80" s="53">
        <f t="shared" si="18"/>
        <v>0</v>
      </c>
      <c r="J80" s="53">
        <f t="shared" si="18"/>
        <v>0</v>
      </c>
      <c r="K80" s="53">
        <f t="shared" si="18"/>
        <v>0</v>
      </c>
      <c r="L80" s="53">
        <f t="shared" si="18"/>
        <v>0</v>
      </c>
      <c r="M80" s="53">
        <f t="shared" si="18"/>
        <v>0</v>
      </c>
      <c r="N80" s="53">
        <f t="shared" si="18"/>
        <v>0</v>
      </c>
      <c r="O80" s="53">
        <f t="shared" si="18"/>
        <v>0</v>
      </c>
      <c r="P80" s="53">
        <f t="shared" si="18"/>
        <v>0</v>
      </c>
      <c r="Q80" s="53">
        <f t="shared" si="18"/>
        <v>0</v>
      </c>
      <c r="R80" s="53">
        <f t="shared" si="18"/>
        <v>0</v>
      </c>
      <c r="S80" s="53">
        <f t="shared" si="18"/>
        <v>0</v>
      </c>
      <c r="T80" s="53">
        <f t="shared" si="18"/>
        <v>0</v>
      </c>
      <c r="U80" s="53">
        <f t="shared" si="18"/>
        <v>0</v>
      </c>
      <c r="V80" s="53">
        <f t="shared" si="18"/>
        <v>0</v>
      </c>
      <c r="W80" s="53">
        <f t="shared" si="18"/>
        <v>0</v>
      </c>
      <c r="X80" s="53">
        <f t="shared" si="18"/>
        <v>0</v>
      </c>
      <c r="Y80" s="53">
        <f t="shared" si="18"/>
        <v>0</v>
      </c>
      <c r="Z80" s="53">
        <f t="shared" si="18"/>
        <v>0</v>
      </c>
      <c r="AA80" s="53">
        <f t="shared" si="18"/>
        <v>0</v>
      </c>
      <c r="AB80" s="53">
        <f t="shared" si="18"/>
        <v>0</v>
      </c>
      <c r="AC80" s="53">
        <f t="shared" si="18"/>
        <v>0</v>
      </c>
      <c r="AD80" s="53">
        <f t="shared" si="18"/>
        <v>0</v>
      </c>
    </row>
    <row r="81" spans="1:30" x14ac:dyDescent="0.35">
      <c r="A81" s="3"/>
      <c r="B81" s="72"/>
      <c r="C81" s="18"/>
      <c r="D81" s="53"/>
      <c r="E81" s="53"/>
      <c r="F81" s="53"/>
      <c r="G81" s="53"/>
      <c r="H81" s="53"/>
      <c r="I81" s="53"/>
      <c r="J81" s="53"/>
      <c r="K81" s="53"/>
      <c r="L81" s="53"/>
      <c r="M81" s="53"/>
      <c r="N81" s="53"/>
      <c r="O81" s="53"/>
      <c r="P81" s="53"/>
      <c r="Q81" s="53"/>
      <c r="R81" s="53"/>
      <c r="S81" s="53"/>
      <c r="T81" s="53"/>
      <c r="U81" s="53"/>
      <c r="V81" s="53"/>
      <c r="W81" s="53"/>
      <c r="X81" s="53"/>
      <c r="Y81" s="53"/>
      <c r="Z81" s="53"/>
      <c r="AA81" s="53"/>
      <c r="AB81" s="53"/>
      <c r="AC81" s="53"/>
      <c r="AD81" s="53"/>
    </row>
    <row r="82" spans="1:30" ht="29" x14ac:dyDescent="0.35">
      <c r="A82" s="3" t="s">
        <v>147</v>
      </c>
      <c r="B82" s="72" t="s">
        <v>148</v>
      </c>
      <c r="C82" s="18">
        <f>NPV('Cost Assumptions'!$B$3,D82:AD82)</f>
        <v>158850774.45155588</v>
      </c>
      <c r="D82" s="53">
        <f>('Baseline System Analysis'!D42-D37)</f>
        <v>11220634.218776356</v>
      </c>
      <c r="E82" s="53">
        <f>('Baseline System Analysis'!E42-E37)</f>
        <v>12144918.158391396</v>
      </c>
      <c r="F82" s="53">
        <f>('Baseline System Analysis'!F42-F37)</f>
        <v>12786910.250911316</v>
      </c>
      <c r="G82" s="53">
        <f>('Baseline System Analysis'!G42-G37)</f>
        <v>13549003.839093808</v>
      </c>
      <c r="H82" s="53">
        <f>('Baseline System Analysis'!H42-H37)</f>
        <v>14198581.058293991</v>
      </c>
      <c r="I82" s="53">
        <f>('Baseline System Analysis'!I42-I37)</f>
        <v>15000915.705759082</v>
      </c>
      <c r="J82" s="53">
        <f>('Baseline System Analysis'!J42-J37)</f>
        <v>15909014.271733448</v>
      </c>
      <c r="K82" s="53">
        <f>('Baseline System Analysis'!K42-K37)</f>
        <v>15943271.595302396</v>
      </c>
      <c r="L82" s="53">
        <f>('Baseline System Analysis'!L42-L37)</f>
        <v>15999716.407154804</v>
      </c>
      <c r="M82" s="53">
        <f>('Baseline System Analysis'!M42-M37)</f>
        <v>16077364.969675282</v>
      </c>
      <c r="N82" s="53">
        <f>('Baseline System Analysis'!N42-N37)</f>
        <v>17017237.489677273</v>
      </c>
      <c r="O82" s="53">
        <f>('Baseline System Analysis'!O42-O37)</f>
        <v>18089024.979813445</v>
      </c>
      <c r="P82" s="53">
        <f>('Baseline System Analysis'!P42-P37)</f>
        <v>19073573.17911505</v>
      </c>
      <c r="Q82" s="53">
        <f>('Baseline System Analysis'!Q42-Q37)</f>
        <v>20183246.853354089</v>
      </c>
      <c r="R82" s="53">
        <f>('Baseline System Analysis'!R42-R37)</f>
        <v>21490829.702122267</v>
      </c>
      <c r="S82" s="53">
        <f>('Baseline System Analysis'!S42-S37)</f>
        <v>22579839.787277065</v>
      </c>
      <c r="T82" s="53">
        <f>('Baseline System Analysis'!T42-T37)</f>
        <v>23724942.355195578</v>
      </c>
      <c r="U82" s="53">
        <f>('Baseline System Analysis'!U42-U37)</f>
        <v>24911056.93055214</v>
      </c>
      <c r="V82" s="53">
        <f>('Baseline System Analysis'!V42-V37)</f>
        <v>26196805.959472567</v>
      </c>
      <c r="W82" s="53">
        <f>('Baseline System Analysis'!W42-W37)</f>
        <v>27625844.33481878</v>
      </c>
      <c r="X82" s="53">
        <f>('Baseline System Analysis'!X42-X37)</f>
        <v>29110039.048498206</v>
      </c>
      <c r="Y82" s="53">
        <f>('Baseline System Analysis'!Y42-Y37)</f>
        <v>30411440.882966798</v>
      </c>
      <c r="Z82" s="53">
        <f>('Baseline System Analysis'!Z42-Z37)</f>
        <v>31944711.584258407</v>
      </c>
      <c r="AA82" s="53">
        <f>('Baseline System Analysis'!AA42-AA37)</f>
        <v>33332991.330264848</v>
      </c>
      <c r="AB82" s="53">
        <f>('Baseline System Analysis'!AB42-AB37)</f>
        <v>34748837.665194772</v>
      </c>
      <c r="AC82" s="53">
        <f>('Baseline System Analysis'!AC42-AC37)</f>
        <v>36032493.52792114</v>
      </c>
      <c r="AD82" s="53">
        <f>('Baseline System Analysis'!AD42-AD37)</f>
        <v>37232773.532337174</v>
      </c>
    </row>
    <row r="84" spans="1:30" ht="20" thickBot="1" x14ac:dyDescent="0.5">
      <c r="A84" s="134" t="s">
        <v>61</v>
      </c>
      <c r="B84" s="182"/>
      <c r="C84" s="18">
        <f>NPV('Cost Assumptions'!$B$3,D84:AD84)/1000000</f>
        <v>1345.1805628603049</v>
      </c>
      <c r="D84" s="53">
        <f>SUM(D68,D72,D76,D80,D82)</f>
        <v>46186416.014971346</v>
      </c>
      <c r="E84" s="53">
        <f t="shared" ref="E84:AD84" si="19">SUM(E68,E72,E76,E80,E82)</f>
        <v>61030693.738625079</v>
      </c>
      <c r="F84" s="53">
        <f t="shared" si="19"/>
        <v>75823553.055781871</v>
      </c>
      <c r="G84" s="53">
        <f t="shared" si="19"/>
        <v>91447167.739873022</v>
      </c>
      <c r="H84" s="53">
        <f t="shared" si="19"/>
        <v>107619710.75405511</v>
      </c>
      <c r="I84" s="53">
        <f t="shared" si="19"/>
        <v>123194795.48267826</v>
      </c>
      <c r="J84" s="53">
        <f t="shared" si="19"/>
        <v>142105261.85076654</v>
      </c>
      <c r="K84" s="53">
        <f t="shared" si="19"/>
        <v>140635817.51077867</v>
      </c>
      <c r="L84" s="53">
        <f t="shared" si="19"/>
        <v>139232771.35370532</v>
      </c>
      <c r="M84" s="53">
        <f t="shared" si="19"/>
        <v>116937348.71697971</v>
      </c>
      <c r="N84" s="53">
        <f t="shared" si="19"/>
        <v>137617805.65986952</v>
      </c>
      <c r="O84" s="53">
        <f t="shared" si="19"/>
        <v>169574939.71985611</v>
      </c>
      <c r="P84" s="53">
        <f t="shared" si="19"/>
        <v>182678413.15631855</v>
      </c>
      <c r="Q84" s="53">
        <f t="shared" si="19"/>
        <v>194931145.2105822</v>
      </c>
      <c r="R84" s="53">
        <f t="shared" si="19"/>
        <v>207214698.45007131</v>
      </c>
      <c r="S84" s="53">
        <f t="shared" si="19"/>
        <v>222706912.16046932</v>
      </c>
      <c r="T84" s="53">
        <f t="shared" si="19"/>
        <v>239510927.01383647</v>
      </c>
      <c r="U84" s="53">
        <f t="shared" si="19"/>
        <v>255387446.20781887</v>
      </c>
      <c r="V84" s="53">
        <f t="shared" si="19"/>
        <v>274725136.81949806</v>
      </c>
      <c r="W84" s="53">
        <f t="shared" si="19"/>
        <v>293029996.27240896</v>
      </c>
      <c r="X84" s="53">
        <f t="shared" si="19"/>
        <v>312995460.41928685</v>
      </c>
      <c r="Y84" s="53">
        <f t="shared" si="19"/>
        <v>334064024.365852</v>
      </c>
      <c r="Z84" s="53">
        <f t="shared" si="19"/>
        <v>356181654.18221295</v>
      </c>
      <c r="AA84" s="53">
        <f t="shared" si="19"/>
        <v>378056742.52198398</v>
      </c>
      <c r="AB84" s="53">
        <f t="shared" si="19"/>
        <v>401492542.41426063</v>
      </c>
      <c r="AC84" s="53">
        <f t="shared" si="19"/>
        <v>423388470.85469925</v>
      </c>
      <c r="AD84" s="53">
        <f t="shared" si="19"/>
        <v>443693454.03728825</v>
      </c>
    </row>
    <row r="85" spans="1:30" ht="20.5" thickTop="1" thickBot="1" x14ac:dyDescent="0.5">
      <c r="A85" s="134" t="s">
        <v>149</v>
      </c>
      <c r="B85" s="134"/>
      <c r="C85" s="18">
        <f>NPV('Cost Assumptions'!$B$3,D85:AD85)/1000000</f>
        <v>1345.5677325234594</v>
      </c>
      <c r="D85" s="53">
        <f>D84+D44</f>
        <v>46199968.014971308</v>
      </c>
      <c r="E85" s="53">
        <f t="shared" ref="E85:AD85" si="20">E84+E44</f>
        <v>61045761.199201971</v>
      </c>
      <c r="F85" s="53">
        <f t="shared" si="20"/>
        <v>75840203.279964536</v>
      </c>
      <c r="G85" s="53">
        <f t="shared" si="20"/>
        <v>91465470.448678881</v>
      </c>
      <c r="H85" s="53">
        <f t="shared" si="20"/>
        <v>107639738.16532521</v>
      </c>
      <c r="I85" s="53">
        <f t="shared" si="20"/>
        <v>123216622.39234282</v>
      </c>
      <c r="J85" s="53">
        <f t="shared" si="20"/>
        <v>142128965.71661323</v>
      </c>
      <c r="K85" s="53">
        <f t="shared" si="20"/>
        <v>140664782.6737251</v>
      </c>
      <c r="L85" s="53">
        <f t="shared" si="20"/>
        <v>139286912.49230564</v>
      </c>
      <c r="M85" s="53">
        <f t="shared" si="20"/>
        <v>117017991.44947173</v>
      </c>
      <c r="N85" s="53">
        <f t="shared" si="20"/>
        <v>137697880.95465955</v>
      </c>
      <c r="O85" s="53">
        <f t="shared" si="20"/>
        <v>169654552.4134779</v>
      </c>
      <c r="P85" s="53">
        <f t="shared" si="20"/>
        <v>182757490.07165441</v>
      </c>
      <c r="Q85" s="53">
        <f t="shared" si="20"/>
        <v>195009609.80078438</v>
      </c>
      <c r="R85" s="53">
        <f t="shared" si="20"/>
        <v>207292470.67581099</v>
      </c>
      <c r="S85" s="53">
        <f t="shared" si="20"/>
        <v>222783908.36315453</v>
      </c>
      <c r="T85" s="53">
        <f t="shared" si="20"/>
        <v>239587059.78467339</v>
      </c>
      <c r="U85" s="53">
        <f t="shared" si="20"/>
        <v>255462624.25258839</v>
      </c>
      <c r="V85" s="53">
        <f t="shared" si="20"/>
        <v>274799264.81891507</v>
      </c>
      <c r="W85" s="53">
        <f t="shared" si="20"/>
        <v>293102974.73792785</v>
      </c>
      <c r="X85" s="53">
        <f t="shared" si="20"/>
        <v>313067185.54421306</v>
      </c>
      <c r="Y85" s="53">
        <f t="shared" si="20"/>
        <v>334134387.87161493</v>
      </c>
      <c r="Z85" s="53">
        <f t="shared" si="20"/>
        <v>356250543.1596514</v>
      </c>
      <c r="AA85" s="53">
        <f t="shared" si="20"/>
        <v>378124039.26749063</v>
      </c>
      <c r="AB85" s="53">
        <f t="shared" si="20"/>
        <v>401558124.26062793</v>
      </c>
      <c r="AC85" s="53">
        <f t="shared" si="20"/>
        <v>423452209.99650437</v>
      </c>
      <c r="AD85" s="53">
        <f t="shared" si="20"/>
        <v>443755217.350649</v>
      </c>
    </row>
    <row r="86" spans="1:30" ht="15" thickTop="1" x14ac:dyDescent="0.35">
      <c r="A86" s="72"/>
      <c r="B86" s="72"/>
      <c r="C86" s="72"/>
      <c r="D86" s="72"/>
      <c r="E86" s="72"/>
      <c r="F86" s="72"/>
      <c r="G86" s="72"/>
      <c r="H86" s="72"/>
      <c r="I86" s="72"/>
      <c r="J86" s="72"/>
      <c r="K86" s="72"/>
      <c r="L86" s="72"/>
      <c r="M86" s="72"/>
      <c r="N86" s="72"/>
      <c r="O86" s="72"/>
      <c r="P86" s="72"/>
      <c r="Q86" s="72"/>
      <c r="R86" s="72"/>
      <c r="S86" s="72"/>
      <c r="T86" s="72"/>
      <c r="U86" s="72"/>
      <c r="V86" s="72"/>
      <c r="W86" s="72"/>
      <c r="X86" s="72"/>
      <c r="Y86" s="72"/>
      <c r="Z86" s="72"/>
      <c r="AA86" s="72"/>
      <c r="AB86" s="72"/>
      <c r="AC86" s="72"/>
      <c r="AD86" s="72"/>
    </row>
    <row r="87" spans="1:30" ht="20" thickBot="1" x14ac:dyDescent="0.5">
      <c r="A87" s="134" t="s">
        <v>150</v>
      </c>
      <c r="B87" s="134"/>
      <c r="C87" s="18">
        <f>Summary!$D$19</f>
        <v>185</v>
      </c>
      <c r="D87" s="72"/>
      <c r="E87" s="72"/>
      <c r="F87" s="72"/>
      <c r="G87" s="72"/>
      <c r="H87" s="72"/>
      <c r="I87" s="72"/>
      <c r="J87" s="72"/>
      <c r="K87" s="72"/>
      <c r="L87" s="72"/>
      <c r="M87" s="72"/>
      <c r="N87" s="72"/>
      <c r="O87" s="72"/>
      <c r="P87" s="72"/>
      <c r="Q87" s="72"/>
      <c r="R87" s="72"/>
      <c r="S87" s="72"/>
      <c r="T87" s="72"/>
      <c r="U87" s="72"/>
      <c r="V87" s="72"/>
      <c r="W87" s="72"/>
      <c r="X87" s="72"/>
      <c r="Y87" s="72"/>
      <c r="Z87" s="72"/>
      <c r="AA87" s="72"/>
      <c r="AB87" s="72"/>
      <c r="AC87" s="72"/>
      <c r="AD87" s="72"/>
    </row>
    <row r="88" spans="1:30" ht="15" thickTop="1" x14ac:dyDescent="0.35">
      <c r="A88" s="72"/>
      <c r="B88" s="72"/>
      <c r="C88" s="72"/>
      <c r="D88" s="72"/>
      <c r="E88" s="72"/>
      <c r="F88" s="72"/>
      <c r="G88" s="72"/>
      <c r="H88" s="72"/>
      <c r="I88" s="72"/>
      <c r="J88" s="72"/>
      <c r="K88" s="72"/>
      <c r="L88" s="72"/>
      <c r="M88" s="72"/>
      <c r="N88" s="72"/>
      <c r="O88" s="72"/>
      <c r="P88" s="72"/>
      <c r="Q88" s="72"/>
      <c r="R88" s="72"/>
      <c r="S88" s="72"/>
      <c r="T88" s="72"/>
      <c r="U88" s="72"/>
      <c r="V88" s="72"/>
      <c r="W88" s="72"/>
      <c r="X88" s="72"/>
      <c r="Y88" s="72"/>
      <c r="Z88" s="72"/>
      <c r="AA88" s="72"/>
      <c r="AB88" s="72"/>
      <c r="AC88" s="72"/>
      <c r="AD88" s="72"/>
    </row>
    <row r="89" spans="1:30" ht="20" thickBot="1" x14ac:dyDescent="0.5">
      <c r="A89" s="134" t="s">
        <v>7</v>
      </c>
      <c r="B89" s="134"/>
      <c r="C89" s="46">
        <f>C85/C87</f>
        <v>7.2733390947214023</v>
      </c>
      <c r="D89" s="72"/>
      <c r="E89" s="72"/>
      <c r="F89" s="72"/>
      <c r="G89" s="72"/>
      <c r="H89" s="72"/>
      <c r="I89" s="72"/>
      <c r="J89" s="72"/>
      <c r="K89" s="72"/>
      <c r="L89" s="72"/>
      <c r="M89" s="72"/>
      <c r="N89" s="72"/>
      <c r="O89" s="72"/>
      <c r="P89" s="72"/>
      <c r="Q89" s="72"/>
      <c r="R89" s="72"/>
      <c r="S89" s="72"/>
      <c r="T89" s="72"/>
      <c r="U89" s="72"/>
      <c r="V89" s="72"/>
      <c r="W89" s="72"/>
      <c r="X89" s="72"/>
      <c r="Y89" s="72"/>
      <c r="Z89" s="72"/>
      <c r="AA89" s="72"/>
      <c r="AB89" s="72"/>
      <c r="AC89" s="72"/>
      <c r="AD89" s="72"/>
    </row>
    <row r="90" spans="1:30" ht="15" thickTop="1" x14ac:dyDescent="0.35">
      <c r="A90" s="72"/>
      <c r="B90" s="72"/>
      <c r="C90" s="72"/>
      <c r="D90" s="72"/>
      <c r="E90" s="72"/>
      <c r="F90" s="72"/>
      <c r="G90" s="72"/>
      <c r="H90" s="72"/>
      <c r="I90" s="72"/>
      <c r="J90" s="72"/>
      <c r="K90" s="72"/>
      <c r="L90" s="72"/>
      <c r="M90" s="72"/>
      <c r="N90" s="72"/>
      <c r="O90" s="72"/>
      <c r="P90" s="72"/>
      <c r="Q90" s="72"/>
      <c r="R90" s="72"/>
      <c r="S90" s="72"/>
      <c r="T90" s="72"/>
      <c r="U90" s="72"/>
      <c r="V90" s="72"/>
      <c r="W90" s="72"/>
      <c r="X90" s="72"/>
      <c r="Y90" s="72"/>
      <c r="Z90" s="72"/>
      <c r="AA90" s="72"/>
      <c r="AB90" s="72"/>
      <c r="AC90" s="72"/>
      <c r="AD90" s="72"/>
    </row>
  </sheetData>
  <mergeCells count="6">
    <mergeCell ref="B41:AD41"/>
    <mergeCell ref="A59:AD60"/>
    <mergeCell ref="A84:B84"/>
    <mergeCell ref="A87:B87"/>
    <mergeCell ref="A89:B89"/>
    <mergeCell ref="A85:B85"/>
  </mergeCell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Q213"/>
  <sheetViews>
    <sheetView topLeftCell="C1" zoomScale="80" zoomScaleNormal="80" workbookViewId="0">
      <selection activeCell="C1" sqref="C1"/>
    </sheetView>
  </sheetViews>
  <sheetFormatPr defaultRowHeight="14.5" x14ac:dyDescent="0.35"/>
  <cols>
    <col min="2" max="2" width="34.453125" customWidth="1"/>
    <col min="3" max="3" width="14.26953125" customWidth="1"/>
    <col min="4" max="4" width="12.1796875" customWidth="1"/>
    <col min="5" max="5" width="13.1796875" customWidth="1"/>
    <col min="6" max="6" width="10.7265625" bestFit="1" customWidth="1"/>
    <col min="7" max="7" width="12.453125" bestFit="1" customWidth="1"/>
    <col min="8" max="8" width="13.1796875" bestFit="1" customWidth="1"/>
    <col min="9" max="9" width="15.1796875" customWidth="1"/>
    <col min="10" max="10" width="16.26953125" customWidth="1"/>
    <col min="11" max="11" width="13.26953125" customWidth="1"/>
    <col min="12" max="12" width="16" customWidth="1"/>
    <col min="13" max="13" width="15.26953125" customWidth="1"/>
    <col min="14" max="14" width="12.1796875" bestFit="1" customWidth="1"/>
    <col min="15" max="15" width="11.7265625" bestFit="1" customWidth="1"/>
    <col min="16" max="16" width="10.453125" customWidth="1"/>
    <col min="17" max="17" width="8.54296875" customWidth="1"/>
    <col min="18" max="18" width="10.26953125" bestFit="1" customWidth="1"/>
    <col min="19" max="19" width="8.81640625" customWidth="1"/>
    <col min="20" max="20" width="9.81640625" customWidth="1"/>
    <col min="21" max="28" width="9.81640625" style="72" customWidth="1"/>
    <col min="29" max="29" width="10.453125" customWidth="1"/>
    <col min="33" max="34" width="9.1796875" style="72"/>
    <col min="37" max="38" width="0" hidden="1" customWidth="1"/>
    <col min="39" max="39" width="17" hidden="1" customWidth="1"/>
    <col min="40" max="40" width="0" style="29" hidden="1" customWidth="1"/>
    <col min="41" max="41" width="23.7265625" hidden="1" customWidth="1"/>
    <col min="42" max="42" width="38.81640625" style="2" hidden="1" customWidth="1"/>
    <col min="43" max="43" width="32.1796875" hidden="1" customWidth="1"/>
    <col min="44" max="44" width="0" hidden="1" customWidth="1"/>
  </cols>
  <sheetData>
    <row r="1" spans="1:43" s="72" customFormat="1" x14ac:dyDescent="0.35">
      <c r="AN1" s="29"/>
      <c r="AP1" s="62"/>
    </row>
    <row r="2" spans="1:43" s="72" customFormat="1" ht="21" x14ac:dyDescent="0.5">
      <c r="B2" s="127" t="s">
        <v>22</v>
      </c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AN2" s="29"/>
      <c r="AP2" s="62"/>
    </row>
    <row r="3" spans="1:43" ht="18" customHeight="1" x14ac:dyDescent="0.35">
      <c r="A3" s="38" t="s">
        <v>2</v>
      </c>
      <c r="B3" s="38" t="s">
        <v>3</v>
      </c>
      <c r="C3" s="38" t="s">
        <v>23</v>
      </c>
      <c r="D3" s="38" t="s">
        <v>24</v>
      </c>
      <c r="E3" s="72"/>
      <c r="F3" s="72"/>
      <c r="G3" s="71"/>
      <c r="H3" s="71"/>
      <c r="I3" s="71"/>
      <c r="J3" s="71"/>
      <c r="K3" s="71"/>
      <c r="L3" s="71"/>
      <c r="M3" s="72"/>
      <c r="N3" s="72"/>
      <c r="O3" s="72"/>
      <c r="P3" s="72"/>
      <c r="Q3" s="72"/>
      <c r="R3" s="72"/>
      <c r="S3" s="72"/>
      <c r="T3" s="72"/>
      <c r="AC3" s="72"/>
      <c r="AD3" s="72"/>
      <c r="AE3" s="72"/>
      <c r="AF3" s="72"/>
      <c r="AI3" s="72"/>
      <c r="AJ3" s="72"/>
      <c r="AK3" s="72"/>
      <c r="AL3" s="72" t="s">
        <v>25</v>
      </c>
      <c r="AM3" s="72"/>
      <c r="AO3" s="72"/>
      <c r="AP3" s="62"/>
      <c r="AQ3" s="72"/>
    </row>
    <row r="4" spans="1:43" ht="15" customHeight="1" x14ac:dyDescent="0.35">
      <c r="A4" s="119">
        <v>0</v>
      </c>
      <c r="B4" s="61" t="s">
        <v>26</v>
      </c>
      <c r="C4" s="28">
        <v>0</v>
      </c>
      <c r="D4" s="28">
        <v>0</v>
      </c>
      <c r="E4" s="72"/>
      <c r="F4" s="72"/>
      <c r="G4" s="71"/>
      <c r="H4" s="71"/>
      <c r="I4" s="71"/>
      <c r="J4" s="71"/>
      <c r="K4" s="71"/>
      <c r="L4" s="71"/>
      <c r="M4" s="72"/>
      <c r="N4" s="72"/>
      <c r="O4" s="72"/>
      <c r="P4" s="72"/>
      <c r="Q4" s="72"/>
      <c r="R4" s="72"/>
      <c r="S4" s="72"/>
      <c r="T4" s="72"/>
      <c r="AC4" s="72"/>
      <c r="AD4" s="72"/>
      <c r="AE4" s="72"/>
      <c r="AF4" s="72"/>
      <c r="AI4" s="72"/>
      <c r="AJ4" s="72"/>
      <c r="AK4" s="72"/>
      <c r="AL4" s="132" t="s">
        <v>27</v>
      </c>
      <c r="AM4" s="133"/>
      <c r="AO4" s="72"/>
      <c r="AP4" s="62" t="s">
        <v>28</v>
      </c>
      <c r="AQ4" s="72" t="s">
        <v>29</v>
      </c>
    </row>
    <row r="5" spans="1:43" ht="34.15" customHeight="1" x14ac:dyDescent="0.35">
      <c r="A5" s="119">
        <v>6</v>
      </c>
      <c r="B5" s="61" t="s">
        <v>13</v>
      </c>
      <c r="C5" s="28">
        <v>185</v>
      </c>
      <c r="D5" s="28">
        <v>328</v>
      </c>
      <c r="E5" s="72"/>
      <c r="F5" s="72"/>
      <c r="G5" s="71"/>
      <c r="H5" s="71"/>
      <c r="I5" s="71"/>
      <c r="J5" s="71"/>
      <c r="K5" s="71"/>
      <c r="L5" s="71"/>
      <c r="M5" s="72"/>
      <c r="N5" s="72"/>
      <c r="O5" s="72"/>
      <c r="P5" s="72"/>
      <c r="Q5" s="72"/>
      <c r="R5" s="72"/>
      <c r="S5" s="72"/>
      <c r="T5" s="72"/>
      <c r="AC5" s="72"/>
      <c r="AD5" s="72"/>
      <c r="AE5" s="72"/>
      <c r="AF5" s="72"/>
      <c r="AI5" s="72"/>
      <c r="AJ5" s="72"/>
      <c r="AK5" s="72"/>
      <c r="AL5" s="14" t="s">
        <v>30</v>
      </c>
      <c r="AM5" s="26" t="s">
        <v>31</v>
      </c>
      <c r="AN5" s="29">
        <f t="shared" ref="AN5:AN10" si="0">$C$22</f>
        <v>1</v>
      </c>
      <c r="AO5" s="72" t="str">
        <f>CONCATENATE(AL5," ",AM5," ",AN5)</f>
        <v>N-1 EENS 1</v>
      </c>
      <c r="AP5" s="15">
        <f t="shared" ref="AP5:AP17" si="1">C23</f>
        <v>1000.4961604206891</v>
      </c>
      <c r="AQ5" s="15">
        <f>NPV('Cost Assumptions'!$B$3,'Alberhill System Project'!C19:AD19)</f>
        <v>8.433481005787554</v>
      </c>
    </row>
    <row r="6" spans="1:43" ht="21" x14ac:dyDescent="0.35">
      <c r="A6" s="119">
        <v>13</v>
      </c>
      <c r="B6" s="61" t="s">
        <v>15</v>
      </c>
      <c r="C6" s="28">
        <v>185.2</v>
      </c>
      <c r="D6" s="28">
        <v>951</v>
      </c>
      <c r="E6" s="72"/>
      <c r="F6" s="72"/>
      <c r="G6" s="71"/>
      <c r="H6" s="71"/>
      <c r="I6" s="71"/>
      <c r="J6" s="71"/>
      <c r="K6" s="71"/>
      <c r="L6" s="71"/>
      <c r="M6" s="72"/>
      <c r="N6" s="72"/>
      <c r="O6" s="72"/>
      <c r="P6" s="72"/>
      <c r="Q6" s="72"/>
      <c r="R6" s="72"/>
      <c r="S6" s="72"/>
      <c r="T6" s="72"/>
      <c r="AC6" s="72"/>
      <c r="AD6" s="72"/>
      <c r="AE6" s="72"/>
      <c r="AF6" s="72"/>
      <c r="AI6" s="72"/>
      <c r="AJ6" s="72"/>
      <c r="AK6" s="72"/>
      <c r="AL6" s="14" t="s">
        <v>30</v>
      </c>
      <c r="AM6" s="26" t="s">
        <v>32</v>
      </c>
      <c r="AN6" s="29">
        <f t="shared" si="0"/>
        <v>1</v>
      </c>
      <c r="AO6" s="72" t="str">
        <f t="shared" ref="AO6:AO77" si="2">CONCATENATE(AL6," ",AM6," ",AN6)</f>
        <v>N-1 IP 1</v>
      </c>
      <c r="AP6" s="15">
        <f t="shared" si="1"/>
        <v>96.619128021308569</v>
      </c>
      <c r="AQ6" s="15">
        <f>NPV('Cost Assumptions'!$B$3,'Alberhill System Project'!C20:AD20)</f>
        <v>3.5515450518039318</v>
      </c>
    </row>
    <row r="7" spans="1:43" ht="43.5" x14ac:dyDescent="0.35">
      <c r="A7" s="119">
        <v>10</v>
      </c>
      <c r="B7" s="61" t="s">
        <v>17</v>
      </c>
      <c r="C7" s="28">
        <v>239</v>
      </c>
      <c r="D7" s="28">
        <v>540</v>
      </c>
      <c r="E7" s="72"/>
      <c r="F7" s="72"/>
      <c r="G7" s="71"/>
      <c r="H7" s="71"/>
      <c r="I7" s="71"/>
      <c r="J7" s="71"/>
      <c r="K7" s="71"/>
      <c r="L7" s="71"/>
      <c r="M7" s="72"/>
      <c r="N7" s="72"/>
      <c r="O7" s="72"/>
      <c r="P7" s="72"/>
      <c r="Q7" s="72"/>
      <c r="R7" s="72"/>
      <c r="S7" s="72"/>
      <c r="T7" s="72"/>
      <c r="AC7" s="72"/>
      <c r="AD7" s="72"/>
      <c r="AE7" s="72"/>
      <c r="AF7" s="72"/>
      <c r="AI7" s="72"/>
      <c r="AJ7" s="72"/>
      <c r="AK7" s="72"/>
      <c r="AL7" s="14" t="s">
        <v>30</v>
      </c>
      <c r="AM7" s="26" t="s">
        <v>33</v>
      </c>
      <c r="AN7" s="29">
        <f t="shared" si="0"/>
        <v>1</v>
      </c>
      <c r="AO7" s="72" t="str">
        <f t="shared" si="2"/>
        <v>N-1 SAIDI 1</v>
      </c>
      <c r="AP7" s="15">
        <f t="shared" si="1"/>
        <v>73.255240797392332</v>
      </c>
      <c r="AQ7" s="15">
        <f>NPV('Cost Assumptions'!$B$3,'Alberhill System Project'!C21:AD21)</f>
        <v>8.1394039857800152E-2</v>
      </c>
    </row>
    <row r="8" spans="1:43" ht="21" x14ac:dyDescent="0.35">
      <c r="A8" s="21">
        <v>3</v>
      </c>
      <c r="B8" s="44" t="s">
        <v>12</v>
      </c>
      <c r="C8" s="28">
        <v>270</v>
      </c>
      <c r="D8" s="28">
        <v>538</v>
      </c>
      <c r="E8" s="72"/>
      <c r="F8" s="72"/>
      <c r="G8" s="71"/>
      <c r="H8" s="71"/>
      <c r="I8" s="71"/>
      <c r="J8" s="71"/>
      <c r="K8" s="71"/>
      <c r="L8" s="71"/>
      <c r="M8" s="72"/>
      <c r="N8" s="72"/>
      <c r="O8" s="72"/>
      <c r="P8" s="72"/>
      <c r="Q8" s="72"/>
      <c r="R8" s="72"/>
      <c r="S8" s="72"/>
      <c r="T8" s="72"/>
      <c r="AC8" s="72"/>
      <c r="AD8" s="72"/>
      <c r="AE8" s="72"/>
      <c r="AF8" s="72"/>
      <c r="AI8" s="72"/>
      <c r="AJ8" s="72"/>
      <c r="AK8" s="72"/>
      <c r="AL8" s="14" t="s">
        <v>30</v>
      </c>
      <c r="AM8" s="26" t="s">
        <v>34</v>
      </c>
      <c r="AN8" s="29">
        <f t="shared" si="0"/>
        <v>1</v>
      </c>
      <c r="AO8" s="72" t="str">
        <f t="shared" si="2"/>
        <v>N-1 SAIFI 1</v>
      </c>
      <c r="AP8" s="15">
        <f t="shared" si="1"/>
        <v>1.4508387539359031</v>
      </c>
      <c r="AQ8" s="15">
        <f>NPV('Cost Assumptions'!$B$3,'Alberhill System Project'!C22:AD22)</f>
        <v>2.1332098748370318E-2</v>
      </c>
    </row>
    <row r="9" spans="1:43" ht="15" customHeight="1" x14ac:dyDescent="0.35">
      <c r="A9" s="119">
        <v>11</v>
      </c>
      <c r="B9" s="61" t="s">
        <v>21</v>
      </c>
      <c r="C9" s="28">
        <v>270</v>
      </c>
      <c r="D9" s="28">
        <v>685</v>
      </c>
      <c r="E9" s="72"/>
      <c r="F9" s="72"/>
      <c r="G9" s="71"/>
      <c r="H9" s="71"/>
      <c r="I9" s="71"/>
      <c r="J9" s="71"/>
      <c r="K9" s="71"/>
      <c r="L9" s="71"/>
      <c r="M9" s="72"/>
      <c r="N9" s="72"/>
      <c r="O9" s="72"/>
      <c r="P9" s="72"/>
      <c r="Q9" s="72"/>
      <c r="R9" s="72"/>
      <c r="S9" s="72"/>
      <c r="T9" s="72"/>
      <c r="AC9" s="72"/>
      <c r="AD9" s="72"/>
      <c r="AE9" s="72"/>
      <c r="AF9" s="72"/>
      <c r="AI9" s="72"/>
      <c r="AJ9" s="72"/>
      <c r="AK9" s="72"/>
      <c r="AL9" s="14" t="s">
        <v>30</v>
      </c>
      <c r="AM9" s="26" t="s">
        <v>35</v>
      </c>
      <c r="AN9" s="29">
        <f t="shared" si="0"/>
        <v>1</v>
      </c>
      <c r="AO9" s="72" t="str">
        <f t="shared" si="2"/>
        <v>N-1 PFD 1</v>
      </c>
      <c r="AP9" s="15">
        <f t="shared" si="1"/>
        <v>314.08858385263613</v>
      </c>
      <c r="AQ9" s="15">
        <f>NPV('Cost Assumptions'!$B$3,'Alberhill System Project'!C23:AD23)</f>
        <v>1.8695103630092316</v>
      </c>
    </row>
    <row r="10" spans="1:43" ht="34.15" customHeight="1" x14ac:dyDescent="0.35">
      <c r="A10" s="119">
        <v>8</v>
      </c>
      <c r="B10" s="61" t="s">
        <v>10</v>
      </c>
      <c r="C10" s="28">
        <v>290</v>
      </c>
      <c r="D10" s="28">
        <v>881</v>
      </c>
      <c r="E10" s="72"/>
      <c r="F10" s="72"/>
      <c r="G10" s="71"/>
      <c r="H10" s="71"/>
      <c r="I10" s="71"/>
      <c r="J10" s="71"/>
      <c r="K10" s="71"/>
      <c r="L10" s="71"/>
      <c r="M10" s="72"/>
      <c r="N10" s="72"/>
      <c r="O10" s="72"/>
      <c r="P10" s="72"/>
      <c r="Q10" s="72"/>
      <c r="R10" s="72"/>
      <c r="S10" s="72"/>
      <c r="T10" s="72"/>
      <c r="AC10" s="72"/>
      <c r="AD10" s="72"/>
      <c r="AE10" s="72"/>
      <c r="AF10" s="72"/>
      <c r="AI10" s="72"/>
      <c r="AJ10" s="72"/>
      <c r="AK10" s="72"/>
      <c r="AL10" s="14" t="s">
        <v>30</v>
      </c>
      <c r="AM10" s="26" t="s">
        <v>36</v>
      </c>
      <c r="AN10" s="29">
        <f t="shared" si="0"/>
        <v>1</v>
      </c>
      <c r="AO10" s="72" t="str">
        <f t="shared" si="2"/>
        <v>N-1 Available Flex-1 1</v>
      </c>
      <c r="AP10" s="15">
        <f t="shared" si="1"/>
        <v>133706.04616425443</v>
      </c>
      <c r="AQ10" s="15">
        <f>NPV('Cost Assumptions'!$B$3,'Alberhill System Project'!C24:AD24)</f>
        <v>0</v>
      </c>
    </row>
    <row r="11" spans="1:43" ht="15.5" x14ac:dyDescent="0.35">
      <c r="A11" s="21">
        <v>7</v>
      </c>
      <c r="B11" s="44" t="s">
        <v>18</v>
      </c>
      <c r="C11" s="28">
        <v>315</v>
      </c>
      <c r="D11" s="28">
        <v>358</v>
      </c>
      <c r="E11" s="72"/>
      <c r="F11" s="72"/>
      <c r="G11" s="72"/>
      <c r="H11" s="72"/>
      <c r="I11" s="72"/>
      <c r="J11" s="72"/>
      <c r="K11" s="72"/>
      <c r="L11" s="72"/>
      <c r="M11" s="72"/>
      <c r="N11" s="72"/>
      <c r="O11" s="72"/>
      <c r="P11" s="72"/>
      <c r="Q11" s="72"/>
      <c r="R11" s="72"/>
      <c r="S11" s="72"/>
      <c r="T11" s="72"/>
      <c r="AC11" s="72"/>
      <c r="AD11" s="72"/>
      <c r="AE11" s="72"/>
      <c r="AF11" s="72"/>
      <c r="AI11" s="72"/>
      <c r="AJ11" s="72"/>
      <c r="AK11" s="72"/>
      <c r="AL11" s="14" t="s">
        <v>30</v>
      </c>
      <c r="AM11" s="26" t="s">
        <v>37</v>
      </c>
      <c r="AN11" s="29">
        <v>1</v>
      </c>
      <c r="AO11" s="72" t="str">
        <f t="shared" si="2"/>
        <v>N-1 Available Flex-2-1 1</v>
      </c>
      <c r="AP11" s="15">
        <f t="shared" si="1"/>
        <v>1769189.923760046</v>
      </c>
      <c r="AQ11" s="15">
        <f>NPV('Cost Assumptions'!$B$3,'Alberhill System Project'!C25:AD25)</f>
        <v>90917.120736283963</v>
      </c>
    </row>
    <row r="12" spans="1:43" ht="15.5" x14ac:dyDescent="0.35">
      <c r="A12" s="21">
        <v>4</v>
      </c>
      <c r="B12" s="44" t="s">
        <v>14</v>
      </c>
      <c r="C12" s="28">
        <v>417</v>
      </c>
      <c r="D12" s="28">
        <v>273</v>
      </c>
      <c r="E12" s="72"/>
      <c r="F12" s="72"/>
      <c r="G12" s="72"/>
      <c r="H12" s="72"/>
      <c r="I12" s="72"/>
      <c r="J12" s="72"/>
      <c r="K12" s="72"/>
      <c r="L12" s="72"/>
      <c r="M12" s="72"/>
      <c r="N12" s="72"/>
      <c r="O12" s="72"/>
      <c r="P12" s="72"/>
      <c r="Q12" s="72"/>
      <c r="R12" s="72"/>
      <c r="S12" s="72"/>
      <c r="T12" s="72"/>
      <c r="AC12" s="72"/>
      <c r="AD12" s="72"/>
      <c r="AE12" s="72"/>
      <c r="AF12" s="72"/>
      <c r="AI12" s="72"/>
      <c r="AJ12" s="72"/>
      <c r="AK12" s="72"/>
      <c r="AL12" s="14" t="s">
        <v>30</v>
      </c>
      <c r="AM12" s="26" t="s">
        <v>38</v>
      </c>
      <c r="AN12" s="29">
        <v>1</v>
      </c>
      <c r="AO12" s="72" t="str">
        <f t="shared" si="2"/>
        <v>N-1 Available Flex-2-2 1</v>
      </c>
      <c r="AP12" s="15">
        <f t="shared" si="1"/>
        <v>694321.87057146919</v>
      </c>
      <c r="AQ12" s="15">
        <f>NPV('Cost Assumptions'!$B$3,'Alberhill System Project'!C26:AD26)</f>
        <v>0</v>
      </c>
    </row>
    <row r="13" spans="1:43" ht="31" x14ac:dyDescent="0.35">
      <c r="A13" s="21">
        <v>5</v>
      </c>
      <c r="B13" s="44" t="s">
        <v>16</v>
      </c>
      <c r="C13" s="28">
        <v>429</v>
      </c>
      <c r="D13" s="28">
        <v>285</v>
      </c>
      <c r="E13" s="72"/>
      <c r="F13" s="72"/>
      <c r="G13" s="72"/>
      <c r="H13" s="72"/>
      <c r="I13" s="72"/>
      <c r="J13" s="72"/>
      <c r="K13" s="72"/>
      <c r="L13" s="72"/>
      <c r="M13" s="72"/>
      <c r="N13" s="72"/>
      <c r="O13" s="72"/>
      <c r="P13" s="72"/>
      <c r="Q13" s="72"/>
      <c r="R13" s="72"/>
      <c r="S13" s="72"/>
      <c r="T13" s="72"/>
      <c r="AC13" s="72"/>
      <c r="AD13" s="72"/>
      <c r="AE13" s="72"/>
      <c r="AF13" s="72"/>
      <c r="AI13" s="72"/>
      <c r="AJ13" s="72"/>
      <c r="AK13" s="72"/>
      <c r="AL13" s="14" t="s">
        <v>39</v>
      </c>
      <c r="AM13" s="26" t="s">
        <v>31</v>
      </c>
      <c r="AN13" s="29">
        <v>1</v>
      </c>
      <c r="AO13" s="72" t="str">
        <f t="shared" si="2"/>
        <v>N-0 EENS 1</v>
      </c>
      <c r="AP13" s="15">
        <f t="shared" si="1"/>
        <v>3662.4319152534908</v>
      </c>
      <c r="AQ13" s="15">
        <f>NPV('Cost Assumptions'!$B$3,'Alberhill System Project'!C27:AD27)</f>
        <v>0</v>
      </c>
    </row>
    <row r="14" spans="1:43" x14ac:dyDescent="0.35">
      <c r="A14" s="119">
        <v>2</v>
      </c>
      <c r="B14" s="61" t="s">
        <v>11</v>
      </c>
      <c r="C14" s="28">
        <v>469</v>
      </c>
      <c r="D14" s="28">
        <v>190</v>
      </c>
      <c r="E14" s="72"/>
      <c r="F14" s="72"/>
      <c r="G14" s="72"/>
      <c r="H14" s="72"/>
      <c r="I14" s="72"/>
      <c r="J14" s="72"/>
      <c r="K14" s="72"/>
      <c r="L14" s="72"/>
      <c r="M14" s="72"/>
      <c r="N14" s="72"/>
      <c r="O14" s="72"/>
      <c r="P14" s="72"/>
      <c r="Q14" s="72"/>
      <c r="R14" s="72"/>
      <c r="S14" s="72"/>
      <c r="T14" s="72"/>
      <c r="AC14" s="72"/>
      <c r="AD14" s="72"/>
      <c r="AE14" s="72"/>
      <c r="AF14" s="72"/>
      <c r="AI14" s="72"/>
      <c r="AJ14" s="72"/>
      <c r="AK14" s="72"/>
      <c r="AL14" s="14" t="s">
        <v>39</v>
      </c>
      <c r="AM14" s="26" t="s">
        <v>32</v>
      </c>
      <c r="AN14" s="29">
        <f>$C$22</f>
        <v>1</v>
      </c>
      <c r="AO14" s="72" t="str">
        <f t="shared" si="2"/>
        <v>N-0 IP 1</v>
      </c>
      <c r="AP14" s="15">
        <f t="shared" si="1"/>
        <v>603.3370677068466</v>
      </c>
      <c r="AQ14" s="15">
        <f>NPV('Cost Assumptions'!$B$3,'Alberhill System Project'!C28:AD28)</f>
        <v>0</v>
      </c>
    </row>
    <row r="15" spans="1:43" ht="30" customHeight="1" x14ac:dyDescent="0.35">
      <c r="A15" s="21">
        <v>12</v>
      </c>
      <c r="B15" s="44" t="s">
        <v>19</v>
      </c>
      <c r="C15" s="28">
        <v>504</v>
      </c>
      <c r="D15" s="28">
        <v>545</v>
      </c>
      <c r="E15" s="72"/>
      <c r="F15" s="72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2"/>
      <c r="R15" s="72"/>
      <c r="S15" s="72"/>
      <c r="T15" s="72"/>
      <c r="AC15" s="72"/>
      <c r="AD15" s="72"/>
      <c r="AE15" s="72"/>
      <c r="AF15" s="72"/>
      <c r="AI15" s="72"/>
      <c r="AJ15" s="72"/>
      <c r="AK15" s="72"/>
      <c r="AL15" s="14" t="s">
        <v>39</v>
      </c>
      <c r="AM15" s="26" t="s">
        <v>33</v>
      </c>
      <c r="AN15" s="29">
        <f>$C$22</f>
        <v>1</v>
      </c>
      <c r="AO15" s="72" t="str">
        <f t="shared" si="2"/>
        <v>N-0 SAIDI 1</v>
      </c>
      <c r="AP15" s="15">
        <f t="shared" si="1"/>
        <v>54.089806048569208</v>
      </c>
      <c r="AQ15" s="15">
        <f>NPV('Cost Assumptions'!$B$3,'Alberhill System Project'!C29:AD29)</f>
        <v>0</v>
      </c>
    </row>
    <row r="16" spans="1:43" x14ac:dyDescent="0.35">
      <c r="A16" s="119">
        <v>1</v>
      </c>
      <c r="B16" s="61" t="s">
        <v>9</v>
      </c>
      <c r="C16" s="28">
        <v>545</v>
      </c>
      <c r="D16" s="28">
        <v>187</v>
      </c>
      <c r="E16" s="72"/>
      <c r="F16" s="72"/>
      <c r="G16" s="72"/>
      <c r="H16" s="72"/>
      <c r="I16" s="72"/>
      <c r="J16" s="72"/>
      <c r="K16" s="72"/>
      <c r="L16" s="72"/>
      <c r="M16" s="72"/>
      <c r="N16" s="72"/>
      <c r="O16" s="72"/>
      <c r="P16" s="72"/>
      <c r="Q16" s="72"/>
      <c r="R16" s="72"/>
      <c r="S16" s="72"/>
      <c r="T16" s="72"/>
      <c r="AC16" s="72"/>
      <c r="AD16" s="72"/>
      <c r="AE16" s="72"/>
      <c r="AF16" s="72"/>
      <c r="AI16" s="72"/>
      <c r="AJ16" s="72"/>
      <c r="AK16" s="72"/>
      <c r="AL16" s="14" t="s">
        <v>39</v>
      </c>
      <c r="AM16" s="26" t="s">
        <v>34</v>
      </c>
      <c r="AN16" s="29">
        <f>$C$22</f>
        <v>1</v>
      </c>
      <c r="AO16" s="72" t="str">
        <f t="shared" si="2"/>
        <v>N-0 SAIFI 1</v>
      </c>
      <c r="AP16" s="15">
        <f t="shared" si="1"/>
        <v>2.9078711043982364</v>
      </c>
      <c r="AQ16" s="15">
        <f>NPV('Cost Assumptions'!$B$3,'Alberhill System Project'!C30:AD30)</f>
        <v>0</v>
      </c>
    </row>
    <row r="17" spans="1:43" x14ac:dyDescent="0.35">
      <c r="A17" s="119">
        <v>9</v>
      </c>
      <c r="B17" s="61" t="s">
        <v>20</v>
      </c>
      <c r="C17" s="28">
        <v>806</v>
      </c>
      <c r="D17" s="28">
        <v>1004</v>
      </c>
      <c r="E17" s="72"/>
      <c r="F17" s="72"/>
      <c r="G17" s="72"/>
      <c r="H17" s="72"/>
      <c r="I17" s="72"/>
      <c r="J17" s="72"/>
      <c r="K17" s="72"/>
      <c r="L17" s="72"/>
      <c r="M17" s="72"/>
      <c r="N17" s="72"/>
      <c r="O17" s="72"/>
      <c r="P17" s="72"/>
      <c r="Q17" s="72"/>
      <c r="R17" s="72"/>
      <c r="S17" s="72"/>
      <c r="T17" s="72"/>
      <c r="AC17" s="72"/>
      <c r="AD17" s="72"/>
      <c r="AE17" s="72"/>
      <c r="AF17" s="72"/>
      <c r="AI17" s="72"/>
      <c r="AJ17" s="72"/>
      <c r="AK17" s="72"/>
      <c r="AL17" s="14" t="s">
        <v>39</v>
      </c>
      <c r="AM17" s="26" t="s">
        <v>35</v>
      </c>
      <c r="AN17" s="112">
        <f>$C$22</f>
        <v>1</v>
      </c>
      <c r="AO17" s="30" t="str">
        <f t="shared" si="2"/>
        <v>N-0 PFD 1</v>
      </c>
      <c r="AP17" s="31">
        <f t="shared" si="1"/>
        <v>81.976482418430209</v>
      </c>
      <c r="AQ17" s="15">
        <f>NPV('Cost Assumptions'!$B$3,'Alberhill System Project'!C31:AD31)</f>
        <v>0</v>
      </c>
    </row>
    <row r="18" spans="1:43" x14ac:dyDescent="0.35">
      <c r="A18" s="84"/>
      <c r="B18" s="84"/>
      <c r="C18" s="47"/>
      <c r="D18" s="47"/>
      <c r="E18" s="72"/>
      <c r="F18" s="72"/>
      <c r="G18" s="72"/>
      <c r="H18" s="72"/>
      <c r="I18" s="72"/>
      <c r="J18" s="72"/>
      <c r="K18" s="72"/>
      <c r="L18" s="72"/>
      <c r="M18" s="72"/>
      <c r="N18" s="72"/>
      <c r="O18" s="72"/>
      <c r="P18" s="72"/>
      <c r="Q18" s="72"/>
      <c r="R18" s="72"/>
      <c r="S18" s="72"/>
      <c r="T18" s="72"/>
      <c r="AC18" s="84"/>
      <c r="AD18" s="72"/>
      <c r="AE18" s="72"/>
      <c r="AF18" s="72"/>
      <c r="AI18" s="72"/>
      <c r="AJ18" s="72"/>
      <c r="AK18" s="72"/>
      <c r="AL18" s="14" t="s">
        <v>30</v>
      </c>
      <c r="AM18" s="26" t="s">
        <v>31</v>
      </c>
      <c r="AN18" s="32">
        <f t="shared" ref="AN18:AN24" si="3">$D$22</f>
        <v>2</v>
      </c>
      <c r="AO18" s="33" t="str">
        <f t="shared" si="2"/>
        <v>N-1 EENS 2</v>
      </c>
      <c r="AP18" s="34">
        <f t="shared" ref="AP18:AP30" si="4">D23</f>
        <v>1008.9296414264766</v>
      </c>
      <c r="AQ18" s="34">
        <f>NPV('Cost Assumptions'!$B$3,'SDG&amp;E'!C19:AD19)</f>
        <v>0</v>
      </c>
    </row>
    <row r="19" spans="1:43" x14ac:dyDescent="0.35">
      <c r="A19" s="72"/>
      <c r="B19" s="72"/>
      <c r="C19" s="72"/>
      <c r="D19" s="72"/>
      <c r="E19" s="72"/>
      <c r="F19" s="72"/>
      <c r="G19" s="72"/>
      <c r="H19" s="72"/>
      <c r="I19" s="72"/>
      <c r="J19" s="72"/>
      <c r="K19" s="72"/>
      <c r="L19" s="72"/>
      <c r="M19" s="72"/>
      <c r="N19" s="72"/>
      <c r="O19" s="72"/>
      <c r="P19" s="72"/>
      <c r="Q19" s="72"/>
      <c r="R19" s="72"/>
      <c r="S19" s="72"/>
      <c r="T19" s="72"/>
      <c r="AC19" s="72"/>
      <c r="AD19" s="72"/>
      <c r="AE19" s="72"/>
      <c r="AF19" s="72"/>
      <c r="AI19" s="72"/>
      <c r="AJ19" s="72"/>
      <c r="AK19" s="72"/>
      <c r="AL19" s="14" t="s">
        <v>30</v>
      </c>
      <c r="AM19" s="26" t="s">
        <v>32</v>
      </c>
      <c r="AN19" s="29">
        <f t="shared" si="3"/>
        <v>2</v>
      </c>
      <c r="AO19" s="72" t="str">
        <f t="shared" si="2"/>
        <v>N-1 IP 2</v>
      </c>
      <c r="AP19" s="15">
        <f t="shared" si="4"/>
        <v>100.1706730731125</v>
      </c>
      <c r="AQ19" s="34">
        <f>NPV('Cost Assumptions'!$B$3,'SDG&amp;E'!C20:AD20)</f>
        <v>0</v>
      </c>
    </row>
    <row r="20" spans="1:43" ht="19.5" x14ac:dyDescent="0.45">
      <c r="A20" s="156" t="s">
        <v>40</v>
      </c>
      <c r="B20" s="156"/>
      <c r="C20" s="156"/>
      <c r="D20" s="156"/>
      <c r="E20" s="156"/>
      <c r="F20" s="156"/>
      <c r="G20" s="156"/>
      <c r="H20" s="156"/>
      <c r="I20" s="156"/>
      <c r="J20" s="156"/>
      <c r="K20" s="156"/>
      <c r="L20" s="156"/>
      <c r="M20" s="156"/>
      <c r="N20" s="156"/>
      <c r="O20" s="156"/>
      <c r="P20" s="72"/>
      <c r="Q20" s="72"/>
      <c r="R20" s="72"/>
      <c r="S20" s="72"/>
      <c r="T20" s="72"/>
      <c r="AC20" s="72"/>
      <c r="AD20" s="72"/>
      <c r="AE20" s="72"/>
      <c r="AF20" s="72"/>
      <c r="AI20" s="72"/>
      <c r="AJ20" s="72"/>
      <c r="AK20" s="72"/>
      <c r="AL20" s="14" t="s">
        <v>30</v>
      </c>
      <c r="AM20" s="26" t="s">
        <v>33</v>
      </c>
      <c r="AN20" s="29">
        <f t="shared" si="3"/>
        <v>2</v>
      </c>
      <c r="AO20" s="72" t="str">
        <f t="shared" si="2"/>
        <v>N-1 SAIDI 2</v>
      </c>
      <c r="AP20" s="15">
        <f t="shared" si="4"/>
        <v>73.336634837250131</v>
      </c>
      <c r="AQ20" s="34">
        <f>NPV('Cost Assumptions'!$B$3,'SDG&amp;E'!C21:AD21)</f>
        <v>0</v>
      </c>
    </row>
    <row r="21" spans="1:43" ht="87" x14ac:dyDescent="0.35">
      <c r="A21" s="154"/>
      <c r="B21" s="155"/>
      <c r="C21" s="74" t="s">
        <v>9</v>
      </c>
      <c r="D21" s="74" t="s">
        <v>11</v>
      </c>
      <c r="E21" s="74" t="s">
        <v>12</v>
      </c>
      <c r="F21" s="74" t="s">
        <v>14</v>
      </c>
      <c r="G21" s="74" t="s">
        <v>16</v>
      </c>
      <c r="H21" s="74" t="s">
        <v>13</v>
      </c>
      <c r="I21" s="74" t="s">
        <v>18</v>
      </c>
      <c r="J21" s="74" t="s">
        <v>10</v>
      </c>
      <c r="K21" s="74" t="s">
        <v>20</v>
      </c>
      <c r="L21" s="74" t="s">
        <v>17</v>
      </c>
      <c r="M21" s="74" t="s">
        <v>21</v>
      </c>
      <c r="N21" s="74" t="s">
        <v>19</v>
      </c>
      <c r="O21" s="74" t="s">
        <v>15</v>
      </c>
      <c r="P21" s="72"/>
      <c r="Q21" s="72"/>
      <c r="R21" s="72"/>
      <c r="S21" s="72"/>
      <c r="T21" s="72"/>
      <c r="AC21" s="72"/>
      <c r="AD21" s="72"/>
      <c r="AE21" s="72"/>
      <c r="AF21" s="72"/>
      <c r="AI21" s="72"/>
      <c r="AJ21" s="72"/>
      <c r="AK21" s="72"/>
      <c r="AL21" s="14" t="s">
        <v>30</v>
      </c>
      <c r="AM21" s="26" t="s">
        <v>34</v>
      </c>
      <c r="AN21" s="29">
        <f t="shared" si="3"/>
        <v>2</v>
      </c>
      <c r="AO21" s="72" t="str">
        <f t="shared" ref="AO21" si="5">CONCATENATE(AL21," ",AM21," ",AN21)</f>
        <v>N-1 SAIFI 2</v>
      </c>
      <c r="AP21" s="15">
        <f t="shared" si="4"/>
        <v>1.4721708526842732</v>
      </c>
      <c r="AQ21" s="34">
        <f>NPV('Cost Assumptions'!$B$3,'SDG&amp;E'!C22:AD22)</f>
        <v>0</v>
      </c>
    </row>
    <row r="22" spans="1:43" x14ac:dyDescent="0.35">
      <c r="A22" s="102" t="s">
        <v>27</v>
      </c>
      <c r="B22" s="102"/>
      <c r="C22" s="117">
        <v>1</v>
      </c>
      <c r="D22" s="117">
        <v>2</v>
      </c>
      <c r="E22" s="117">
        <v>3</v>
      </c>
      <c r="F22" s="117">
        <v>4</v>
      </c>
      <c r="G22" s="117">
        <v>5</v>
      </c>
      <c r="H22" s="117">
        <v>6</v>
      </c>
      <c r="I22" s="117">
        <v>7</v>
      </c>
      <c r="J22" s="117">
        <v>8</v>
      </c>
      <c r="K22" s="117">
        <v>9</v>
      </c>
      <c r="L22" s="117">
        <v>10</v>
      </c>
      <c r="M22" s="117">
        <v>11</v>
      </c>
      <c r="N22" s="117">
        <v>12</v>
      </c>
      <c r="O22" s="117">
        <v>13</v>
      </c>
      <c r="P22" s="72"/>
      <c r="Q22" s="72"/>
      <c r="R22" s="72"/>
      <c r="S22" s="72"/>
      <c r="T22" s="72"/>
      <c r="AC22" s="72"/>
      <c r="AD22" s="72"/>
      <c r="AE22" s="72"/>
      <c r="AF22" s="72"/>
      <c r="AI22" s="72"/>
      <c r="AJ22" s="72"/>
      <c r="AK22" s="72"/>
      <c r="AL22" s="14" t="s">
        <v>30</v>
      </c>
      <c r="AM22" s="26" t="s">
        <v>35</v>
      </c>
      <c r="AN22" s="29">
        <f t="shared" si="3"/>
        <v>2</v>
      </c>
      <c r="AO22" s="72" t="str">
        <f t="shared" si="2"/>
        <v>N-1 PFD 2</v>
      </c>
      <c r="AP22" s="15">
        <f t="shared" si="4"/>
        <v>315.95809421564536</v>
      </c>
      <c r="AQ22" s="34">
        <f>NPV('Cost Assumptions'!$B$3,'SDG&amp;E'!C23:AD23)</f>
        <v>0</v>
      </c>
    </row>
    <row r="23" spans="1:43" x14ac:dyDescent="0.35">
      <c r="A23" s="14" t="s">
        <v>30</v>
      </c>
      <c r="B23" s="26" t="s">
        <v>31</v>
      </c>
      <c r="C23" s="25">
        <f>'Alberhill System Project'!$B44</f>
        <v>1000.4961604206891</v>
      </c>
      <c r="D23" s="25">
        <f>'SDG&amp;E'!$B44</f>
        <v>1008.9296414264766</v>
      </c>
      <c r="E23" s="25">
        <f>'Valley S to Valley N to Vista'!$B45</f>
        <v>114.42912412587738</v>
      </c>
      <c r="F23" s="25">
        <f>'Centralized BESS in Valley S'!$B44</f>
        <v>1008.9296414264766</v>
      </c>
      <c r="G23" s="25">
        <f>'MiraLoma &amp; Centralized BESS VS'!$B44</f>
        <v>753.64055081831418</v>
      </c>
      <c r="H23" s="25">
        <f>'VS to VN &amp; Distributed BESS VS'!$B45</f>
        <v>114.42912412587738</v>
      </c>
      <c r="I23" s="25">
        <f>Menifee!$B44</f>
        <v>114.42912412587738</v>
      </c>
      <c r="J23" s="25">
        <f>'Mira Loma'!$B44</f>
        <v>503.7157499578409</v>
      </c>
      <c r="K23" s="25">
        <f>'SCE Orange County'!$B44</f>
        <v>838.78770846558382</v>
      </c>
      <c r="L23" s="25">
        <f>'VS to VN &amp; Central BESS VS VN '!$B45</f>
        <v>114.42912412587738</v>
      </c>
      <c r="M23" s="25">
        <f>'VS to VN to VST &amp; Cen BESS VS'!$B45</f>
        <v>114.42912412587738</v>
      </c>
      <c r="N23" s="25">
        <f>'SDG&amp;E and Central BESS in VS'!$B44</f>
        <v>1008.9296414264766</v>
      </c>
      <c r="O23" s="25">
        <f>'Valley South to Valley North'!$B45</f>
        <v>114.42912412587738</v>
      </c>
      <c r="P23" s="72"/>
      <c r="Q23" s="72"/>
      <c r="R23" s="72"/>
      <c r="S23" s="72"/>
      <c r="T23" s="72"/>
      <c r="AC23" s="72"/>
      <c r="AD23" s="72"/>
      <c r="AE23" s="72"/>
      <c r="AF23" s="72"/>
      <c r="AI23" s="72"/>
      <c r="AJ23" s="72"/>
      <c r="AK23" s="72"/>
      <c r="AL23" s="14" t="s">
        <v>30</v>
      </c>
      <c r="AM23" s="26" t="s">
        <v>36</v>
      </c>
      <c r="AN23" s="29">
        <f t="shared" si="3"/>
        <v>2</v>
      </c>
      <c r="AO23" s="72" t="str">
        <f t="shared" si="2"/>
        <v>N-1 Available Flex-1 2</v>
      </c>
      <c r="AP23" s="15">
        <f t="shared" si="4"/>
        <v>60203.88924574454</v>
      </c>
      <c r="AQ23" s="34">
        <f>NPV('Cost Assumptions'!$B$3,'SDG&amp;E'!C24:AD24)</f>
        <v>73502.156918509936</v>
      </c>
    </row>
    <row r="24" spans="1:43" x14ac:dyDescent="0.35">
      <c r="A24" s="14" t="s">
        <v>30</v>
      </c>
      <c r="B24" s="26" t="s">
        <v>32</v>
      </c>
      <c r="C24" s="25">
        <f>'Alberhill System Project'!$B45</f>
        <v>96.619128021308569</v>
      </c>
      <c r="D24" s="25">
        <f>'SDG&amp;E'!$B45</f>
        <v>100.1706730731125</v>
      </c>
      <c r="E24" s="25">
        <f>'Valley S to Valley N to Vista'!$B46</f>
        <v>-30.412621955669433</v>
      </c>
      <c r="F24" s="25">
        <f>'Centralized BESS in Valley S'!$B45</f>
        <v>100.1706730731125</v>
      </c>
      <c r="G24" s="25">
        <f>'MiraLoma &amp; Centralized BESS VS'!$B45</f>
        <v>43.667206319350967</v>
      </c>
      <c r="H24" s="25">
        <f>'VS to VN &amp; Distributed BESS VS'!$B46</f>
        <v>-30.412621955669433</v>
      </c>
      <c r="I24" s="25">
        <f>Menifee!$B45</f>
        <v>-30.412621955669433</v>
      </c>
      <c r="J24" s="25">
        <f>'Mira Loma'!$B45</f>
        <v>24.570264019044693</v>
      </c>
      <c r="K24" s="25">
        <f>'SCE Orange County'!$B45</f>
        <v>79.804002332415195</v>
      </c>
      <c r="L24" s="25">
        <f>'VS to VN &amp; Central BESS VS VN '!$B46</f>
        <v>-30.412621955669433</v>
      </c>
      <c r="M24" s="25">
        <f>'VS to VN to VST &amp; Cen BESS VS'!$B46</f>
        <v>-30.412621955669433</v>
      </c>
      <c r="N24" s="25">
        <f>'SDG&amp;E and Central BESS in VS'!$B45</f>
        <v>100.1706730731125</v>
      </c>
      <c r="O24" s="25">
        <f>'Valley South to Valley North'!$B46</f>
        <v>-30.412621955669433</v>
      </c>
      <c r="P24" s="72"/>
      <c r="Q24" s="72"/>
      <c r="R24" s="72"/>
      <c r="S24" s="72"/>
      <c r="T24" s="72"/>
      <c r="AC24" s="72"/>
      <c r="AD24" s="72"/>
      <c r="AE24" s="72"/>
      <c r="AF24" s="72"/>
      <c r="AI24" s="72"/>
      <c r="AJ24" s="72"/>
      <c r="AK24" s="72"/>
      <c r="AL24" s="14" t="s">
        <v>30</v>
      </c>
      <c r="AM24" s="26" t="s">
        <v>37</v>
      </c>
      <c r="AN24" s="29">
        <f t="shared" si="3"/>
        <v>2</v>
      </c>
      <c r="AO24" s="72" t="str">
        <f t="shared" si="2"/>
        <v>N-1 Available Flex-2-1 2</v>
      </c>
      <c r="AP24" s="15">
        <f t="shared" si="4"/>
        <v>1272587.0327551514</v>
      </c>
      <c r="AQ24" s="34">
        <f>NPV('Cost Assumptions'!$B$3,'SDG&amp;E'!C25:AD25)</f>
        <v>587520.01174117869</v>
      </c>
    </row>
    <row r="25" spans="1:43" x14ac:dyDescent="0.35">
      <c r="A25" s="14" t="s">
        <v>30</v>
      </c>
      <c r="B25" s="26" t="s">
        <v>33</v>
      </c>
      <c r="C25" s="25">
        <f>'Alberhill System Project'!$B46</f>
        <v>73.255240797392332</v>
      </c>
      <c r="D25" s="25">
        <f>'SDG&amp;E'!$B46</f>
        <v>73.336634837250131</v>
      </c>
      <c r="E25" s="25">
        <f>'Valley S to Valley N to Vista'!$B47</f>
        <v>54.408682117250308</v>
      </c>
      <c r="F25" s="25">
        <f>'Centralized BESS in Valley S'!$B46</f>
        <v>73.336634837250131</v>
      </c>
      <c r="G25" s="25">
        <f>'MiraLoma &amp; Centralized BESS VS'!$B46</f>
        <v>69.172604922535854</v>
      </c>
      <c r="H25" s="25">
        <f>'VS to VN &amp; Distributed BESS VS'!$B47</f>
        <v>54.408682117250308</v>
      </c>
      <c r="I25" s="25">
        <f>Menifee!$B46</f>
        <v>54.408682117250308</v>
      </c>
      <c r="J25" s="25">
        <f>'Mira Loma'!$B46</f>
        <v>64.237463314365542</v>
      </c>
      <c r="K25" s="25">
        <f>'SCE Orange County'!$B46</f>
        <v>71.52559921928129</v>
      </c>
      <c r="L25" s="25">
        <f>'VS to VN &amp; Central BESS VS VN '!$B47</f>
        <v>54.408682117250308</v>
      </c>
      <c r="M25" s="25">
        <f>'VS to VN to VST &amp; Cen BESS VS'!$B47</f>
        <v>54.408682117250308</v>
      </c>
      <c r="N25" s="25">
        <f>'SDG&amp;E and Central BESS in VS'!$B46</f>
        <v>73.336634837250131</v>
      </c>
      <c r="O25" s="25">
        <f>'Valley South to Valley North'!$B47</f>
        <v>54.408682117250308</v>
      </c>
      <c r="P25" s="72"/>
      <c r="Q25" s="72"/>
      <c r="R25" s="72"/>
      <c r="S25" s="72"/>
      <c r="T25" s="72"/>
      <c r="AC25" s="72"/>
      <c r="AD25" s="72"/>
      <c r="AE25" s="72"/>
      <c r="AF25" s="72"/>
      <c r="AI25" s="72"/>
      <c r="AJ25" s="72"/>
      <c r="AK25" s="72"/>
      <c r="AL25" s="14" t="s">
        <v>30</v>
      </c>
      <c r="AM25" s="26" t="s">
        <v>38</v>
      </c>
      <c r="AN25" s="29">
        <v>2</v>
      </c>
      <c r="AO25" s="72" t="str">
        <f t="shared" si="2"/>
        <v>N-1 Available Flex-2-2 2</v>
      </c>
      <c r="AP25" s="15">
        <f t="shared" si="4"/>
        <v>526663.85708479583</v>
      </c>
      <c r="AQ25" s="34">
        <f>NPV('Cost Assumptions'!$B$3,'SDG&amp;E'!C26:AD26)</f>
        <v>167658.01348667333</v>
      </c>
    </row>
    <row r="26" spans="1:43" x14ac:dyDescent="0.35">
      <c r="A26" s="14" t="s">
        <v>30</v>
      </c>
      <c r="B26" s="26" t="s">
        <v>34</v>
      </c>
      <c r="C26" s="25">
        <f>'Alberhill System Project'!$B47</f>
        <v>1.4508387539359031</v>
      </c>
      <c r="D26" s="25">
        <f>'SDG&amp;E'!$B47</f>
        <v>1.4721708526842732</v>
      </c>
      <c r="E26" s="25">
        <f>'Valley S to Valley N to Vista'!$B48</f>
        <v>0.65104463482712971</v>
      </c>
      <c r="F26" s="25">
        <f>'Centralized BESS in Valley S'!$B47</f>
        <v>1.4721708526842732</v>
      </c>
      <c r="G26" s="25">
        <f>'MiraLoma &amp; Centralized BESS VS'!$B47</f>
        <v>1.2091558864170644</v>
      </c>
      <c r="H26" s="25">
        <f>'VS to VN &amp; Distributed BESS VS'!$B48</f>
        <v>0.65104463482712971</v>
      </c>
      <c r="I26" s="25">
        <f>Menifee!$B47</f>
        <v>0.65104463482712971</v>
      </c>
      <c r="J26" s="25">
        <f>'Mira Loma'!$B47</f>
        <v>0.95697950166798973</v>
      </c>
      <c r="K26" s="25">
        <f>'SCE Orange County'!$B47</f>
        <v>1.2896883172750087</v>
      </c>
      <c r="L26" s="25">
        <f>'VS to VN &amp; Central BESS VS VN '!$B48</f>
        <v>0.65104463482712971</v>
      </c>
      <c r="M26" s="25">
        <f>'VS to VN to VST &amp; Cen BESS VS'!$B48</f>
        <v>0.65104463482712971</v>
      </c>
      <c r="N26" s="25">
        <f>'SDG&amp;E and Central BESS in VS'!$B47</f>
        <v>1.4721708526842732</v>
      </c>
      <c r="O26" s="25">
        <f>'Valley South to Valley North'!$B48</f>
        <v>0.65104463482712971</v>
      </c>
      <c r="P26" s="72"/>
      <c r="Q26" s="72"/>
      <c r="R26" s="72"/>
      <c r="S26" s="72"/>
      <c r="T26" s="72"/>
      <c r="AC26" s="72"/>
      <c r="AD26" s="72"/>
      <c r="AE26" s="72"/>
      <c r="AF26" s="72"/>
      <c r="AI26" s="72"/>
      <c r="AJ26" s="72"/>
      <c r="AK26" s="72"/>
      <c r="AL26" s="14" t="s">
        <v>39</v>
      </c>
      <c r="AM26" s="26" t="s">
        <v>31</v>
      </c>
      <c r="AN26" s="29">
        <f>$D$22</f>
        <v>2</v>
      </c>
      <c r="AO26" s="72" t="str">
        <f t="shared" si="2"/>
        <v>N-0 EENS 2</v>
      </c>
      <c r="AP26" s="15">
        <f t="shared" si="4"/>
        <v>3662.2030822001593</v>
      </c>
      <c r="AQ26" s="34">
        <f>NPV('Cost Assumptions'!$B$3,'SDG&amp;E'!C27:AD27)</f>
        <v>0.22883305333156376</v>
      </c>
    </row>
    <row r="27" spans="1:43" x14ac:dyDescent="0.35">
      <c r="A27" s="14" t="s">
        <v>30</v>
      </c>
      <c r="B27" s="26" t="s">
        <v>35</v>
      </c>
      <c r="C27" s="25">
        <f>'Alberhill System Project'!$B48</f>
        <v>314.08858385263613</v>
      </c>
      <c r="D27" s="25">
        <f>'SDG&amp;E'!$B48</f>
        <v>315.95809421564536</v>
      </c>
      <c r="E27" s="25">
        <f>'Valley S to Valley N to Vista'!$B49</f>
        <v>225.53030430590292</v>
      </c>
      <c r="F27" s="25">
        <f>'Centralized BESS in Valley S'!$B48</f>
        <v>315.95809421564536</v>
      </c>
      <c r="G27" s="25">
        <f>'MiraLoma &amp; Centralized BESS VS'!$B48</f>
        <v>269.1878055059604</v>
      </c>
      <c r="H27" s="25">
        <f>'VS to VN &amp; Distributed BESS VS'!$B49</f>
        <v>225.53030430590292</v>
      </c>
      <c r="I27" s="25">
        <f>Menifee!$B48</f>
        <v>225.53030430590292</v>
      </c>
      <c r="J27" s="25">
        <f>'Mira Loma'!$B48</f>
        <v>268.0060393064245</v>
      </c>
      <c r="K27" s="25">
        <f>'SCE Orange County'!$B48</f>
        <v>271.75509696201584</v>
      </c>
      <c r="L27" s="25">
        <f>'VS to VN &amp; Central BESS VS VN '!$B49</f>
        <v>225.53030430590292</v>
      </c>
      <c r="M27" s="25">
        <f>'VS to VN to VST &amp; Cen BESS VS'!$B49</f>
        <v>225.53030430590292</v>
      </c>
      <c r="N27" s="25">
        <f>'SDG&amp;E and Central BESS in VS'!$B48</f>
        <v>315.95809421564536</v>
      </c>
      <c r="O27" s="25">
        <f>'Valley South to Valley North'!$B49</f>
        <v>225.53030430590292</v>
      </c>
      <c r="P27" s="72"/>
      <c r="Q27" s="72"/>
      <c r="R27" s="72"/>
      <c r="S27" s="72"/>
      <c r="T27" s="72"/>
      <c r="AC27" s="72"/>
      <c r="AD27" s="72"/>
      <c r="AE27" s="72"/>
      <c r="AF27" s="72"/>
      <c r="AI27" s="72"/>
      <c r="AJ27" s="72"/>
      <c r="AK27" s="72"/>
      <c r="AL27" s="14" t="s">
        <v>39</v>
      </c>
      <c r="AM27" s="26" t="s">
        <v>32</v>
      </c>
      <c r="AN27" s="29">
        <f>$D$22</f>
        <v>2</v>
      </c>
      <c r="AO27" s="72" t="str">
        <f t="shared" si="2"/>
        <v>N-0 IP 2</v>
      </c>
      <c r="AP27" s="15">
        <f t="shared" si="4"/>
        <v>603.10823465351496</v>
      </c>
      <c r="AQ27" s="34">
        <f>NPV('Cost Assumptions'!$B$3,'SDG&amp;E'!C28:AD28)</f>
        <v>0.22883305333156376</v>
      </c>
    </row>
    <row r="28" spans="1:43" x14ac:dyDescent="0.35">
      <c r="A28" s="14" t="s">
        <v>30</v>
      </c>
      <c r="B28" s="26" t="s">
        <v>36</v>
      </c>
      <c r="C28" s="25">
        <f>'Alberhill System Project'!$B49</f>
        <v>133706.04616425443</v>
      </c>
      <c r="D28" s="25">
        <f>'SDG&amp;E'!$B49</f>
        <v>60203.88924574454</v>
      </c>
      <c r="E28" s="25">
        <f>'Valley S to Valley N to Vista'!$B50</f>
        <v>39141.445534236278</v>
      </c>
      <c r="F28" s="25">
        <f>'Centralized BESS in Valley S'!$B49</f>
        <v>82124.115349324973</v>
      </c>
      <c r="G28" s="25">
        <f>'MiraLoma &amp; Centralized BESS VS'!$B49</f>
        <v>85504.238977438508</v>
      </c>
      <c r="H28" s="25">
        <f>'VS to VN &amp; Distributed BESS VS'!$B50</f>
        <v>39141.445534236278</v>
      </c>
      <c r="I28" s="25">
        <f>Menifee!$B49</f>
        <v>39141.445534236278</v>
      </c>
      <c r="J28" s="25">
        <f>'Mira Loma'!$B49</f>
        <v>83412.308994391497</v>
      </c>
      <c r="K28" s="25">
        <f>'SCE Orange County'!$B49</f>
        <v>113296.0689212362</v>
      </c>
      <c r="L28" s="25">
        <f>'VS to VN &amp; Central BESS VS VN '!$B50</f>
        <v>39141.445534236278</v>
      </c>
      <c r="M28" s="25">
        <f>'VS to VN to VST &amp; Cen BESS VS'!$B50</f>
        <v>39141.445534236278</v>
      </c>
      <c r="N28" s="25">
        <f>'SDG&amp;E and Central BESS in VS'!$B49</f>
        <v>75415.305782582174</v>
      </c>
      <c r="O28" s="25">
        <f>'Valley South to Valley North'!$B50</f>
        <v>39141.445534236278</v>
      </c>
      <c r="P28" s="72"/>
      <c r="Q28" s="72"/>
      <c r="R28" s="10"/>
      <c r="S28" s="72"/>
      <c r="T28" s="72"/>
      <c r="AC28" s="72"/>
      <c r="AD28" s="72"/>
      <c r="AE28" s="72"/>
      <c r="AF28" s="72"/>
      <c r="AI28" s="72"/>
      <c r="AJ28" s="72"/>
      <c r="AK28" s="72"/>
      <c r="AL28" s="14" t="s">
        <v>39</v>
      </c>
      <c r="AM28" s="26" t="s">
        <v>33</v>
      </c>
      <c r="AN28" s="29">
        <f>$D$22</f>
        <v>2</v>
      </c>
      <c r="AO28" s="72" t="str">
        <f t="shared" si="2"/>
        <v>N-0 SAIDI 2</v>
      </c>
      <c r="AP28" s="15">
        <f t="shared" si="4"/>
        <v>54.089607153213329</v>
      </c>
      <c r="AQ28" s="34">
        <f>NPV('Cost Assumptions'!$B$3,'SDG&amp;E'!C29:AD29)</f>
        <v>1.988953558807141E-4</v>
      </c>
    </row>
    <row r="29" spans="1:43" x14ac:dyDescent="0.35">
      <c r="A29" s="14" t="s">
        <v>30</v>
      </c>
      <c r="B29" s="26" t="s">
        <v>37</v>
      </c>
      <c r="C29" s="25">
        <f>'Alberhill System Project'!$B50</f>
        <v>1769189.923760046</v>
      </c>
      <c r="D29" s="25">
        <f>'SDG&amp;E'!$B50</f>
        <v>1272587.0327551514</v>
      </c>
      <c r="E29" s="25">
        <f>'Valley S to Valley N to Vista'!$B51</f>
        <v>0</v>
      </c>
      <c r="F29" s="25">
        <f>'Centralized BESS in Valley S'!$B50</f>
        <v>2.9234079329140863E-2</v>
      </c>
      <c r="G29" s="25">
        <f>'MiraLoma &amp; Centralized BESS VS'!$B50</f>
        <v>499595.17897993606</v>
      </c>
      <c r="H29" s="25">
        <f>'VS to VN &amp; Distributed BESS VS'!$B51</f>
        <v>0</v>
      </c>
      <c r="I29" s="25">
        <f>Menifee!$B50</f>
        <v>1132819.4221929375</v>
      </c>
      <c r="J29" s="25">
        <f>'Mira Loma'!$B50</f>
        <v>499595.17897993606</v>
      </c>
      <c r="K29" s="25">
        <f>'SCE Orange County'!$B50</f>
        <v>1296335.2715493927</v>
      </c>
      <c r="L29" s="25">
        <f>'VS to VN &amp; Central BESS VS VN '!$B51</f>
        <v>0</v>
      </c>
      <c r="M29" s="25">
        <f>'VS to VN to VST &amp; Cen BESS VS'!$B51</f>
        <v>0</v>
      </c>
      <c r="N29" s="25">
        <f>'SDG&amp;E and Central BESS in VS'!$B50</f>
        <v>1272587.0327551514</v>
      </c>
      <c r="O29" s="25">
        <f>'Valley South to Valley North'!$B51</f>
        <v>0</v>
      </c>
      <c r="P29" s="72"/>
      <c r="Q29" s="72"/>
      <c r="R29" s="72"/>
      <c r="S29" s="72"/>
      <c r="T29" s="72"/>
      <c r="AC29" s="72"/>
      <c r="AD29" s="72"/>
      <c r="AE29" s="72"/>
      <c r="AF29" s="72"/>
      <c r="AI29" s="72"/>
      <c r="AJ29" s="72"/>
      <c r="AK29" s="72"/>
      <c r="AL29" s="14" t="s">
        <v>39</v>
      </c>
      <c r="AM29" s="26" t="s">
        <v>34</v>
      </c>
      <c r="AN29" s="29">
        <f>$D$22</f>
        <v>2</v>
      </c>
      <c r="AO29" s="72" t="str">
        <f t="shared" ref="AO29:AO45" si="6">CONCATENATE(AL29," ",AM29," ",AN29)</f>
        <v>N-0 SAIFI 2</v>
      </c>
      <c r="AP29" s="15">
        <f t="shared" si="4"/>
        <v>2.9076722090423552</v>
      </c>
      <c r="AQ29" s="34">
        <f>NPV('Cost Assumptions'!$B$3,'SDG&amp;E'!C30:AD30)</f>
        <v>1.988953558807141E-4</v>
      </c>
    </row>
    <row r="30" spans="1:43" s="66" customFormat="1" x14ac:dyDescent="0.35">
      <c r="A30" s="14" t="s">
        <v>30</v>
      </c>
      <c r="B30" s="26" t="s">
        <v>38</v>
      </c>
      <c r="C30" s="25">
        <f>'Alberhill System Project'!$B51</f>
        <v>694321.87057146919</v>
      </c>
      <c r="D30" s="25">
        <f>'SDG&amp;E'!$B51</f>
        <v>526663.85708479583</v>
      </c>
      <c r="E30" s="25">
        <f>'Valley S to Valley N to Vista'!$B52</f>
        <v>479183.40573156968</v>
      </c>
      <c r="F30" s="25">
        <f>'Centralized BESS in Valley S'!$B51</f>
        <v>3460.9343082916712</v>
      </c>
      <c r="G30" s="25">
        <f>'MiraLoma &amp; Centralized BESS VS'!$B51</f>
        <v>451168.6674474118</v>
      </c>
      <c r="H30" s="25">
        <f>'VS to VN &amp; Distributed BESS VS'!$B52</f>
        <v>479183.40573156968</v>
      </c>
      <c r="I30" s="25">
        <f>Menifee!$B51</f>
        <v>479183.40573156968</v>
      </c>
      <c r="J30" s="25">
        <f>'Mira Loma'!$B51</f>
        <v>451168.6674474118</v>
      </c>
      <c r="K30" s="25">
        <f>'SCE Orange County'!$B51</f>
        <v>557015.63623282954</v>
      </c>
      <c r="L30" s="25">
        <f>'VS to VN &amp; Central BESS VS VN '!$B52</f>
        <v>479183.40573156968</v>
      </c>
      <c r="M30" s="25">
        <f>'VS to VN to VST &amp; Cen BESS VS'!$B52</f>
        <v>479183.40573156968</v>
      </c>
      <c r="N30" s="25">
        <f>'SDG&amp;E and Central BESS in VS'!$B51</f>
        <v>526663.85708479583</v>
      </c>
      <c r="O30" s="25">
        <f>'Valley South to Valley North'!$B52</f>
        <v>479183.40573156968</v>
      </c>
      <c r="P30" s="72"/>
      <c r="Q30" s="72"/>
      <c r="R30" s="72"/>
      <c r="S30" s="72"/>
      <c r="T30" s="72"/>
      <c r="U30" s="72"/>
      <c r="V30" s="72"/>
      <c r="W30" s="72"/>
      <c r="X30" s="72"/>
      <c r="Y30" s="72"/>
      <c r="Z30" s="72"/>
      <c r="AA30" s="72"/>
      <c r="AB30" s="72"/>
      <c r="AC30" s="72"/>
      <c r="AD30" s="72"/>
      <c r="AE30" s="72"/>
      <c r="AF30" s="72"/>
      <c r="AG30" s="72"/>
      <c r="AH30" s="72"/>
      <c r="AI30" s="72"/>
      <c r="AJ30" s="72"/>
      <c r="AK30" s="72"/>
      <c r="AL30" s="14" t="s">
        <v>39</v>
      </c>
      <c r="AM30" s="26" t="s">
        <v>35</v>
      </c>
      <c r="AN30" s="112">
        <f>$D$22</f>
        <v>2</v>
      </c>
      <c r="AO30" s="30" t="str">
        <f t="shared" si="6"/>
        <v>N-0 PFD 2</v>
      </c>
      <c r="AP30" s="31">
        <f t="shared" si="4"/>
        <v>81.900204733986357</v>
      </c>
      <c r="AQ30" s="34">
        <f>NPV('Cost Assumptions'!$B$3,'SDG&amp;E'!C31:AD31)</f>
        <v>7.6277684443854576E-2</v>
      </c>
    </row>
    <row r="31" spans="1:43" x14ac:dyDescent="0.35">
      <c r="A31" s="14" t="s">
        <v>39</v>
      </c>
      <c r="B31" s="26" t="s">
        <v>31</v>
      </c>
      <c r="C31" s="25">
        <f>'Alberhill System Project'!$B52</f>
        <v>3662.4319152534908</v>
      </c>
      <c r="D31" s="25">
        <f>'SDG&amp;E'!$B52</f>
        <v>3662.2030822001593</v>
      </c>
      <c r="E31" s="25">
        <f>'Valley S to Valley N to Vista'!$B53</f>
        <v>3651.1526425215561</v>
      </c>
      <c r="F31" s="25">
        <f>'Centralized BESS in Valley S'!$B52</f>
        <v>3662.4319152534908</v>
      </c>
      <c r="G31" s="25">
        <f>'MiraLoma &amp; Centralized BESS VS'!$B52</f>
        <v>3662.4319152534908</v>
      </c>
      <c r="H31" s="25">
        <f>'VS to VN &amp; Distributed BESS VS'!$B53</f>
        <v>3422.1305658870738</v>
      </c>
      <c r="I31" s="25">
        <f>Menifee!$B52</f>
        <v>3662.4319152534908</v>
      </c>
      <c r="J31" s="25">
        <f>'Mira Loma'!$B52</f>
        <v>3157.2180237848547</v>
      </c>
      <c r="K31" s="25">
        <f>'SCE Orange County'!$B52</f>
        <v>3662.4319152534908</v>
      </c>
      <c r="L31" s="25">
        <f>'VS to VN &amp; Central BESS VS VN '!$B53</f>
        <v>3662.4319152534908</v>
      </c>
      <c r="M31" s="25">
        <f>'VS to VN to VST &amp; Cen BESS VS'!$B53</f>
        <v>3651.1526425215561</v>
      </c>
      <c r="N31" s="25">
        <f>'SDG&amp;E and Central BESS in VS'!$B52</f>
        <v>3662.4319152534908</v>
      </c>
      <c r="O31" s="25">
        <f>'Valley South to Valley North'!$B53</f>
        <v>3422.1305658870738</v>
      </c>
      <c r="P31" s="72"/>
      <c r="Q31" s="72"/>
      <c r="R31" s="72"/>
      <c r="S31" s="72"/>
      <c r="T31" s="72"/>
      <c r="AC31" s="72"/>
      <c r="AD31" s="72"/>
      <c r="AE31" s="72"/>
      <c r="AF31" s="72"/>
      <c r="AI31" s="72"/>
      <c r="AJ31" s="72"/>
      <c r="AK31" s="72"/>
      <c r="AL31" s="14" t="s">
        <v>30</v>
      </c>
      <c r="AM31" s="26" t="s">
        <v>31</v>
      </c>
      <c r="AN31" s="32">
        <f>$E$22</f>
        <v>3</v>
      </c>
      <c r="AO31" s="33" t="str">
        <f t="shared" si="6"/>
        <v>N-1 EENS 3</v>
      </c>
      <c r="AP31" s="34">
        <f>E23</f>
        <v>114.42912412587738</v>
      </c>
      <c r="AQ31" s="34">
        <f>NPV('Cost Assumptions'!$B$3,'Valley S to Valley N to Vista'!C19:AD19)</f>
        <v>894.50051730059943</v>
      </c>
    </row>
    <row r="32" spans="1:43" x14ac:dyDescent="0.35">
      <c r="A32" s="14" t="s">
        <v>39</v>
      </c>
      <c r="B32" s="26" t="s">
        <v>32</v>
      </c>
      <c r="C32" s="25">
        <f>'Alberhill System Project'!$B53</f>
        <v>603.3370677068466</v>
      </c>
      <c r="D32" s="25">
        <f>'SDG&amp;E'!$B53</f>
        <v>603.10823465351496</v>
      </c>
      <c r="E32" s="25">
        <f>'Valley S to Valley N to Vista'!$B54</f>
        <v>597.14277053067747</v>
      </c>
      <c r="F32" s="25">
        <f>'Centralized BESS in Valley S'!$B53</f>
        <v>603.3370677068466</v>
      </c>
      <c r="G32" s="25">
        <f>'MiraLoma &amp; Centralized BESS VS'!$B53</f>
        <v>603.3370677068466</v>
      </c>
      <c r="H32" s="25">
        <f>'VS to VN &amp; Distributed BESS VS'!$B54</f>
        <v>527.31679336051275</v>
      </c>
      <c r="I32" s="25">
        <f>Menifee!$B53</f>
        <v>603.3370677068466</v>
      </c>
      <c r="J32" s="25">
        <f>'Mira Loma'!$B53</f>
        <v>493.89069312550362</v>
      </c>
      <c r="K32" s="25">
        <f>'SCE Orange County'!$B53</f>
        <v>603.3370677068466</v>
      </c>
      <c r="L32" s="25">
        <f>'VS to VN &amp; Central BESS VS VN '!$B54</f>
        <v>603.3370677068466</v>
      </c>
      <c r="M32" s="25">
        <f>'VS to VN to VST &amp; Cen BESS VS'!$B54</f>
        <v>597.14277053067747</v>
      </c>
      <c r="N32" s="25">
        <f>'SDG&amp;E and Central BESS in VS'!$B53</f>
        <v>603.3370677068466</v>
      </c>
      <c r="O32" s="25">
        <f>'Valley South to Valley North'!$B54</f>
        <v>527.31679336051275</v>
      </c>
      <c r="P32" s="72"/>
      <c r="Q32" s="72"/>
      <c r="R32" s="72"/>
      <c r="S32" s="72"/>
      <c r="T32" s="72"/>
      <c r="AC32" s="72"/>
      <c r="AD32" s="72"/>
      <c r="AE32" s="72"/>
      <c r="AF32" s="72"/>
      <c r="AI32" s="72"/>
      <c r="AJ32" s="72"/>
      <c r="AK32" s="72"/>
      <c r="AL32" s="14" t="s">
        <v>30</v>
      </c>
      <c r="AM32" s="26" t="s">
        <v>32</v>
      </c>
      <c r="AN32" s="29">
        <f>$E$22</f>
        <v>3</v>
      </c>
      <c r="AO32" s="72" t="str">
        <f t="shared" si="6"/>
        <v>N-1 IP 3</v>
      </c>
      <c r="AP32" s="15">
        <f>E24</f>
        <v>-30.412621955669433</v>
      </c>
      <c r="AQ32" s="34">
        <f>NPV('Cost Assumptions'!$B$3,'Valley S to Valley N to Vista'!C20:AD20)</f>
        <v>130.58329502878198</v>
      </c>
    </row>
    <row r="33" spans="1:43" x14ac:dyDescent="0.35">
      <c r="A33" s="14" t="s">
        <v>39</v>
      </c>
      <c r="B33" s="26" t="s">
        <v>33</v>
      </c>
      <c r="C33" s="25">
        <f>'Alberhill System Project'!$B54</f>
        <v>54.089806048569208</v>
      </c>
      <c r="D33" s="25">
        <f>'SDG&amp;E'!$B54</f>
        <v>54.089607153213329</v>
      </c>
      <c r="E33" s="25">
        <f>'Valley S to Valley N to Vista'!$B55</f>
        <v>54.04155031700688</v>
      </c>
      <c r="F33" s="25">
        <f>'Centralized BESS in Valley S'!$B54</f>
        <v>54.089806048569208</v>
      </c>
      <c r="G33" s="25">
        <f>'MiraLoma &amp; Centralized BESS VS'!$B54</f>
        <v>54.089806048569208</v>
      </c>
      <c r="H33" s="25">
        <f>'VS to VN &amp; Distributed BESS VS'!$B55</f>
        <v>49.08328766658186</v>
      </c>
      <c r="I33" s="25">
        <f>Menifee!$B54</f>
        <v>54.089806048569208</v>
      </c>
      <c r="J33" s="25">
        <f>'Mira Loma'!$B54</f>
        <v>37.870600906383466</v>
      </c>
      <c r="K33" s="25">
        <f>'SCE Orange County'!$B54</f>
        <v>54.089806048569208</v>
      </c>
      <c r="L33" s="25">
        <f>'VS to VN &amp; Central BESS VS VN '!$B55</f>
        <v>54.089806048569208</v>
      </c>
      <c r="M33" s="25">
        <f>'VS to VN to VST &amp; Cen BESS VS'!$B55</f>
        <v>54.04155031700688</v>
      </c>
      <c r="N33" s="25">
        <f>'SDG&amp;E and Central BESS in VS'!$B54</f>
        <v>54.089806048569208</v>
      </c>
      <c r="O33" s="25">
        <f>'Valley South to Valley North'!$B55</f>
        <v>49.08328766658186</v>
      </c>
      <c r="P33" s="72"/>
      <c r="Q33" s="72"/>
      <c r="R33" s="72"/>
      <c r="S33" s="72"/>
      <c r="T33" s="72"/>
      <c r="AC33" s="72"/>
      <c r="AD33" s="72"/>
      <c r="AE33" s="72"/>
      <c r="AF33" s="72"/>
      <c r="AI33" s="72"/>
      <c r="AJ33" s="72"/>
      <c r="AK33" s="72"/>
      <c r="AL33" s="14" t="s">
        <v>30</v>
      </c>
      <c r="AM33" s="26" t="s">
        <v>33</v>
      </c>
      <c r="AN33" s="29">
        <f>$E$22</f>
        <v>3</v>
      </c>
      <c r="AO33" s="72" t="str">
        <f t="shared" si="6"/>
        <v>N-1 SAIDI 3</v>
      </c>
      <c r="AP33" s="15">
        <f>E25</f>
        <v>54.408682117250308</v>
      </c>
      <c r="AQ33" s="34">
        <f>NPV('Cost Assumptions'!$B$3,'Valley S to Valley N to Vista'!C21:AD21)</f>
        <v>18.92795271999983</v>
      </c>
    </row>
    <row r="34" spans="1:43" x14ac:dyDescent="0.35">
      <c r="A34" s="14" t="s">
        <v>39</v>
      </c>
      <c r="B34" s="26" t="s">
        <v>34</v>
      </c>
      <c r="C34" s="25">
        <f>'Alberhill System Project'!$B55</f>
        <v>2.9078711043982364</v>
      </c>
      <c r="D34" s="25">
        <f>'SDG&amp;E'!$B55</f>
        <v>2.9076722090423552</v>
      </c>
      <c r="E34" s="25">
        <f>'Valley S to Valley N to Vista'!$B56</f>
        <v>2.8980604518504158</v>
      </c>
      <c r="F34" s="25">
        <f>'Centralized BESS in Valley S'!$B55</f>
        <v>2.9078711043982364</v>
      </c>
      <c r="G34" s="25">
        <f>'MiraLoma &amp; Centralized BESS VS'!$B55</f>
        <v>2.9078711043982364</v>
      </c>
      <c r="H34" s="25">
        <f>'VS to VN &amp; Distributed BESS VS'!$B56</f>
        <v>2.6067895419981455</v>
      </c>
      <c r="I34" s="25">
        <f>Menifee!$B55</f>
        <v>2.9078711043982364</v>
      </c>
      <c r="J34" s="25">
        <f>'Mira Loma'!$B55</f>
        <v>2.1995851575739627</v>
      </c>
      <c r="K34" s="25">
        <f>'SCE Orange County'!$B55</f>
        <v>2.9078711043982364</v>
      </c>
      <c r="L34" s="25">
        <f>'VS to VN &amp; Central BESS VS VN '!$B56</f>
        <v>2.9078711043982364</v>
      </c>
      <c r="M34" s="25">
        <f>'VS to VN to VST &amp; Cen BESS VS'!$B56</f>
        <v>2.8980604518504158</v>
      </c>
      <c r="N34" s="25">
        <f>'SDG&amp;E and Central BESS in VS'!$B55</f>
        <v>2.9078711043982364</v>
      </c>
      <c r="O34" s="25">
        <f>'Valley South to Valley North'!$B56</f>
        <v>2.6067895419981455</v>
      </c>
      <c r="P34" s="72"/>
      <c r="Q34" s="72"/>
      <c r="R34" s="72"/>
      <c r="S34" s="72"/>
      <c r="T34" s="72"/>
      <c r="AC34" s="72"/>
      <c r="AD34" s="72"/>
      <c r="AE34" s="72"/>
      <c r="AF34" s="72"/>
      <c r="AI34" s="72"/>
      <c r="AJ34" s="72"/>
      <c r="AK34" s="72"/>
      <c r="AL34" s="14" t="s">
        <v>30</v>
      </c>
      <c r="AM34" s="26" t="s">
        <v>34</v>
      </c>
      <c r="AN34" s="29">
        <f>$E$22</f>
        <v>3</v>
      </c>
      <c r="AO34" s="72" t="str">
        <f t="shared" si="6"/>
        <v>N-1 SAIFI 3</v>
      </c>
      <c r="AP34" s="15">
        <f>E26</f>
        <v>0.65104463482712971</v>
      </c>
      <c r="AQ34" s="34">
        <f>NPV('Cost Assumptions'!$B$3,'Valley S to Valley N to Vista'!C22:AD22)</f>
        <v>0.82112621785714313</v>
      </c>
    </row>
    <row r="35" spans="1:43" ht="14.5" customHeight="1" x14ac:dyDescent="0.35">
      <c r="A35" s="14" t="s">
        <v>39</v>
      </c>
      <c r="B35" s="26" t="s">
        <v>35</v>
      </c>
      <c r="C35" s="25">
        <f>'Alberhill System Project'!$B56</f>
        <v>81.976482418430209</v>
      </c>
      <c r="D35" s="25">
        <f>'SDG&amp;E'!$B56</f>
        <v>81.900204733986357</v>
      </c>
      <c r="E35" s="25">
        <f>'Valley S to Valley N to Vista'!$B57</f>
        <v>80.97055774187946</v>
      </c>
      <c r="F35" s="25">
        <f>'Centralized BESS in Valley S'!$B56</f>
        <v>81.976482418430209</v>
      </c>
      <c r="G35" s="25">
        <f>'MiraLoma &amp; Centralized BESS VS'!$B56</f>
        <v>81.976482418430209</v>
      </c>
      <c r="H35" s="25">
        <f>'VS to VN &amp; Distributed BESS VS'!$B57</f>
        <v>73.897420709513568</v>
      </c>
      <c r="I35" s="25">
        <f>Menifee!$B56</f>
        <v>81.976482418430209</v>
      </c>
      <c r="J35" s="25">
        <f>'Mira Loma'!$B56</f>
        <v>74.726559069274231</v>
      </c>
      <c r="K35" s="25">
        <f>'SCE Orange County'!$B56</f>
        <v>81.976482418430209</v>
      </c>
      <c r="L35" s="25">
        <f>'VS to VN &amp; Central BESS VS VN '!$B57</f>
        <v>81.976482418430209</v>
      </c>
      <c r="M35" s="25">
        <f>'VS to VN to VST &amp; Cen BESS VS'!$B57</f>
        <v>80.97055774187946</v>
      </c>
      <c r="N35" s="25">
        <f>'SDG&amp;E and Central BESS in VS'!$B56</f>
        <v>81.976482418430209</v>
      </c>
      <c r="O35" s="25">
        <f>'Valley South to Valley North'!$B57</f>
        <v>73.897420709513568</v>
      </c>
      <c r="P35" s="72"/>
      <c r="Q35" s="72"/>
      <c r="R35" s="72"/>
      <c r="S35" s="72"/>
      <c r="T35" s="72"/>
      <c r="AC35" s="72"/>
      <c r="AD35" s="72"/>
      <c r="AE35" s="72"/>
      <c r="AF35" s="72"/>
      <c r="AI35" s="72"/>
      <c r="AJ35" s="72"/>
      <c r="AK35" s="72"/>
      <c r="AL35" s="14" t="s">
        <v>30</v>
      </c>
      <c r="AM35" s="26" t="s">
        <v>35</v>
      </c>
      <c r="AN35" s="29">
        <f>$E$22</f>
        <v>3</v>
      </c>
      <c r="AO35" s="72" t="str">
        <f t="shared" si="6"/>
        <v>N-1 PFD 3</v>
      </c>
      <c r="AP35" s="15">
        <f>E27</f>
        <v>225.53030430590292</v>
      </c>
      <c r="AQ35" s="34">
        <f>NPV('Cost Assumptions'!$B$3,'Valley S to Valley N to Vista'!C23:AD23)</f>
        <v>90.427789909742458</v>
      </c>
    </row>
    <row r="36" spans="1:43" s="72" customFormat="1" ht="14.5" customHeight="1" x14ac:dyDescent="0.35">
      <c r="A36" s="76"/>
      <c r="B36" s="77"/>
      <c r="C36" s="78"/>
      <c r="D36" s="78"/>
      <c r="E36" s="78"/>
      <c r="F36" s="78"/>
      <c r="G36" s="78"/>
      <c r="H36" s="78"/>
      <c r="I36" s="78"/>
      <c r="J36" s="78"/>
      <c r="K36" s="78"/>
      <c r="L36" s="78"/>
      <c r="M36" s="78"/>
      <c r="N36" s="78"/>
      <c r="O36" s="78"/>
      <c r="AL36" s="14"/>
      <c r="AM36" s="26"/>
      <c r="AN36" s="29"/>
      <c r="AP36" s="15"/>
      <c r="AQ36" s="34"/>
    </row>
    <row r="37" spans="1:43" s="72" customFormat="1" x14ac:dyDescent="0.35">
      <c r="AL37" s="14"/>
      <c r="AM37" s="26"/>
      <c r="AN37" s="29"/>
      <c r="AP37" s="15"/>
      <c r="AQ37" s="34"/>
    </row>
    <row r="38" spans="1:43" s="72" customFormat="1" x14ac:dyDescent="0.35">
      <c r="A38" s="76"/>
      <c r="B38" s="77"/>
      <c r="C38" s="79"/>
      <c r="D38" s="79"/>
      <c r="E38" s="79"/>
      <c r="F38" s="79"/>
      <c r="G38" s="79"/>
      <c r="H38" s="79"/>
      <c r="I38" s="79"/>
      <c r="J38" s="79"/>
      <c r="K38" s="79"/>
      <c r="L38" s="79"/>
      <c r="M38" s="79"/>
      <c r="N38" s="79"/>
      <c r="O38" s="79"/>
      <c r="AL38" s="14"/>
      <c r="AM38" s="26"/>
      <c r="AN38" s="29"/>
      <c r="AP38" s="15"/>
      <c r="AQ38" s="34"/>
    </row>
    <row r="39" spans="1:43" x14ac:dyDescent="0.35">
      <c r="A39" s="72"/>
      <c r="B39" s="72"/>
      <c r="C39" s="72"/>
      <c r="D39" s="72"/>
      <c r="E39" s="72"/>
      <c r="F39" s="72"/>
      <c r="G39" s="72"/>
      <c r="H39" s="72"/>
      <c r="I39" s="72"/>
      <c r="J39" s="72"/>
      <c r="K39" s="72"/>
      <c r="L39" s="72"/>
      <c r="M39" s="72"/>
      <c r="N39" s="72"/>
      <c r="O39" s="72"/>
      <c r="P39" s="72"/>
      <c r="Q39" s="72"/>
      <c r="R39" s="72"/>
      <c r="S39" s="72"/>
      <c r="T39" s="72"/>
      <c r="AC39" s="72"/>
      <c r="AD39" s="72"/>
      <c r="AE39" s="72"/>
      <c r="AF39" s="72"/>
      <c r="AI39" s="72"/>
      <c r="AJ39" s="72"/>
      <c r="AK39" s="72"/>
      <c r="AL39" s="14" t="s">
        <v>30</v>
      </c>
      <c r="AM39" s="26" t="s">
        <v>36</v>
      </c>
      <c r="AN39" s="29">
        <f t="shared" ref="AN39:AN46" si="7">$E$22</f>
        <v>3</v>
      </c>
      <c r="AO39" s="72" t="str">
        <f t="shared" si="6"/>
        <v>N-1 Available Flex-1 3</v>
      </c>
      <c r="AP39" s="15">
        <f t="shared" ref="AP39:AP46" si="8">E28</f>
        <v>39141.445534236278</v>
      </c>
      <c r="AQ39" s="34">
        <f>NPV('Cost Assumptions'!$B$3,'Valley S to Valley N to Vista'!C24:AD24)</f>
        <v>94564.600630018191</v>
      </c>
    </row>
    <row r="40" spans="1:43" ht="20.5" hidden="1" customHeight="1" thickBot="1" x14ac:dyDescent="0.5">
      <c r="A40" s="134" t="s">
        <v>41</v>
      </c>
      <c r="B40" s="134"/>
      <c r="C40" s="134"/>
      <c r="D40" s="134"/>
      <c r="E40" s="134"/>
      <c r="F40" s="134"/>
      <c r="G40" s="134"/>
      <c r="H40" s="134"/>
      <c r="I40" s="134"/>
      <c r="J40" s="134"/>
      <c r="K40" s="134"/>
      <c r="L40" s="134"/>
      <c r="M40" s="134"/>
      <c r="N40" s="134"/>
      <c r="O40" s="134"/>
      <c r="P40" s="134"/>
      <c r="Q40" s="72"/>
      <c r="R40" s="72"/>
      <c r="S40" s="72"/>
      <c r="T40" s="72"/>
      <c r="AC40" s="72"/>
      <c r="AD40" s="72"/>
      <c r="AE40" s="72"/>
      <c r="AF40" s="72"/>
      <c r="AI40" s="72"/>
      <c r="AJ40" s="72"/>
      <c r="AK40" s="72"/>
      <c r="AL40" s="14" t="s">
        <v>30</v>
      </c>
      <c r="AM40" s="26" t="s">
        <v>37</v>
      </c>
      <c r="AN40" s="29">
        <f t="shared" si="7"/>
        <v>3</v>
      </c>
      <c r="AO40" s="72" t="str">
        <f t="shared" si="6"/>
        <v>N-1 Available Flex-2-1 3</v>
      </c>
      <c r="AP40" s="15">
        <f t="shared" si="8"/>
        <v>0</v>
      </c>
      <c r="AQ40" s="34">
        <f>NPV('Cost Assumptions'!$B$3,'Valley S to Valley N to Vista'!C25:AD25)</f>
        <v>1860107.0444963297</v>
      </c>
    </row>
    <row r="41" spans="1:43" ht="18" hidden="1" customHeight="1" thickTop="1" x14ac:dyDescent="0.4">
      <c r="A41" s="128"/>
      <c r="B41" s="128"/>
      <c r="C41" s="128"/>
      <c r="D41" s="128"/>
      <c r="E41" s="128"/>
      <c r="F41" s="128"/>
      <c r="G41" s="128"/>
      <c r="H41" s="128"/>
      <c r="I41" s="128"/>
      <c r="J41" s="128"/>
      <c r="K41" s="128"/>
      <c r="L41" s="128"/>
      <c r="M41" s="128"/>
      <c r="N41" s="128"/>
      <c r="O41" s="128"/>
      <c r="P41" s="128"/>
      <c r="Q41" s="72"/>
      <c r="R41" s="72"/>
      <c r="S41" s="72"/>
      <c r="T41" s="72"/>
      <c r="AC41" s="72"/>
      <c r="AD41" s="72"/>
      <c r="AE41" s="72"/>
      <c r="AF41" s="72"/>
      <c r="AI41" s="72"/>
      <c r="AJ41" s="72"/>
      <c r="AK41" s="72"/>
      <c r="AL41" s="14" t="s">
        <v>30</v>
      </c>
      <c r="AM41" s="26" t="s">
        <v>38</v>
      </c>
      <c r="AN41" s="29">
        <f t="shared" si="7"/>
        <v>3</v>
      </c>
      <c r="AO41" s="72" t="str">
        <f t="shared" si="6"/>
        <v>N-1 Available Flex-2-2 3</v>
      </c>
      <c r="AP41" s="15">
        <f t="shared" si="8"/>
        <v>479183.40573156968</v>
      </c>
      <c r="AQ41" s="34">
        <f>NPV('Cost Assumptions'!$B$3,'Valley S to Valley N to Vista'!C26:AD26)</f>
        <v>215138.46483989974</v>
      </c>
    </row>
    <row r="42" spans="1:43" ht="14.5" hidden="1" customHeight="1" x14ac:dyDescent="0.35">
      <c r="A42" s="146" t="str">
        <f>A22</f>
        <v>Category</v>
      </c>
      <c r="B42" s="147"/>
      <c r="C42" s="118">
        <f>A4</f>
        <v>0</v>
      </c>
      <c r="D42" s="118">
        <f>A5</f>
        <v>6</v>
      </c>
      <c r="E42" s="118">
        <f>A6</f>
        <v>13</v>
      </c>
      <c r="F42" s="118">
        <f>A7</f>
        <v>10</v>
      </c>
      <c r="G42" s="118">
        <f>A8</f>
        <v>3</v>
      </c>
      <c r="H42" s="118">
        <f>A9</f>
        <v>11</v>
      </c>
      <c r="I42" s="118">
        <f>A10</f>
        <v>8</v>
      </c>
      <c r="J42" s="118">
        <f>A11</f>
        <v>7</v>
      </c>
      <c r="K42" s="118">
        <f>A12</f>
        <v>4</v>
      </c>
      <c r="L42" s="118">
        <f>A13</f>
        <v>5</v>
      </c>
      <c r="M42" s="118">
        <f>A14</f>
        <v>2</v>
      </c>
      <c r="N42" s="118">
        <f>A15</f>
        <v>12</v>
      </c>
      <c r="O42" s="118">
        <f>A16</f>
        <v>1</v>
      </c>
      <c r="P42" s="118">
        <f>A17</f>
        <v>9</v>
      </c>
      <c r="Q42" s="72"/>
      <c r="R42" s="72"/>
      <c r="S42" s="72"/>
      <c r="T42" s="72"/>
      <c r="AC42" s="72"/>
      <c r="AD42" s="72"/>
      <c r="AE42" s="72"/>
      <c r="AF42" s="72"/>
      <c r="AI42" s="72"/>
      <c r="AJ42" s="72"/>
      <c r="AK42" s="72"/>
      <c r="AL42" s="14" t="s">
        <v>39</v>
      </c>
      <c r="AM42" s="26" t="s">
        <v>31</v>
      </c>
      <c r="AN42" s="29">
        <f t="shared" si="7"/>
        <v>3</v>
      </c>
      <c r="AO42" s="72" t="str">
        <f t="shared" si="6"/>
        <v>N-0 EENS 3</v>
      </c>
      <c r="AP42" s="15">
        <f t="shared" si="8"/>
        <v>3651.1526425215561</v>
      </c>
      <c r="AQ42" s="34">
        <f>NPV('Cost Assumptions'!$B$3,'Valley S to Valley N to Vista'!C28:AD28)</f>
        <v>11.279272731934148</v>
      </c>
    </row>
    <row r="43" spans="1:43" ht="15.65" hidden="1" customHeight="1" thickBot="1" x14ac:dyDescent="0.4">
      <c r="A43" s="72"/>
      <c r="B43" s="72"/>
      <c r="C43" s="72"/>
      <c r="D43" s="72"/>
      <c r="E43" s="72"/>
      <c r="F43" s="72"/>
      <c r="G43" s="72"/>
      <c r="H43" s="72"/>
      <c r="I43" s="72"/>
      <c r="J43" s="72"/>
      <c r="K43" s="72"/>
      <c r="L43" s="72"/>
      <c r="M43" s="72"/>
      <c r="N43" s="72"/>
      <c r="O43" s="72"/>
      <c r="P43" s="72"/>
      <c r="Q43" s="72"/>
      <c r="R43" s="72"/>
      <c r="S43" s="72"/>
      <c r="T43" s="72"/>
      <c r="AC43" s="72"/>
      <c r="AD43" s="72"/>
      <c r="AE43" s="72"/>
      <c r="AF43" s="72"/>
      <c r="AI43" s="72"/>
      <c r="AJ43" s="72"/>
      <c r="AK43" s="72"/>
      <c r="AL43" s="14" t="s">
        <v>39</v>
      </c>
      <c r="AM43" s="26" t="s">
        <v>32</v>
      </c>
      <c r="AN43" s="29">
        <f t="shared" si="7"/>
        <v>3</v>
      </c>
      <c r="AO43" s="72" t="str">
        <f t="shared" si="6"/>
        <v>N-0 IP 3</v>
      </c>
      <c r="AP43" s="15">
        <f t="shared" si="8"/>
        <v>597.14277053067747</v>
      </c>
      <c r="AQ43" s="34">
        <f>NPV('Cost Assumptions'!$B$3,'Valley S to Valley N to Vista'!C29:AD29)</f>
        <v>6.1942971761690186</v>
      </c>
    </row>
    <row r="44" spans="1:43" ht="15" hidden="1" customHeight="1" thickBot="1" x14ac:dyDescent="0.4">
      <c r="A44" s="72"/>
      <c r="B44" s="72"/>
      <c r="C44" s="72"/>
      <c r="D44" s="72"/>
      <c r="E44" s="72"/>
      <c r="F44" s="72"/>
      <c r="G44" s="72"/>
      <c r="H44" s="72"/>
      <c r="I44" s="72"/>
      <c r="J44" s="72"/>
      <c r="K44" s="72"/>
      <c r="L44" s="72"/>
      <c r="M44" s="72"/>
      <c r="N44" s="72"/>
      <c r="O44" s="72"/>
      <c r="P44" s="72"/>
      <c r="Q44" s="72"/>
      <c r="R44" s="72"/>
      <c r="S44" s="72"/>
      <c r="T44" s="72"/>
      <c r="AC44" s="72"/>
      <c r="AD44" s="72"/>
      <c r="AE44" s="72"/>
      <c r="AF44" s="72"/>
      <c r="AI44" s="72"/>
      <c r="AJ44" s="72"/>
      <c r="AK44" s="72"/>
      <c r="AL44" s="14" t="s">
        <v>39</v>
      </c>
      <c r="AM44" s="26" t="s">
        <v>33</v>
      </c>
      <c r="AN44" s="29">
        <f t="shared" si="7"/>
        <v>3</v>
      </c>
      <c r="AO44" s="72" t="str">
        <f t="shared" si="6"/>
        <v>N-0 SAIDI 3</v>
      </c>
      <c r="AP44" s="15">
        <f t="shared" si="8"/>
        <v>54.04155031700688</v>
      </c>
      <c r="AQ44" s="34">
        <f>NPV('Cost Assumptions'!$B$3,'Valley S to Valley N to Vista'!C30:AD30)</f>
        <v>4.8255731562328638E-2</v>
      </c>
    </row>
    <row r="45" spans="1:43" ht="19.5" x14ac:dyDescent="0.45">
      <c r="A45" s="140" t="s">
        <v>27</v>
      </c>
      <c r="B45" s="141"/>
      <c r="C45" s="148" t="s">
        <v>42</v>
      </c>
      <c r="D45" s="149"/>
      <c r="E45" s="149"/>
      <c r="F45" s="149"/>
      <c r="G45" s="149"/>
      <c r="H45" s="149"/>
      <c r="I45" s="149"/>
      <c r="J45" s="149"/>
      <c r="K45" s="149"/>
      <c r="L45" s="149"/>
      <c r="M45" s="149"/>
      <c r="N45" s="149"/>
      <c r="O45" s="149"/>
      <c r="P45" s="149"/>
      <c r="Q45" s="149"/>
      <c r="R45" s="149"/>
      <c r="S45" s="149"/>
      <c r="T45" s="150"/>
      <c r="U45" s="85"/>
      <c r="V45" s="85"/>
      <c r="W45" s="85"/>
      <c r="X45" s="85"/>
      <c r="Y45" s="85"/>
      <c r="Z45" s="85"/>
      <c r="AA45" s="85"/>
      <c r="AB45" s="85"/>
      <c r="AC45" s="135" t="s">
        <v>43</v>
      </c>
      <c r="AD45" s="72"/>
      <c r="AE45" s="72"/>
      <c r="AF45" s="72"/>
      <c r="AI45" s="72"/>
      <c r="AJ45" s="72"/>
      <c r="AK45" s="72"/>
      <c r="AL45" s="14" t="s">
        <v>39</v>
      </c>
      <c r="AM45" s="26" t="s">
        <v>34</v>
      </c>
      <c r="AN45" s="29">
        <f t="shared" si="7"/>
        <v>3</v>
      </c>
      <c r="AO45" s="72" t="str">
        <f t="shared" si="6"/>
        <v>N-0 SAIFI 3</v>
      </c>
      <c r="AP45" s="15">
        <f t="shared" si="8"/>
        <v>2.8980604518504158</v>
      </c>
      <c r="AQ45" s="34">
        <f>NPV('Cost Assumptions'!$B$3,'Valley S to Valley N to Vista'!C31:AD31)</f>
        <v>9.8106525478203373E-3</v>
      </c>
    </row>
    <row r="46" spans="1:43" ht="16.5" customHeight="1" x14ac:dyDescent="0.35">
      <c r="A46" s="142"/>
      <c r="B46" s="143"/>
      <c r="C46" s="124" t="str">
        <f>$C$47&amp;" --&gt; "&amp;$D$47</f>
        <v>0 --&gt; 6</v>
      </c>
      <c r="D46" s="125"/>
      <c r="E46" s="124" t="str">
        <f>$E$47&amp;" --&gt; "&amp;$F$47</f>
        <v>6 --&gt; 13</v>
      </c>
      <c r="F46" s="125"/>
      <c r="G46" s="124" t="str">
        <f>$G$47&amp;" --&gt; "&amp;$H$47</f>
        <v>6 --&gt; 10</v>
      </c>
      <c r="H46" s="125"/>
      <c r="I46" s="124" t="str">
        <f>$I$47&amp;" --&gt; "&amp;$J$47</f>
        <v>10 --&gt; 3</v>
      </c>
      <c r="J46" s="125"/>
      <c r="K46" s="124" t="str">
        <f>$K$47&amp;" --&gt; "&amp;$L$47</f>
        <v>10 --&gt; 11</v>
      </c>
      <c r="L46" s="125"/>
      <c r="M46" s="124" t="str">
        <f>$M$47&amp;" --&gt; "&amp;$N$47</f>
        <v>10 --&gt; 8</v>
      </c>
      <c r="N46" s="125"/>
      <c r="O46" s="124" t="str">
        <f>$O$47&amp;" --&gt; "&amp;$P$47</f>
        <v>8 --&gt; 7</v>
      </c>
      <c r="P46" s="125"/>
      <c r="Q46" s="124" t="str">
        <f>$Q$47&amp;" --&gt; "&amp;$R$47</f>
        <v>8 --&gt; 4</v>
      </c>
      <c r="R46" s="125"/>
      <c r="S46" s="124" t="str">
        <f>$S$47&amp;" --&gt; "&amp;$T$47</f>
        <v>8 --&gt; 5</v>
      </c>
      <c r="T46" s="125"/>
      <c r="U46" s="124" t="str">
        <f>$U$47&amp;" --&gt; "&amp;$V$47</f>
        <v>8 --&gt; 2</v>
      </c>
      <c r="V46" s="125"/>
      <c r="W46" s="124" t="str">
        <f>$W$47&amp;" --&gt; "&amp;$X$47</f>
        <v>8 --&gt; 12</v>
      </c>
      <c r="X46" s="125"/>
      <c r="Y46" s="124" t="str">
        <f>$Y$47&amp;" --&gt; "&amp;$Z$47</f>
        <v>8 --&gt; 1</v>
      </c>
      <c r="Z46" s="125"/>
      <c r="AA46" s="124" t="str">
        <f>$AA$47&amp;" --&gt; "&amp;$AB$47</f>
        <v>1 --&gt; 9</v>
      </c>
      <c r="AB46" s="125"/>
      <c r="AC46" s="136"/>
      <c r="AD46" s="72"/>
      <c r="AE46" s="72"/>
      <c r="AF46" s="72"/>
      <c r="AI46" s="72"/>
      <c r="AJ46" s="72"/>
      <c r="AK46" s="72"/>
      <c r="AL46" s="14" t="s">
        <v>39</v>
      </c>
      <c r="AM46" s="26" t="s">
        <v>35</v>
      </c>
      <c r="AN46" s="112">
        <f t="shared" si="7"/>
        <v>3</v>
      </c>
      <c r="AO46" s="30" t="str">
        <f t="shared" si="2"/>
        <v>N-0 PFD 3</v>
      </c>
      <c r="AP46" s="31">
        <f t="shared" si="8"/>
        <v>80.97055774187946</v>
      </c>
      <c r="AQ46" s="34">
        <f>NPV('Cost Assumptions'!$B$3,'Valley S to Valley N to Vista'!C32:AD32)</f>
        <v>1.0059246765507397</v>
      </c>
    </row>
    <row r="47" spans="1:43" ht="15" customHeight="1" x14ac:dyDescent="0.35">
      <c r="A47" s="144"/>
      <c r="B47" s="145"/>
      <c r="C47" s="115">
        <f>$A$4</f>
        <v>0</v>
      </c>
      <c r="D47" s="115">
        <f>$A5</f>
        <v>6</v>
      </c>
      <c r="E47" s="115">
        <f>IF(C61="Y",$D$47,$C$47)</f>
        <v>6</v>
      </c>
      <c r="F47" s="115">
        <f>IF(C61="Y",$A$6,$A$6)</f>
        <v>13</v>
      </c>
      <c r="G47" s="115">
        <f>IF(E61="Y",$F$47,$E$47)</f>
        <v>6</v>
      </c>
      <c r="H47" s="115">
        <f>IF(E61="Y",$A$7,$A$7)</f>
        <v>10</v>
      </c>
      <c r="I47" s="115">
        <f>IF(G61="Y",$H$47,$G$47)</f>
        <v>10</v>
      </c>
      <c r="J47" s="115">
        <f>IF(G61="Y",$A$8,$A$8)</f>
        <v>3</v>
      </c>
      <c r="K47" s="115">
        <f>IF(I61="Y",$J$47,$I$47)</f>
        <v>10</v>
      </c>
      <c r="L47" s="115">
        <f>IF(I61="Y",$A$9,$A$9)</f>
        <v>11</v>
      </c>
      <c r="M47" s="115">
        <f>IF(K61="Y",$L$47,$K$47)</f>
        <v>10</v>
      </c>
      <c r="N47" s="115">
        <f>IF(K61="Y",$A$10,$A$10)</f>
        <v>8</v>
      </c>
      <c r="O47" s="115">
        <f>IF(M61="Y",$N$47,$M$47)</f>
        <v>8</v>
      </c>
      <c r="P47" s="115">
        <f>IF(M61="Y",$A$11,$A$11)</f>
        <v>7</v>
      </c>
      <c r="Q47" s="115">
        <f>IF(O61="Y",$P$47,$O$47)</f>
        <v>8</v>
      </c>
      <c r="R47" s="115">
        <f>IF(O61="Y",$A$12,$A$12)</f>
        <v>4</v>
      </c>
      <c r="S47" s="115">
        <f>IF(Q61="Y",$R$47,$Q$47)</f>
        <v>8</v>
      </c>
      <c r="T47" s="115">
        <f>IF(Q61="Y",$A$13,$A$13)</f>
        <v>5</v>
      </c>
      <c r="U47" s="115">
        <f>IF(S61="Y",$T$47,$S$47)</f>
        <v>8</v>
      </c>
      <c r="V47" s="115">
        <f>IF(S61="Y",$A$14,$A$14)</f>
        <v>2</v>
      </c>
      <c r="W47" s="115">
        <f>IF(U61="Y",$V$47,$U$47)</f>
        <v>8</v>
      </c>
      <c r="X47" s="115">
        <f>IF(U61="Y",$A$15,$A$15)</f>
        <v>12</v>
      </c>
      <c r="Y47" s="115">
        <f>IF(W61="Y",$X$47,$W$47)</f>
        <v>8</v>
      </c>
      <c r="Z47" s="115">
        <f>IF(W61="Y",$A$16,$A$16)</f>
        <v>1</v>
      </c>
      <c r="AA47" s="115">
        <f>IF(Y61="Y",$Z$47,$Y$47)</f>
        <v>1</v>
      </c>
      <c r="AB47" s="115">
        <f>IF(Y61="Y",$A$17,$A$17)</f>
        <v>9</v>
      </c>
      <c r="AC47" s="137"/>
      <c r="AD47" s="72"/>
      <c r="AE47" s="72"/>
      <c r="AF47" s="72"/>
      <c r="AI47" s="72"/>
      <c r="AJ47" s="72"/>
      <c r="AK47" s="72"/>
      <c r="AL47" s="14" t="s">
        <v>30</v>
      </c>
      <c r="AM47" s="26" t="s">
        <v>31</v>
      </c>
      <c r="AN47" s="32">
        <f t="shared" ref="AN47:AN59" si="9">$F$22</f>
        <v>4</v>
      </c>
      <c r="AO47" s="33" t="str">
        <f t="shared" si="2"/>
        <v>N-1 EENS 4</v>
      </c>
      <c r="AP47" s="34">
        <f t="shared" ref="AP47:AP59" si="10">F23</f>
        <v>1008.9296414264766</v>
      </c>
      <c r="AQ47" s="34">
        <f>NPV('Cost Assumptions'!$B$3,'Centralized BESS in Valley S'!C19:AD19)</f>
        <v>0</v>
      </c>
    </row>
    <row r="48" spans="1:43" x14ac:dyDescent="0.35">
      <c r="A48" s="80" t="str">
        <f t="shared" ref="A48:A60" si="11">AL73</f>
        <v>N-1</v>
      </c>
      <c r="B48" s="26" t="str">
        <f t="shared" ref="B48:B60" si="12">AM73</f>
        <v>EENS</v>
      </c>
      <c r="C48" s="126">
        <f t="shared" ref="C48:C60" si="13">(VLOOKUP(CONCATENATE($A48," ",$B48," ",$D$47),AO:AQ,3,FALSE)-VLOOKUP(CONCATENATE($A48," ",$B48," ",$C$47),AO:AQ,3,FALSE))/(VLOOKUP($D$47,$A$3:$D$17,3,FALSE)-(VLOOKUP($C$47,$A$3:$D$17,3,FALSE)))</f>
        <v>-0.61853580608582237</v>
      </c>
      <c r="D48" s="126"/>
      <c r="E48" s="126">
        <f t="shared" ref="E48:E60" si="14">(VLOOKUP(CONCATENATE($A48," ",$B48," ",$F$47),$AO:$AQ,3,FALSE)-VLOOKUP(CONCATENATE($A48," ",$B48," ",$E$47),$AO:$AQ,3,FALSE))/(VLOOKUP($F$47,$A$3:$D$17,3,FALSE)-(VLOOKUP($E$47,$A$3:$D$17,3,FALSE)))</f>
        <v>0</v>
      </c>
      <c r="F48" s="126"/>
      <c r="G48" s="126">
        <f t="shared" ref="G48:G60" si="15">(VLOOKUP(CONCATENATE($A48," ",$B48," ",$H$47),$AO:$AQ,3,FALSE)-VLOOKUP(CONCATENATE($A48," ",$B48," ",$G$47),$AO:$AQ,3,FALSE))/(VLOOKUP($H$47,$A$3:$D$17,3,FALSE)-(VLOOKUP($G$47,$A$3:$D$17,3,FALSE)))</f>
        <v>0</v>
      </c>
      <c r="H48" s="126"/>
      <c r="I48" s="126">
        <f t="shared" ref="I48:I60" si="16">(VLOOKUP(CONCATENATE($A48," ",$B48," ",$J$47),$AO:$AQ,3,FALSE)-VLOOKUP(CONCATENATE($A48," ",$B48," ",$I$47),$AO:$AQ,3,FALSE))/(VLOOKUP($J$47,$A$3:$D$17,3,FALSE)-(VLOOKUP($I$47,$A$3:$D$17,3,FALSE)))</f>
        <v>0</v>
      </c>
      <c r="J48" s="126"/>
      <c r="K48" s="126">
        <f t="shared" ref="K48:K60" si="17">(VLOOKUP(CONCATENATE($A48," ",$B48," ",$L$47),$AO:$AQ,3,FALSE)-VLOOKUP(CONCATENATE($A48," ",$B48," ",$K$47),$AO:$AQ,3,FALSE))/(VLOOKUP($L$47,$A$3:$D$17,3,FALSE)-(VLOOKUP($K$47,$A$3:$D$17,3,FALSE)))</f>
        <v>0</v>
      </c>
      <c r="L48" s="126"/>
      <c r="M48" s="126">
        <f t="shared" ref="M48:M60" si="18">(VLOOKUP(CONCATENATE($A48," ",$B48," ",$N$47),$AO:$AQ,3,FALSE)-VLOOKUP(CONCATENATE($A48," ",$B48," ",$M$47),$AO:$AQ,3,FALSE))/(VLOOKUP($N$47,$A$3:$D$17,3,FALSE)-(VLOOKUP($M$47,$A$3:$D$17,3,FALSE)))</f>
        <v>-7.8327750266795562</v>
      </c>
      <c r="N48" s="126"/>
      <c r="O48" s="129">
        <f t="shared" ref="O48:O60" si="19">(VLOOKUP(CONCATENATE($A48," ",$B48," ",$P$47),$AO:$AQ,3,FALSE)-VLOOKUP(CONCATENATE($A48," ",$B48," ",$O$47),$AO:$AQ,3,FALSE))/(VLOOKUP($P$47,$A$3:$D$17,3,FALSE)-(VLOOKUP($O$47,$A$3:$D$17,3,FALSE)))</f>
        <v>15.978861054426295</v>
      </c>
      <c r="P48" s="130"/>
      <c r="Q48" s="126">
        <f t="shared" ref="Q48:Q60" si="20">(VLOOKUP(CONCATENATE($A48," ",$B48," ",$R$47),$AO:$AQ,3,FALSE)-VLOOKUP(CONCATENATE($A48," ",$B48," ",$Q$47),$AO:$AQ,3,FALSE))/(VLOOKUP($R$47,$A$3:$D$17,3,FALSE)-(VLOOKUP($Q$47,$A$3:$D$17,3,FALSE)))</f>
        <v>-3.8978660703932446</v>
      </c>
      <c r="R48" s="126"/>
      <c r="S48" s="126">
        <f t="shared" ref="S48:S60" si="21">(VLOOKUP(CONCATENATE($A48," ",$B48," ",$T$47),$AO:$AQ,3,FALSE)-VLOOKUP(CONCATENATE($A48," ",$B48," ",$S$47),$AO:$AQ,3,FALSE))/(VLOOKUP($T$47,$A$3:$D$17,3,FALSE)-(VLOOKUP($S$47,$A$3:$D$17,3,FALSE)))</f>
        <v>-1.7247474844012922</v>
      </c>
      <c r="T48" s="126"/>
      <c r="U48" s="126">
        <f t="shared" ref="U48:U60" si="22">(VLOOKUP(CONCATENATE($A48," ",$B48," ",$V$47),$AO:$AQ,3,FALSE)-VLOOKUP(CONCATENATE($A48," ",$B48," ",$U$47),$AO:$AQ,3,FALSE))/(VLOOKUP($V$47,$A$3:$D$17,3,FALSE)-(VLOOKUP($U$47,$A$3:$D$17,3,FALSE)))</f>
        <v>-2.7655250890499556</v>
      </c>
      <c r="V48" s="126"/>
      <c r="W48" s="126">
        <f t="shared" ref="W48:W60" si="23">(VLOOKUP(CONCATENATE($A48," ",$B48," ",$X$47),$AO:$AQ,3,FALSE)-VLOOKUP(CONCATENATE($A48," ",$B48," ",$W$47),$AO:$AQ,3,FALSE))/(VLOOKUP($X$47,$A$3:$D$17,3,FALSE)-(VLOOKUP($W$47,$A$3:$D$17,3,FALSE)))</f>
        <v>-2.3132195838315051</v>
      </c>
      <c r="X48" s="126"/>
      <c r="Y48" s="126">
        <f t="shared" ref="Y48:Y60" si="24">(VLOOKUP(CONCATENATE($A48," ",$B48," ",$Z$47),$AO:$AQ,3,FALSE)-VLOOKUP(CONCATENATE($A48," ",$B48," ",$Y$47),$AO:$AQ,3,FALSE))/(VLOOKUP($Z$47,$A$3:$D$17,3,FALSE)-(VLOOKUP($Y$47,$A$3:$D$17,3,FALSE)))</f>
        <v>-1.9082176860162923</v>
      </c>
      <c r="Z48" s="126"/>
      <c r="AA48" s="126">
        <f>(VLOOKUP(CONCATENATE($A48," ",$B48," ",$AB$47),$AO:$AQ,3,FALSE)-VLOOKUP(CONCATENATE($A48," ",$B48," ",$AA$47),$AO:$AQ,3,FALSE))/(VLOOKUP($AB$47,$A$3:$D$17,3,FALSE)-(VLOOKUP($AA$47,$A$3:$D$17,3,FALSE)))</f>
        <v>0.61957261285481069</v>
      </c>
      <c r="AB48" s="126"/>
      <c r="AC48" s="119" t="s">
        <v>44</v>
      </c>
      <c r="AD48" s="72"/>
      <c r="AE48" s="72"/>
      <c r="AF48" s="72"/>
      <c r="AI48" s="72"/>
      <c r="AJ48" s="72"/>
      <c r="AK48" s="72"/>
      <c r="AL48" s="14" t="s">
        <v>30</v>
      </c>
      <c r="AM48" s="26" t="s">
        <v>32</v>
      </c>
      <c r="AN48" s="29">
        <f t="shared" si="9"/>
        <v>4</v>
      </c>
      <c r="AO48" s="72" t="str">
        <f t="shared" si="2"/>
        <v>N-1 IP 4</v>
      </c>
      <c r="AP48" s="15">
        <f t="shared" si="10"/>
        <v>100.1706730731125</v>
      </c>
      <c r="AQ48" s="34">
        <f>NPV('Cost Assumptions'!$B$3,'Centralized BESS in Valley S'!C20:AD20)</f>
        <v>0</v>
      </c>
    </row>
    <row r="49" spans="1:43" x14ac:dyDescent="0.35">
      <c r="A49" s="80" t="str">
        <f t="shared" si="11"/>
        <v>N-1</v>
      </c>
      <c r="B49" s="26" t="str">
        <f t="shared" si="12"/>
        <v>IP</v>
      </c>
      <c r="C49" s="126">
        <f t="shared" si="13"/>
        <v>0.1643925511117269</v>
      </c>
      <c r="D49" s="126"/>
      <c r="E49" s="126">
        <f t="shared" si="14"/>
        <v>0</v>
      </c>
      <c r="F49" s="126"/>
      <c r="G49" s="126">
        <f t="shared" si="15"/>
        <v>0</v>
      </c>
      <c r="H49" s="126"/>
      <c r="I49" s="126">
        <f t="shared" si="16"/>
        <v>0</v>
      </c>
      <c r="J49" s="126"/>
      <c r="K49" s="126">
        <f t="shared" si="17"/>
        <v>0</v>
      </c>
      <c r="L49" s="126"/>
      <c r="M49" s="126">
        <f t="shared" si="18"/>
        <v>-0.70661552235556202</v>
      </c>
      <c r="N49" s="126"/>
      <c r="O49" s="129">
        <f t="shared" si="19"/>
        <v>1.4414956656053466</v>
      </c>
      <c r="P49" s="130"/>
      <c r="Q49" s="126">
        <f t="shared" si="20"/>
        <v>-0.74445593219408124</v>
      </c>
      <c r="R49" s="126"/>
      <c r="S49" s="126">
        <f t="shared" si="21"/>
        <v>-0.2736865944955883</v>
      </c>
      <c r="T49" s="126"/>
      <c r="U49" s="126">
        <f t="shared" si="22"/>
        <v>-0.52818940440585649</v>
      </c>
      <c r="V49" s="126"/>
      <c r="W49" s="126">
        <f t="shared" si="23"/>
        <v>-0.44180328686284259</v>
      </c>
      <c r="X49" s="126"/>
      <c r="Y49" s="126">
        <f t="shared" si="24"/>
        <v>-0.35684062092880153</v>
      </c>
      <c r="Z49" s="126"/>
      <c r="AA49" s="126">
        <f t="shared" ref="AA49:AA60" si="25">(VLOOKUP(CONCATENATE($A49," ",$B49," ",$AB$47),$AO:$AQ,3,FALSE)-VLOOKUP(CONCATENATE($A49," ",$B49," ",$AA$47),$AO:$AQ,3,FALSE))/(VLOOKUP($AB$47,$A$3:$D$17,3,FALSE)-(VLOOKUP($AA$47,$A$3:$D$17,3,FALSE)))</f>
        <v>6.4425768922963172E-2</v>
      </c>
      <c r="AB49" s="126"/>
      <c r="AC49" s="119" t="s">
        <v>44</v>
      </c>
      <c r="AD49" s="72"/>
      <c r="AE49" s="72"/>
      <c r="AF49" s="72"/>
      <c r="AI49" s="72"/>
      <c r="AJ49" s="72"/>
      <c r="AK49" s="72"/>
      <c r="AL49" s="14" t="s">
        <v>30</v>
      </c>
      <c r="AM49" s="26" t="s">
        <v>33</v>
      </c>
      <c r="AN49" s="29">
        <f t="shared" si="9"/>
        <v>4</v>
      </c>
      <c r="AO49" s="72" t="str">
        <f t="shared" si="2"/>
        <v>N-1 SAIDI 4</v>
      </c>
      <c r="AP49" s="15">
        <f t="shared" si="10"/>
        <v>73.336634837250131</v>
      </c>
      <c r="AQ49" s="34">
        <f>NPV('Cost Assumptions'!$B$3,'Centralized BESS in Valley S'!C21:AD21)</f>
        <v>0</v>
      </c>
    </row>
    <row r="50" spans="1:43" x14ac:dyDescent="0.35">
      <c r="A50" s="80" t="str">
        <f t="shared" si="11"/>
        <v>N-1</v>
      </c>
      <c r="B50" s="26" t="str">
        <f t="shared" si="12"/>
        <v>SAIDI</v>
      </c>
      <c r="C50" s="126">
        <f t="shared" si="13"/>
        <v>-0.29410098441756921</v>
      </c>
      <c r="D50" s="126"/>
      <c r="E50" s="126">
        <f t="shared" si="14"/>
        <v>0</v>
      </c>
      <c r="F50" s="126"/>
      <c r="G50" s="126">
        <f t="shared" si="15"/>
        <v>0</v>
      </c>
      <c r="H50" s="126"/>
      <c r="I50" s="126">
        <f t="shared" si="16"/>
        <v>0</v>
      </c>
      <c r="J50" s="126"/>
      <c r="K50" s="126">
        <f t="shared" si="17"/>
        <v>0</v>
      </c>
      <c r="L50" s="126"/>
      <c r="M50" s="126">
        <f t="shared" si="18"/>
        <v>-0.24402926490885032</v>
      </c>
      <c r="N50" s="126"/>
      <c r="O50" s="129">
        <f t="shared" si="19"/>
        <v>0.49781970041405466</v>
      </c>
      <c r="P50" s="130"/>
      <c r="Q50" s="126">
        <f t="shared" si="20"/>
        <v>-5.1042993776759554E-2</v>
      </c>
      <c r="R50" s="126"/>
      <c r="S50" s="126">
        <f t="shared" si="21"/>
        <v>-1.667935463981423E-2</v>
      </c>
      <c r="T50" s="126"/>
      <c r="U50" s="126">
        <f t="shared" si="22"/>
        <v>-3.6214861506416E-2</v>
      </c>
      <c r="V50" s="126"/>
      <c r="W50" s="126">
        <f t="shared" si="23"/>
        <v>-3.0291870138544223E-2</v>
      </c>
      <c r="X50" s="126"/>
      <c r="Y50" s="126">
        <f t="shared" si="24"/>
        <v>-2.5102220273688875E-2</v>
      </c>
      <c r="Z50" s="126"/>
      <c r="AA50" s="126">
        <f t="shared" si="25"/>
        <v>6.6269792264791582E-3</v>
      </c>
      <c r="AB50" s="126"/>
      <c r="AC50" s="119" t="s">
        <v>44</v>
      </c>
      <c r="AD50" s="72"/>
      <c r="AE50" s="72"/>
      <c r="AF50" s="72"/>
      <c r="AI50" s="72"/>
      <c r="AJ50" s="72"/>
      <c r="AK50" s="72"/>
      <c r="AL50" s="14" t="s">
        <v>30</v>
      </c>
      <c r="AM50" s="26" t="s">
        <v>34</v>
      </c>
      <c r="AN50" s="29">
        <f t="shared" si="9"/>
        <v>4</v>
      </c>
      <c r="AO50" s="72" t="str">
        <f t="shared" si="2"/>
        <v>N-1 SAIFI 4</v>
      </c>
      <c r="AP50" s="15">
        <f t="shared" si="10"/>
        <v>1.4721708526842732</v>
      </c>
      <c r="AQ50" s="34">
        <f>NPV('Cost Assumptions'!$B$3,'Centralized BESS in Valley S'!C22:AD22)</f>
        <v>0</v>
      </c>
    </row>
    <row r="51" spans="1:43" x14ac:dyDescent="0.35">
      <c r="A51" s="80" t="str">
        <f t="shared" si="11"/>
        <v>N-1</v>
      </c>
      <c r="B51" s="26" t="str">
        <f t="shared" si="12"/>
        <v>SAIFI</v>
      </c>
      <c r="C51" s="126">
        <f t="shared" si="13"/>
        <v>-3.5191601882547572E-3</v>
      </c>
      <c r="D51" s="126"/>
      <c r="E51" s="126">
        <f t="shared" si="14"/>
        <v>0</v>
      </c>
      <c r="F51" s="126"/>
      <c r="G51" s="126">
        <f t="shared" si="15"/>
        <v>0</v>
      </c>
      <c r="H51" s="126"/>
      <c r="I51" s="126">
        <f t="shared" si="16"/>
        <v>0</v>
      </c>
      <c r="J51" s="126"/>
      <c r="K51" s="126">
        <f t="shared" si="17"/>
        <v>0</v>
      </c>
      <c r="L51" s="126"/>
      <c r="M51" s="126">
        <f t="shared" si="18"/>
        <v>-6.3829548780369814E-3</v>
      </c>
      <c r="N51" s="126"/>
      <c r="O51" s="129">
        <f t="shared" si="19"/>
        <v>1.3021227951195442E-2</v>
      </c>
      <c r="P51" s="130"/>
      <c r="Q51" s="126">
        <f t="shared" si="20"/>
        <v>-3.9023269218681658E-3</v>
      </c>
      <c r="R51" s="126"/>
      <c r="S51" s="126">
        <f t="shared" si="21"/>
        <v>-1.6732413871226497E-3</v>
      </c>
      <c r="T51" s="126"/>
      <c r="U51" s="126">
        <f t="shared" si="22"/>
        <v>-2.7686900507109336E-3</v>
      </c>
      <c r="V51" s="126"/>
      <c r="W51" s="126">
        <f t="shared" si="23"/>
        <v>-2.3158669115759677E-3</v>
      </c>
      <c r="X51" s="126"/>
      <c r="Y51" s="126">
        <f t="shared" si="24"/>
        <v>-1.8598565503093597E-3</v>
      </c>
      <c r="Z51" s="126"/>
      <c r="AA51" s="126">
        <f t="shared" si="25"/>
        <v>6.1743462322181556E-4</v>
      </c>
      <c r="AB51" s="126"/>
      <c r="AC51" s="119" t="s">
        <v>44</v>
      </c>
      <c r="AD51" s="72"/>
      <c r="AE51" s="72"/>
      <c r="AF51" s="72"/>
      <c r="AI51" s="72"/>
      <c r="AJ51" s="72"/>
      <c r="AK51" s="72"/>
      <c r="AL51" s="14" t="s">
        <v>30</v>
      </c>
      <c r="AM51" s="26" t="s">
        <v>35</v>
      </c>
      <c r="AN51" s="29">
        <f t="shared" si="9"/>
        <v>4</v>
      </c>
      <c r="AO51" s="72" t="str">
        <f t="shared" si="2"/>
        <v>N-1 PFD 4</v>
      </c>
      <c r="AP51" s="15">
        <f t="shared" si="10"/>
        <v>315.95809421564536</v>
      </c>
      <c r="AQ51" s="34">
        <f>NPV('Cost Assumptions'!$B$3,'Centralized BESS in Valley S'!C23:AD23)</f>
        <v>0</v>
      </c>
    </row>
    <row r="52" spans="1:43" x14ac:dyDescent="0.35">
      <c r="A52" s="80" t="str">
        <f t="shared" si="11"/>
        <v>N-1</v>
      </c>
      <c r="B52" s="26" t="str">
        <f t="shared" si="12"/>
        <v>PFD</v>
      </c>
      <c r="C52" s="126">
        <f t="shared" si="13"/>
        <v>-1.2190827259778536</v>
      </c>
      <c r="D52" s="126"/>
      <c r="E52" s="126">
        <f t="shared" si="14"/>
        <v>0</v>
      </c>
      <c r="F52" s="126"/>
      <c r="G52" s="126">
        <f t="shared" si="15"/>
        <v>0</v>
      </c>
      <c r="H52" s="126"/>
      <c r="I52" s="126">
        <f t="shared" si="16"/>
        <v>0</v>
      </c>
      <c r="J52" s="126"/>
      <c r="K52" s="126">
        <f t="shared" si="17"/>
        <v>0</v>
      </c>
      <c r="L52" s="126"/>
      <c r="M52" s="126">
        <f t="shared" si="18"/>
        <v>-0.96893063845571004</v>
      </c>
      <c r="N52" s="126"/>
      <c r="O52" s="129">
        <f t="shared" si="19"/>
        <v>1.9766185024496485</v>
      </c>
      <c r="P52" s="130"/>
      <c r="Q52" s="126">
        <f t="shared" si="20"/>
        <v>-0.32293171140552163</v>
      </c>
      <c r="R52" s="126"/>
      <c r="S52" s="126">
        <f t="shared" si="21"/>
        <v>4.1424182454559325E-2</v>
      </c>
      <c r="T52" s="126"/>
      <c r="U52" s="126">
        <f t="shared" si="22"/>
        <v>-0.22911914719833099</v>
      </c>
      <c r="V52" s="126"/>
      <c r="W52" s="126">
        <f t="shared" si="23"/>
        <v>-0.19164638947897777</v>
      </c>
      <c r="X52" s="126"/>
      <c r="Y52" s="126">
        <f t="shared" si="24"/>
        <v>-0.15350124308036084</v>
      </c>
      <c r="Z52" s="126"/>
      <c r="AA52" s="126">
        <f t="shared" si="25"/>
        <v>0.16219726778015467</v>
      </c>
      <c r="AB52" s="126"/>
      <c r="AC52" s="119" t="s">
        <v>44</v>
      </c>
      <c r="AD52" s="72"/>
      <c r="AE52" s="72"/>
      <c r="AF52" s="72"/>
      <c r="AI52" s="72"/>
      <c r="AJ52" s="72"/>
      <c r="AK52" s="72"/>
      <c r="AL52" s="14" t="s">
        <v>30</v>
      </c>
      <c r="AM52" s="26" t="s">
        <v>36</v>
      </c>
      <c r="AN52" s="29">
        <f t="shared" si="9"/>
        <v>4</v>
      </c>
      <c r="AO52" s="72" t="str">
        <f t="shared" si="2"/>
        <v>N-1 Available Flex-1 4</v>
      </c>
      <c r="AP52" s="15">
        <f t="shared" si="10"/>
        <v>82124.115349324973</v>
      </c>
      <c r="AQ52" s="34">
        <f>NPV('Cost Assumptions'!$B$3,'Centralized BESS in Valley S'!C24:AD24)</f>
        <v>51581.93081492951</v>
      </c>
    </row>
    <row r="53" spans="1:43" x14ac:dyDescent="0.35">
      <c r="A53" s="80" t="str">
        <f t="shared" si="11"/>
        <v>N-1</v>
      </c>
      <c r="B53" s="26" t="str">
        <f t="shared" si="12"/>
        <v>Available Flex-1</v>
      </c>
      <c r="C53" s="126">
        <f t="shared" si="13"/>
        <v>-211.57538126614182</v>
      </c>
      <c r="D53" s="126"/>
      <c r="E53" s="126">
        <f t="shared" si="14"/>
        <v>0</v>
      </c>
      <c r="F53" s="126"/>
      <c r="G53" s="126">
        <f t="shared" si="15"/>
        <v>0</v>
      </c>
      <c r="H53" s="126"/>
      <c r="I53" s="126">
        <f t="shared" si="16"/>
        <v>0</v>
      </c>
      <c r="J53" s="126"/>
      <c r="K53" s="126">
        <f t="shared" si="17"/>
        <v>0</v>
      </c>
      <c r="L53" s="126"/>
      <c r="M53" s="126">
        <f t="shared" si="18"/>
        <v>-868.05614627755335</v>
      </c>
      <c r="N53" s="126"/>
      <c r="O53" s="129">
        <f t="shared" si="19"/>
        <v>1770.8345384062088</v>
      </c>
      <c r="P53" s="130"/>
      <c r="Q53" s="126">
        <f t="shared" si="20"/>
        <v>10.143257047768016</v>
      </c>
      <c r="R53" s="126"/>
      <c r="S53" s="126">
        <f t="shared" si="21"/>
        <v>-15.049855993143916</v>
      </c>
      <c r="T53" s="126"/>
      <c r="U53" s="126">
        <f t="shared" si="22"/>
        <v>129.65597624942438</v>
      </c>
      <c r="V53" s="126"/>
      <c r="W53" s="126">
        <f t="shared" si="23"/>
        <v>37.369173886959452</v>
      </c>
      <c r="X53" s="126"/>
      <c r="Y53" s="126">
        <f t="shared" si="24"/>
        <v>-197.2303418425999</v>
      </c>
      <c r="Z53" s="126"/>
      <c r="AA53" s="126">
        <f t="shared" si="25"/>
        <v>78.199146524974296</v>
      </c>
      <c r="AB53" s="126"/>
      <c r="AC53" s="119" t="s">
        <v>44</v>
      </c>
      <c r="AD53" s="72"/>
      <c r="AE53" s="72"/>
      <c r="AF53" s="72"/>
      <c r="AI53" s="72"/>
      <c r="AJ53" s="72"/>
      <c r="AK53" s="72"/>
      <c r="AL53" s="14" t="s">
        <v>30</v>
      </c>
      <c r="AM53" s="26" t="s">
        <v>37</v>
      </c>
      <c r="AN53" s="29">
        <f t="shared" si="9"/>
        <v>4</v>
      </c>
      <c r="AO53" s="72" t="str">
        <f t="shared" si="2"/>
        <v>N-1 Available Flex-2-1 4</v>
      </c>
      <c r="AP53" s="15">
        <f t="shared" si="10"/>
        <v>2.9234079329140863E-2</v>
      </c>
      <c r="AQ53" s="34">
        <f>NPV('Cost Assumptions'!$B$3,'Centralized BESS in Valley S'!C25:AD25)</f>
        <v>1860107.0152622503</v>
      </c>
    </row>
    <row r="54" spans="1:43" x14ac:dyDescent="0.35">
      <c r="A54" s="118" t="str">
        <f t="shared" si="11"/>
        <v>N-1</v>
      </c>
      <c r="B54" s="26" t="str">
        <f t="shared" si="12"/>
        <v>Available Flex-2-1</v>
      </c>
      <c r="C54" s="126">
        <f t="shared" si="13"/>
        <v>0</v>
      </c>
      <c r="D54" s="126"/>
      <c r="E54" s="126">
        <f t="shared" si="14"/>
        <v>0</v>
      </c>
      <c r="F54" s="126"/>
      <c r="G54" s="126">
        <f t="shared" si="15"/>
        <v>0</v>
      </c>
      <c r="H54" s="126"/>
      <c r="I54" s="126">
        <f t="shared" si="16"/>
        <v>0</v>
      </c>
      <c r="J54" s="126"/>
      <c r="K54" s="126">
        <f t="shared" si="17"/>
        <v>0</v>
      </c>
      <c r="L54" s="126"/>
      <c r="M54" s="126">
        <f t="shared" si="18"/>
        <v>-9795.9839015673733</v>
      </c>
      <c r="N54" s="126"/>
      <c r="O54" s="129">
        <f t="shared" si="19"/>
        <v>-25328.969728520045</v>
      </c>
      <c r="P54" s="130"/>
      <c r="Q54" s="126">
        <f t="shared" si="20"/>
        <v>3933.8200767390285</v>
      </c>
      <c r="R54" s="126"/>
      <c r="S54" s="126">
        <f t="shared" si="21"/>
        <v>0</v>
      </c>
      <c r="T54" s="126"/>
      <c r="U54" s="126">
        <f t="shared" si="22"/>
        <v>-4318.3902445542735</v>
      </c>
      <c r="V54" s="126"/>
      <c r="W54" s="126">
        <f t="shared" si="23"/>
        <v>-3612.1114662393225</v>
      </c>
      <c r="X54" s="126"/>
      <c r="Y54" s="126">
        <f t="shared" si="24"/>
        <v>-4978.8029207063128</v>
      </c>
      <c r="Z54" s="126"/>
      <c r="AA54" s="126">
        <f t="shared" si="25"/>
        <v>1811.7036483166798</v>
      </c>
      <c r="AB54" s="126"/>
      <c r="AC54" s="119" t="s">
        <v>44</v>
      </c>
      <c r="AD54" s="72"/>
      <c r="AE54" s="72"/>
      <c r="AF54" s="72"/>
      <c r="AI54" s="72"/>
      <c r="AJ54" s="72"/>
      <c r="AK54" s="72"/>
      <c r="AL54" s="14" t="s">
        <v>30</v>
      </c>
      <c r="AM54" s="26" t="s">
        <v>38</v>
      </c>
      <c r="AN54" s="29">
        <f t="shared" si="9"/>
        <v>4</v>
      </c>
      <c r="AO54" s="72" t="str">
        <f t="shared" si="2"/>
        <v>N-1 Available Flex-2-2 4</v>
      </c>
      <c r="AP54" s="15">
        <f t="shared" si="10"/>
        <v>3460.9343082916712</v>
      </c>
      <c r="AQ54" s="34">
        <f>NPV('Cost Assumptions'!$B$3,'Centralized BESS in Valley S'!C26:AD26)</f>
        <v>690860.93626317778</v>
      </c>
    </row>
    <row r="55" spans="1:43" x14ac:dyDescent="0.35">
      <c r="A55" s="118" t="str">
        <f t="shared" si="11"/>
        <v>N-1</v>
      </c>
      <c r="B55" s="26" t="str">
        <f t="shared" si="12"/>
        <v>Available Flex-2-2</v>
      </c>
      <c r="C55" s="126">
        <f t="shared" si="13"/>
        <v>-2590.1805715219971</v>
      </c>
      <c r="D55" s="126"/>
      <c r="E55" s="126">
        <f t="shared" si="14"/>
        <v>0</v>
      </c>
      <c r="F55" s="126"/>
      <c r="G55" s="126">
        <f t="shared" si="15"/>
        <v>0</v>
      </c>
      <c r="H55" s="126"/>
      <c r="I55" s="126">
        <f t="shared" si="16"/>
        <v>0</v>
      </c>
      <c r="J55" s="126"/>
      <c r="K55" s="126">
        <f t="shared" si="17"/>
        <v>0</v>
      </c>
      <c r="L55" s="126"/>
      <c r="M55" s="126">
        <f t="shared" si="18"/>
        <v>549.30859380701668</v>
      </c>
      <c r="N55" s="126"/>
      <c r="O55" s="129">
        <f t="shared" si="19"/>
        <v>-1120.5895313663141</v>
      </c>
      <c r="P55" s="130"/>
      <c r="Q55" s="126">
        <f t="shared" si="20"/>
        <v>3525.2577412529145</v>
      </c>
      <c r="R55" s="126"/>
      <c r="S55" s="126">
        <f t="shared" si="21"/>
        <v>0</v>
      </c>
      <c r="T55" s="126"/>
      <c r="U55" s="126">
        <f t="shared" si="22"/>
        <v>-421.76083596304056</v>
      </c>
      <c r="V55" s="126"/>
      <c r="W55" s="126">
        <f t="shared" si="23"/>
        <v>-352.78125998777693</v>
      </c>
      <c r="X55" s="126"/>
      <c r="Y55" s="126">
        <f t="shared" si="24"/>
        <v>-953.54197303551996</v>
      </c>
      <c r="Z55" s="126"/>
      <c r="AA55" s="126">
        <f t="shared" si="25"/>
        <v>526.07752620168492</v>
      </c>
      <c r="AB55" s="126"/>
      <c r="AC55" s="119" t="s">
        <v>44</v>
      </c>
      <c r="AD55" s="72"/>
      <c r="AE55" s="72"/>
      <c r="AF55" s="72"/>
      <c r="AI55" s="72"/>
      <c r="AJ55" s="72"/>
      <c r="AK55" s="72"/>
      <c r="AL55" s="14" t="s">
        <v>39</v>
      </c>
      <c r="AM55" s="26" t="s">
        <v>31</v>
      </c>
      <c r="AN55" s="29">
        <f t="shared" si="9"/>
        <v>4</v>
      </c>
      <c r="AO55" s="72" t="str">
        <f t="shared" si="2"/>
        <v>N-0 EENS 4</v>
      </c>
      <c r="AP55" s="15">
        <f t="shared" si="10"/>
        <v>3662.4319152534908</v>
      </c>
      <c r="AQ55" s="34">
        <f>NPV('Cost Assumptions'!$B$3,'Centralized BESS in Valley S'!C27:AD27)</f>
        <v>0</v>
      </c>
    </row>
    <row r="56" spans="1:43" x14ac:dyDescent="0.35">
      <c r="A56" s="118" t="str">
        <f t="shared" si="11"/>
        <v>N-0</v>
      </c>
      <c r="B56" s="26" t="str">
        <f t="shared" si="12"/>
        <v>EENS</v>
      </c>
      <c r="C56" s="126">
        <f t="shared" si="13"/>
        <v>-18.498003058849044</v>
      </c>
      <c r="D56" s="126"/>
      <c r="E56" s="126">
        <f t="shared" si="14"/>
        <v>0</v>
      </c>
      <c r="F56" s="126"/>
      <c r="G56" s="126">
        <f t="shared" si="15"/>
        <v>-4.4500249882669909</v>
      </c>
      <c r="H56" s="126"/>
      <c r="I56" s="126">
        <f t="shared" si="16"/>
        <v>0.36384750748174671</v>
      </c>
      <c r="J56" s="126"/>
      <c r="K56" s="126">
        <f t="shared" si="17"/>
        <v>0.44025548405291354</v>
      </c>
      <c r="L56" s="126"/>
      <c r="M56" s="126">
        <f t="shared" si="18"/>
        <v>6.9017331967706124</v>
      </c>
      <c r="N56" s="126"/>
      <c r="O56" s="129">
        <f t="shared" si="19"/>
        <v>-14.079535721412048</v>
      </c>
      <c r="P56" s="130"/>
      <c r="Q56" s="126">
        <f t="shared" si="20"/>
        <v>-2.7715621498842617</v>
      </c>
      <c r="R56" s="126"/>
      <c r="S56" s="126">
        <f t="shared" si="21"/>
        <v>-2.5322905973762677</v>
      </c>
      <c r="T56" s="126"/>
      <c r="U56" s="126">
        <f t="shared" si="22"/>
        <v>-1.9651372066031823</v>
      </c>
      <c r="V56" s="126"/>
      <c r="W56" s="126">
        <f t="shared" si="23"/>
        <v>-1.6448055749313142</v>
      </c>
      <c r="X56" s="126"/>
      <c r="Y56" s="126">
        <f t="shared" si="24"/>
        <v>-1.3803466393541224</v>
      </c>
      <c r="Z56" s="126"/>
      <c r="AA56" s="126">
        <f t="shared" si="25"/>
        <v>0</v>
      </c>
      <c r="AB56" s="126"/>
      <c r="AC56" s="119" t="s">
        <v>44</v>
      </c>
      <c r="AD56" s="72"/>
      <c r="AE56" s="72"/>
      <c r="AF56" s="72"/>
      <c r="AI56" s="72"/>
      <c r="AJ56" s="72"/>
      <c r="AK56" s="72"/>
      <c r="AL56" s="14" t="s">
        <v>39</v>
      </c>
      <c r="AM56" s="26" t="s">
        <v>32</v>
      </c>
      <c r="AN56" s="29">
        <f t="shared" si="9"/>
        <v>4</v>
      </c>
      <c r="AO56" s="72" t="str">
        <f t="shared" si="2"/>
        <v>N-0 IP 4</v>
      </c>
      <c r="AP56" s="15">
        <f t="shared" si="10"/>
        <v>603.3370677068466</v>
      </c>
      <c r="AQ56" s="34">
        <f>NPV('Cost Assumptions'!$B$3,'Centralized BESS in Valley S'!C28:AD28)</f>
        <v>0</v>
      </c>
    </row>
    <row r="57" spans="1:43" x14ac:dyDescent="0.35">
      <c r="A57" s="118" t="str">
        <f t="shared" si="11"/>
        <v>N-0</v>
      </c>
      <c r="B57" s="26" t="str">
        <f t="shared" si="12"/>
        <v>IP</v>
      </c>
      <c r="C57" s="126">
        <f t="shared" si="13"/>
        <v>-2.8503610451919612</v>
      </c>
      <c r="D57" s="126"/>
      <c r="E57" s="126">
        <f t="shared" si="14"/>
        <v>0</v>
      </c>
      <c r="F57" s="126"/>
      <c r="G57" s="126">
        <f t="shared" si="15"/>
        <v>-1.4077828582654404</v>
      </c>
      <c r="H57" s="126"/>
      <c r="I57" s="126">
        <f t="shared" si="16"/>
        <v>0.19981603794093608</v>
      </c>
      <c r="J57" s="126"/>
      <c r="K57" s="126">
        <f t="shared" si="17"/>
        <v>0.19981603794093608</v>
      </c>
      <c r="L57" s="126"/>
      <c r="M57" s="126">
        <f t="shared" si="18"/>
        <v>2.1460073447322143</v>
      </c>
      <c r="N57" s="126"/>
      <c r="O57" s="129">
        <f t="shared" si="19"/>
        <v>-4.3778549832537168</v>
      </c>
      <c r="P57" s="130"/>
      <c r="Q57" s="126">
        <f t="shared" si="20"/>
        <v>-0.86178247701844823</v>
      </c>
      <c r="R57" s="126"/>
      <c r="S57" s="126">
        <f t="shared" si="21"/>
        <v>-0.78738398979383395</v>
      </c>
      <c r="T57" s="126"/>
      <c r="U57" s="126">
        <f t="shared" si="22"/>
        <v>-0.61015386328497967</v>
      </c>
      <c r="V57" s="126"/>
      <c r="W57" s="126">
        <f t="shared" si="23"/>
        <v>-0.51143165692216319</v>
      </c>
      <c r="X57" s="126"/>
      <c r="Y57" s="126">
        <f t="shared" si="24"/>
        <v>-0.42920146894644284</v>
      </c>
      <c r="Z57" s="126"/>
      <c r="AA57" s="126">
        <f t="shared" si="25"/>
        <v>0</v>
      </c>
      <c r="AB57" s="126"/>
      <c r="AC57" s="119" t="s">
        <v>44</v>
      </c>
      <c r="AD57" s="72"/>
      <c r="AE57" s="72"/>
      <c r="AF57" s="72"/>
      <c r="AI57" s="72"/>
      <c r="AJ57" s="72"/>
      <c r="AK57" s="72"/>
      <c r="AL57" s="14" t="s">
        <v>39</v>
      </c>
      <c r="AM57" s="26" t="s">
        <v>33</v>
      </c>
      <c r="AN57" s="29">
        <f t="shared" si="9"/>
        <v>4</v>
      </c>
      <c r="AO57" s="72" t="str">
        <f t="shared" si="2"/>
        <v>N-0 SAIDI 4</v>
      </c>
      <c r="AP57" s="15">
        <f t="shared" si="10"/>
        <v>54.089806048569208</v>
      </c>
      <c r="AQ57" s="34">
        <f>NPV('Cost Assumptions'!$B$3,'Centralized BESS in Valley S'!C29:AD29)</f>
        <v>0</v>
      </c>
    </row>
    <row r="58" spans="1:43" x14ac:dyDescent="0.35">
      <c r="A58" s="118" t="str">
        <f t="shared" si="11"/>
        <v>N-0</v>
      </c>
      <c r="B58" s="26" t="str">
        <f t="shared" si="12"/>
        <v>SAIDI</v>
      </c>
      <c r="C58" s="126">
        <f t="shared" si="13"/>
        <v>-0.26531506846801012</v>
      </c>
      <c r="D58" s="126"/>
      <c r="E58" s="126">
        <f t="shared" si="14"/>
        <v>0</v>
      </c>
      <c r="F58" s="126"/>
      <c r="G58" s="126">
        <f t="shared" si="15"/>
        <v>-9.2713303370135974E-2</v>
      </c>
      <c r="H58" s="126"/>
      <c r="I58" s="126">
        <f t="shared" si="16"/>
        <v>1.5566365020106012E-3</v>
      </c>
      <c r="J58" s="126"/>
      <c r="K58" s="126">
        <f t="shared" si="17"/>
        <v>1.5566365020106012E-3</v>
      </c>
      <c r="L58" s="126"/>
      <c r="M58" s="126">
        <f t="shared" si="18"/>
        <v>0.31802363023893598</v>
      </c>
      <c r="N58" s="126"/>
      <c r="O58" s="129">
        <f t="shared" si="19"/>
        <v>-0.64876820568742943</v>
      </c>
      <c r="P58" s="130"/>
      <c r="Q58" s="126">
        <f t="shared" si="20"/>
        <v>-0.12771027671012392</v>
      </c>
      <c r="R58" s="126"/>
      <c r="S58" s="126">
        <f t="shared" si="21"/>
        <v>-0.11668492908047291</v>
      </c>
      <c r="T58" s="126"/>
      <c r="U58" s="126">
        <f t="shared" si="22"/>
        <v>-9.0608973445976848E-2</v>
      </c>
      <c r="V58" s="126"/>
      <c r="W58" s="126">
        <f t="shared" si="23"/>
        <v>-7.5790678234512784E-2</v>
      </c>
      <c r="X58" s="126"/>
      <c r="Y58" s="126">
        <f t="shared" si="24"/>
        <v>-6.3604726047787205E-2</v>
      </c>
      <c r="Z58" s="126"/>
      <c r="AA58" s="126">
        <f t="shared" si="25"/>
        <v>0</v>
      </c>
      <c r="AB58" s="126"/>
      <c r="AC58" s="119" t="s">
        <v>44</v>
      </c>
      <c r="AD58" s="72"/>
      <c r="AE58" s="72"/>
      <c r="AF58" s="72"/>
      <c r="AI58" s="72"/>
      <c r="AJ58" s="72"/>
      <c r="AK58" s="72"/>
      <c r="AL58" s="14" t="s">
        <v>39</v>
      </c>
      <c r="AM58" s="26" t="s">
        <v>34</v>
      </c>
      <c r="AN58" s="29">
        <f t="shared" si="9"/>
        <v>4</v>
      </c>
      <c r="AO58" s="72" t="str">
        <f t="shared" si="2"/>
        <v>N-0 SAIFI 4</v>
      </c>
      <c r="AP58" s="15">
        <f t="shared" si="10"/>
        <v>2.9078711043982364</v>
      </c>
      <c r="AQ58" s="34">
        <f>NPV('Cost Assumptions'!$B$3,'Centralized BESS in Valley S'!C30:AD30)</f>
        <v>0</v>
      </c>
    </row>
    <row r="59" spans="1:43" x14ac:dyDescent="0.35">
      <c r="A59" s="118" t="str">
        <f t="shared" si="11"/>
        <v>N-0</v>
      </c>
      <c r="B59" s="26" t="str">
        <f t="shared" si="12"/>
        <v>SAIFI</v>
      </c>
      <c r="C59" s="126">
        <f t="shared" si="13"/>
        <v>-1.4090754281071054E-2</v>
      </c>
      <c r="D59" s="126"/>
      <c r="E59" s="126">
        <f t="shared" si="14"/>
        <v>0</v>
      </c>
      <c r="F59" s="126"/>
      <c r="G59" s="126">
        <f t="shared" si="15"/>
        <v>-5.5755844888905814E-3</v>
      </c>
      <c r="H59" s="126"/>
      <c r="I59" s="126">
        <f t="shared" si="16"/>
        <v>3.1647266283291409E-4</v>
      </c>
      <c r="J59" s="126"/>
      <c r="K59" s="126">
        <f t="shared" si="17"/>
        <v>3.1647266283291409E-4</v>
      </c>
      <c r="L59" s="126"/>
      <c r="M59" s="126">
        <f t="shared" si="18"/>
        <v>1.3887959741652427E-2</v>
      </c>
      <c r="N59" s="126"/>
      <c r="O59" s="129">
        <f t="shared" si="19"/>
        <v>-2.8331437872970953E-2</v>
      </c>
      <c r="P59" s="130"/>
      <c r="Q59" s="126">
        <f t="shared" si="20"/>
        <v>-5.5770546994037308E-3</v>
      </c>
      <c r="R59" s="126"/>
      <c r="S59" s="126">
        <f t="shared" si="21"/>
        <v>-5.0955823512537687E-3</v>
      </c>
      <c r="T59" s="126"/>
      <c r="U59" s="126">
        <f t="shared" si="22"/>
        <v>-3.9557935836223076E-3</v>
      </c>
      <c r="V59" s="126"/>
      <c r="W59" s="126">
        <f t="shared" si="23"/>
        <v>-3.3097474150667002E-3</v>
      </c>
      <c r="X59" s="126"/>
      <c r="Y59" s="126">
        <f t="shared" si="24"/>
        <v>-2.7775919483304856E-3</v>
      </c>
      <c r="Z59" s="126"/>
      <c r="AA59" s="126">
        <f t="shared" si="25"/>
        <v>0</v>
      </c>
      <c r="AB59" s="126"/>
      <c r="AC59" s="119" t="s">
        <v>44</v>
      </c>
      <c r="AD59" s="72"/>
      <c r="AE59" s="72"/>
      <c r="AF59" s="72"/>
      <c r="AI59" s="72"/>
      <c r="AJ59" s="72"/>
      <c r="AK59" s="72"/>
      <c r="AL59" s="14" t="s">
        <v>39</v>
      </c>
      <c r="AM59" s="26" t="s">
        <v>35</v>
      </c>
      <c r="AN59" s="112">
        <f t="shared" si="9"/>
        <v>4</v>
      </c>
      <c r="AO59" s="30" t="str">
        <f t="shared" si="2"/>
        <v>N-0 PFD 4</v>
      </c>
      <c r="AP59" s="31">
        <f t="shared" si="10"/>
        <v>81.976482418430209</v>
      </c>
      <c r="AQ59" s="34">
        <f>NPV('Cost Assumptions'!$B$3,'Centralized BESS in Valley S'!C31:AD31)</f>
        <v>0</v>
      </c>
    </row>
    <row r="60" spans="1:43" x14ac:dyDescent="0.35">
      <c r="A60" s="118" t="str">
        <f t="shared" si="11"/>
        <v>N-0</v>
      </c>
      <c r="B60" s="26" t="str">
        <f t="shared" si="12"/>
        <v>PFD</v>
      </c>
      <c r="C60" s="126">
        <f t="shared" si="13"/>
        <v>-0.39944551734872208</v>
      </c>
      <c r="D60" s="126"/>
      <c r="E60" s="126">
        <f t="shared" si="14"/>
        <v>0</v>
      </c>
      <c r="F60" s="126"/>
      <c r="G60" s="126">
        <f t="shared" si="15"/>
        <v>-0.14961225386882646</v>
      </c>
      <c r="H60" s="126"/>
      <c r="I60" s="126">
        <f t="shared" si="16"/>
        <v>3.2449183114539988E-2</v>
      </c>
      <c r="J60" s="126"/>
      <c r="K60" s="126">
        <f t="shared" si="17"/>
        <v>3.2449183114539988E-2</v>
      </c>
      <c r="L60" s="126"/>
      <c r="M60" s="126">
        <f t="shared" si="18"/>
        <v>0.29872278531274077</v>
      </c>
      <c r="N60" s="126"/>
      <c r="O60" s="129">
        <f t="shared" si="19"/>
        <v>-0.60939448203799118</v>
      </c>
      <c r="P60" s="130"/>
      <c r="Q60" s="126">
        <f t="shared" si="20"/>
        <v>-0.11995954370826598</v>
      </c>
      <c r="R60" s="126"/>
      <c r="S60" s="126">
        <f t="shared" si="21"/>
        <v>-0.10960332410755237</v>
      </c>
      <c r="T60" s="126"/>
      <c r="U60" s="126">
        <f t="shared" si="22"/>
        <v>-8.4684828863161601E-2</v>
      </c>
      <c r="V60" s="126"/>
      <c r="W60" s="126">
        <f t="shared" si="23"/>
        <v>-7.1190944163316727E-2</v>
      </c>
      <c r="X60" s="126"/>
      <c r="Y60" s="126">
        <f t="shared" si="24"/>
        <v>-5.9744557062548151E-2</v>
      </c>
      <c r="Z60" s="126"/>
      <c r="AA60" s="126">
        <f t="shared" si="25"/>
        <v>0</v>
      </c>
      <c r="AB60" s="126"/>
      <c r="AC60" s="119" t="s">
        <v>44</v>
      </c>
      <c r="AD60" s="72"/>
      <c r="AE60" s="72"/>
      <c r="AF60" s="72"/>
      <c r="AI60" s="72"/>
      <c r="AJ60" s="72"/>
      <c r="AK60" s="72"/>
      <c r="AL60" s="14" t="s">
        <v>30</v>
      </c>
      <c r="AM60" s="26" t="s">
        <v>31</v>
      </c>
      <c r="AN60" s="32">
        <f t="shared" ref="AN60:AN72" si="26">$G$22</f>
        <v>5</v>
      </c>
      <c r="AO60" s="33" t="str">
        <f t="shared" si="2"/>
        <v>N-1 EENS 5</v>
      </c>
      <c r="AP60" s="34">
        <f t="shared" ref="AP60:AP72" si="27">G23</f>
        <v>753.64055081831418</v>
      </c>
      <c r="AQ60" s="34">
        <f>NPV('Cost Assumptions'!$B$3,'MiraLoma &amp; Centralized BESS VS'!C19:AD19)</f>
        <v>255.28909060816244</v>
      </c>
    </row>
    <row r="61" spans="1:43" ht="17" x14ac:dyDescent="0.4">
      <c r="A61" s="131" t="s">
        <v>45</v>
      </c>
      <c r="B61" s="131"/>
      <c r="C61" s="123" t="s">
        <v>46</v>
      </c>
      <c r="D61" s="123"/>
      <c r="E61" s="123" t="s">
        <v>47</v>
      </c>
      <c r="F61" s="123"/>
      <c r="G61" s="123" t="s">
        <v>46</v>
      </c>
      <c r="H61" s="123"/>
      <c r="I61" s="123" t="s">
        <v>47</v>
      </c>
      <c r="J61" s="123"/>
      <c r="K61" s="123" t="s">
        <v>47</v>
      </c>
      <c r="L61" s="123"/>
      <c r="M61" s="123" t="s">
        <v>46</v>
      </c>
      <c r="N61" s="123"/>
      <c r="O61" s="152" t="s">
        <v>47</v>
      </c>
      <c r="P61" s="153"/>
      <c r="Q61" s="123" t="s">
        <v>47</v>
      </c>
      <c r="R61" s="123"/>
      <c r="S61" s="123" t="s">
        <v>47</v>
      </c>
      <c r="T61" s="123"/>
      <c r="U61" s="123" t="s">
        <v>47</v>
      </c>
      <c r="V61" s="123"/>
      <c r="W61" s="123" t="s">
        <v>47</v>
      </c>
      <c r="X61" s="123"/>
      <c r="Y61" s="123" t="s">
        <v>46</v>
      </c>
      <c r="Z61" s="123"/>
      <c r="AA61" s="123" t="s">
        <v>47</v>
      </c>
      <c r="AB61" s="123"/>
      <c r="AC61" s="5"/>
      <c r="AD61" s="72"/>
      <c r="AE61" s="72"/>
      <c r="AF61" s="72"/>
      <c r="AI61" s="72"/>
      <c r="AJ61" s="72"/>
      <c r="AK61" s="72"/>
      <c r="AL61" s="14" t="s">
        <v>30</v>
      </c>
      <c r="AM61" s="26" t="s">
        <v>32</v>
      </c>
      <c r="AN61" s="29">
        <f t="shared" si="26"/>
        <v>5</v>
      </c>
      <c r="AO61" s="72" t="str">
        <f t="shared" si="2"/>
        <v>N-1 IP 5</v>
      </c>
      <c r="AP61" s="15">
        <f t="shared" si="27"/>
        <v>43.667206319350967</v>
      </c>
      <c r="AQ61" s="34">
        <f>NPV('Cost Assumptions'!$B$3,'MiraLoma &amp; Centralized BESS VS'!C20:AD20)</f>
        <v>56.503466753761536</v>
      </c>
    </row>
    <row r="62" spans="1:43" x14ac:dyDescent="0.35">
      <c r="A62" s="72"/>
      <c r="B62" s="72"/>
      <c r="C62" s="72"/>
      <c r="D62" s="72"/>
      <c r="E62" s="72"/>
      <c r="F62" s="72"/>
      <c r="G62" s="72"/>
      <c r="H62" s="72"/>
      <c r="I62" s="72"/>
      <c r="J62" s="72"/>
      <c r="K62" s="72"/>
      <c r="L62" s="72"/>
      <c r="M62" s="72"/>
      <c r="N62" s="72"/>
      <c r="O62" s="72"/>
      <c r="P62" s="72"/>
      <c r="Q62" s="72"/>
      <c r="R62" s="72"/>
      <c r="S62" s="72"/>
      <c r="T62" s="72"/>
      <c r="AC62" s="72"/>
      <c r="AD62" s="72"/>
      <c r="AE62" s="72"/>
      <c r="AF62" s="72"/>
      <c r="AI62" s="72"/>
      <c r="AJ62" s="72"/>
      <c r="AK62" s="72"/>
      <c r="AL62" s="14" t="s">
        <v>30</v>
      </c>
      <c r="AM62" s="26" t="s">
        <v>33</v>
      </c>
      <c r="AN62" s="29">
        <f t="shared" si="26"/>
        <v>5</v>
      </c>
      <c r="AO62" s="72" t="str">
        <f t="shared" si="2"/>
        <v>N-1 SAIDI 5</v>
      </c>
      <c r="AP62" s="15">
        <f t="shared" si="27"/>
        <v>69.172604922535854</v>
      </c>
      <c r="AQ62" s="34">
        <f>NPV('Cost Assumptions'!$B$3,'MiraLoma &amp; Centralized BESS VS'!C21:AD21)</f>
        <v>4.1640299147142859</v>
      </c>
    </row>
    <row r="63" spans="1:43" x14ac:dyDescent="0.35">
      <c r="A63" s="72"/>
      <c r="B63" s="72"/>
      <c r="C63" s="72"/>
      <c r="D63" s="72"/>
      <c r="E63" s="72"/>
      <c r="F63" s="72"/>
      <c r="G63" s="72"/>
      <c r="H63" s="72"/>
      <c r="I63" s="72"/>
      <c r="J63" s="72"/>
      <c r="K63" s="72"/>
      <c r="L63" s="72"/>
      <c r="M63" s="72"/>
      <c r="N63" s="72"/>
      <c r="O63" s="72"/>
      <c r="P63" s="72"/>
      <c r="Q63" s="72"/>
      <c r="R63" s="72"/>
      <c r="S63" s="72"/>
      <c r="T63" s="72"/>
      <c r="AC63" s="72"/>
      <c r="AD63" s="72"/>
      <c r="AE63" s="72"/>
      <c r="AF63" s="72"/>
      <c r="AI63" s="72"/>
      <c r="AJ63" s="72"/>
      <c r="AK63" s="72"/>
      <c r="AL63" s="14" t="s">
        <v>30</v>
      </c>
      <c r="AM63" s="26" t="s">
        <v>34</v>
      </c>
      <c r="AN63" s="29">
        <f t="shared" si="26"/>
        <v>5</v>
      </c>
      <c r="AO63" s="72" t="str">
        <f t="shared" si="2"/>
        <v>N-1 SAIFI 5</v>
      </c>
      <c r="AP63" s="15">
        <f t="shared" si="27"/>
        <v>1.2091558864170644</v>
      </c>
      <c r="AQ63" s="34">
        <f>NPV('Cost Assumptions'!$B$3,'MiraLoma &amp; Centralized BESS VS'!C22:AD22)</f>
        <v>0.26301496626720877</v>
      </c>
    </row>
    <row r="64" spans="1:43" ht="19.5" x14ac:dyDescent="0.45">
      <c r="A64" s="139" t="s">
        <v>27</v>
      </c>
      <c r="B64" s="139"/>
      <c r="C64" s="138" t="s">
        <v>48</v>
      </c>
      <c r="D64" s="138"/>
      <c r="E64" s="72"/>
      <c r="F64" s="72"/>
      <c r="G64" s="72"/>
      <c r="H64" s="72"/>
      <c r="I64" s="72"/>
      <c r="J64" s="72"/>
      <c r="K64" s="72"/>
      <c r="L64" s="72"/>
      <c r="M64" s="72"/>
      <c r="N64" s="72"/>
      <c r="O64" s="72"/>
      <c r="P64" s="72"/>
      <c r="Q64" s="72"/>
      <c r="R64" s="72"/>
      <c r="S64" s="72"/>
      <c r="T64" s="72"/>
      <c r="AC64" s="72"/>
      <c r="AD64" s="72"/>
      <c r="AE64" s="72"/>
      <c r="AF64" s="72"/>
      <c r="AI64" s="72"/>
      <c r="AJ64" s="72"/>
      <c r="AK64" s="72"/>
      <c r="AL64" s="14" t="s">
        <v>30</v>
      </c>
      <c r="AM64" s="26" t="s">
        <v>35</v>
      </c>
      <c r="AN64" s="29">
        <f t="shared" si="26"/>
        <v>5</v>
      </c>
      <c r="AO64" s="72" t="str">
        <f t="shared" si="2"/>
        <v>N-1 PFD 5</v>
      </c>
      <c r="AP64" s="15">
        <f t="shared" si="27"/>
        <v>269.1878055059604</v>
      </c>
      <c r="AQ64" s="34">
        <f>NPV('Cost Assumptions'!$B$3,'MiraLoma &amp; Centralized BESS VS'!C23:AD23)</f>
        <v>46.770288709684991</v>
      </c>
    </row>
    <row r="65" spans="1:43" ht="15" customHeight="1" x14ac:dyDescent="0.35">
      <c r="A65" s="139"/>
      <c r="B65" s="139"/>
      <c r="C65" s="151" t="str">
        <f>$C$66&amp;" --&gt; "&amp;$D$66</f>
        <v>0 --&gt; 1</v>
      </c>
      <c r="D65" s="151"/>
      <c r="E65" s="56"/>
      <c r="F65" s="72"/>
      <c r="G65" s="72"/>
      <c r="H65" s="72"/>
      <c r="I65" s="56"/>
      <c r="J65" s="56"/>
      <c r="K65" s="56"/>
      <c r="L65" s="56"/>
      <c r="M65" s="56"/>
      <c r="N65" s="56"/>
      <c r="O65" s="56"/>
      <c r="P65" s="56"/>
      <c r="Q65" s="72"/>
      <c r="R65" s="72"/>
      <c r="S65" s="72"/>
      <c r="T65" s="72"/>
      <c r="AC65" s="72"/>
      <c r="AD65" s="72"/>
      <c r="AE65" s="72"/>
      <c r="AF65" s="72"/>
      <c r="AI65" s="72"/>
      <c r="AJ65" s="72"/>
      <c r="AK65" s="72"/>
      <c r="AL65" s="72" t="s">
        <v>30</v>
      </c>
      <c r="AM65" s="1" t="s">
        <v>36</v>
      </c>
      <c r="AN65" s="29">
        <f t="shared" si="26"/>
        <v>5</v>
      </c>
      <c r="AO65" s="72" t="str">
        <f t="shared" si="2"/>
        <v>N-1 Available Flex-1 5</v>
      </c>
      <c r="AP65" s="62">
        <f t="shared" si="27"/>
        <v>85504.238977438508</v>
      </c>
      <c r="AQ65" s="34">
        <f>NPV('Cost Assumptions'!$B$3,'MiraLoma &amp; Centralized BESS VS'!C24:AD24)</f>
        <v>48201.807186815968</v>
      </c>
    </row>
    <row r="66" spans="1:43" ht="15" customHeight="1" x14ac:dyDescent="0.35">
      <c r="A66" s="139"/>
      <c r="B66" s="139"/>
      <c r="C66" s="115">
        <f>$A$4</f>
        <v>0</v>
      </c>
      <c r="D66" s="115">
        <v>1</v>
      </c>
      <c r="E66" s="72"/>
      <c r="F66" s="72"/>
      <c r="G66" s="72"/>
      <c r="H66" s="72"/>
      <c r="I66" s="72"/>
      <c r="J66" s="72"/>
      <c r="K66" s="72"/>
      <c r="L66" s="72"/>
      <c r="M66" s="72"/>
      <c r="N66" s="72"/>
      <c r="O66" s="72"/>
      <c r="P66" s="72"/>
      <c r="Q66" s="72"/>
      <c r="R66" s="72"/>
      <c r="S66" s="72"/>
      <c r="T66" s="72"/>
      <c r="AC66" s="72"/>
      <c r="AD66" s="72"/>
      <c r="AE66" s="72"/>
      <c r="AF66" s="72"/>
      <c r="AI66" s="72"/>
      <c r="AJ66" s="72"/>
      <c r="AK66" s="72"/>
      <c r="AL66" s="14" t="s">
        <v>30</v>
      </c>
      <c r="AM66" s="26" t="s">
        <v>37</v>
      </c>
      <c r="AN66" s="29">
        <f t="shared" si="26"/>
        <v>5</v>
      </c>
      <c r="AO66" s="72" t="str">
        <f t="shared" si="2"/>
        <v>N-1 Available Flex-2-1 5</v>
      </c>
      <c r="AP66" s="15">
        <f t="shared" si="27"/>
        <v>499595.17897993606</v>
      </c>
      <c r="AQ66" s="34">
        <f>NPV('Cost Assumptions'!$B$3,'MiraLoma &amp; Centralized BESS VS'!C25:AD25)</f>
        <v>1360511.8655163937</v>
      </c>
    </row>
    <row r="67" spans="1:43" x14ac:dyDescent="0.35">
      <c r="A67" s="80" t="s">
        <v>30</v>
      </c>
      <c r="B67" s="26" t="s">
        <v>31</v>
      </c>
      <c r="C67" s="126">
        <f t="shared" ref="C67:C79" si="28">(VLOOKUP(CONCATENATE($A67," ",$B67," ",$D$66),AO:AQ,3,FALSE)-VLOOKUP(CONCATENATE($A67," ",$B67," ",$C$66),AO:AQ,3,FALSE))/(VLOOKUP($D$66,$A$3:$D$17,3,FALSE)-(VLOOKUP($C$66,$A$3:$D$17,3,FALSE)))</f>
        <v>-1.8357727714141081</v>
      </c>
      <c r="D67" s="126"/>
      <c r="E67" s="56"/>
      <c r="F67" s="72"/>
      <c r="G67" s="72"/>
      <c r="H67" s="72"/>
      <c r="I67" s="56"/>
      <c r="J67" s="56"/>
      <c r="K67" s="56"/>
      <c r="L67" s="56"/>
      <c r="M67" s="56"/>
      <c r="N67" s="56"/>
      <c r="O67" s="56"/>
      <c r="P67" s="56"/>
      <c r="Q67" s="72"/>
      <c r="R67" s="72"/>
      <c r="S67" s="72"/>
      <c r="T67" s="72"/>
      <c r="AC67" s="72"/>
      <c r="AD67" s="72"/>
      <c r="AE67" s="72"/>
      <c r="AF67" s="72"/>
      <c r="AI67" s="72"/>
      <c r="AJ67" s="72"/>
      <c r="AK67" s="72"/>
      <c r="AL67" s="14" t="s">
        <v>30</v>
      </c>
      <c r="AM67" s="26" t="s">
        <v>38</v>
      </c>
      <c r="AN67" s="29">
        <f t="shared" si="26"/>
        <v>5</v>
      </c>
      <c r="AO67" s="72" t="str">
        <f t="shared" si="2"/>
        <v>N-1 Available Flex-2-2 5</v>
      </c>
      <c r="AP67" s="15">
        <f t="shared" si="27"/>
        <v>451168.6674474118</v>
      </c>
      <c r="AQ67" s="34">
        <f>NPV('Cost Assumptions'!$B$3,'MiraLoma &amp; Centralized BESS VS'!C26:AD26)</f>
        <v>243153.20312405759</v>
      </c>
    </row>
    <row r="68" spans="1:43" x14ac:dyDescent="0.35">
      <c r="A68" s="80" t="s">
        <v>30</v>
      </c>
      <c r="B68" s="26" t="s">
        <v>32</v>
      </c>
      <c r="C68" s="126">
        <f t="shared" si="28"/>
        <v>-0.17728280370882307</v>
      </c>
      <c r="D68" s="126"/>
      <c r="E68" s="56"/>
      <c r="F68" s="72"/>
      <c r="G68" s="72"/>
      <c r="H68" s="72"/>
      <c r="I68" s="56"/>
      <c r="J68" s="56"/>
      <c r="K68" s="56"/>
      <c r="L68" s="56"/>
      <c r="M68" s="56"/>
      <c r="N68" s="56"/>
      <c r="O68" s="56"/>
      <c r="P68" s="56"/>
      <c r="Q68" s="72"/>
      <c r="R68" s="72"/>
      <c r="S68" s="72"/>
      <c r="T68" s="72"/>
      <c r="AC68" s="72"/>
      <c r="AD68" s="72"/>
      <c r="AE68" s="72"/>
      <c r="AF68" s="72"/>
      <c r="AI68" s="72"/>
      <c r="AJ68" s="72"/>
      <c r="AK68" s="72"/>
      <c r="AL68" s="14" t="s">
        <v>39</v>
      </c>
      <c r="AM68" s="26" t="s">
        <v>31</v>
      </c>
      <c r="AN68" s="29">
        <f t="shared" si="26"/>
        <v>5</v>
      </c>
      <c r="AO68" s="72" t="str">
        <f t="shared" si="2"/>
        <v>N-0 EENS 5</v>
      </c>
      <c r="AP68" s="25">
        <f t="shared" si="27"/>
        <v>3662.4319152534908</v>
      </c>
      <c r="AQ68" s="34">
        <f>NPV('Cost Assumptions'!$B$3,'MiraLoma &amp; Centralized BESS VS'!C27:AD27)</f>
        <v>0</v>
      </c>
    </row>
    <row r="69" spans="1:43" x14ac:dyDescent="0.35">
      <c r="A69" s="80" t="s">
        <v>30</v>
      </c>
      <c r="B69" s="26" t="s">
        <v>33</v>
      </c>
      <c r="C69" s="126">
        <f t="shared" si="28"/>
        <v>-0.13441328586677492</v>
      </c>
      <c r="D69" s="126"/>
      <c r="E69" s="56"/>
      <c r="F69" s="72"/>
      <c r="G69" s="72"/>
      <c r="H69" s="72"/>
      <c r="I69" s="56"/>
      <c r="J69" s="56"/>
      <c r="K69" s="56"/>
      <c r="L69" s="56"/>
      <c r="M69" s="56"/>
      <c r="N69" s="56"/>
      <c r="O69" s="56"/>
      <c r="P69" s="56"/>
      <c r="Q69" s="72"/>
      <c r="R69" s="72"/>
      <c r="S69" s="72"/>
      <c r="T69" s="72"/>
      <c r="AC69" s="72"/>
      <c r="AD69" s="72"/>
      <c r="AE69" s="72"/>
      <c r="AF69" s="72"/>
      <c r="AI69" s="72"/>
      <c r="AJ69" s="72"/>
      <c r="AK69" s="72"/>
      <c r="AL69" s="14" t="s">
        <v>39</v>
      </c>
      <c r="AM69" s="26" t="s">
        <v>32</v>
      </c>
      <c r="AN69" s="29">
        <f t="shared" si="26"/>
        <v>5</v>
      </c>
      <c r="AO69" s="72" t="str">
        <f t="shared" si="2"/>
        <v>N-0 IP 5</v>
      </c>
      <c r="AP69" s="25">
        <f t="shared" si="27"/>
        <v>603.3370677068466</v>
      </c>
      <c r="AQ69" s="34">
        <f>NPV('Cost Assumptions'!$B$3,'MiraLoma &amp; Centralized BESS VS'!C28:AD28)</f>
        <v>0</v>
      </c>
    </row>
    <row r="70" spans="1:43" x14ac:dyDescent="0.35">
      <c r="A70" s="80" t="s">
        <v>30</v>
      </c>
      <c r="B70" s="26" t="s">
        <v>34</v>
      </c>
      <c r="C70" s="126">
        <f t="shared" si="28"/>
        <v>-2.6620894567631246E-3</v>
      </c>
      <c r="D70" s="126"/>
      <c r="E70" s="56"/>
      <c r="F70" s="72"/>
      <c r="G70" s="72"/>
      <c r="H70" s="72"/>
      <c r="I70" s="56"/>
      <c r="J70" s="56"/>
      <c r="K70" s="56"/>
      <c r="L70" s="56"/>
      <c r="M70" s="56"/>
      <c r="N70" s="56"/>
      <c r="O70" s="56"/>
      <c r="P70" s="56"/>
      <c r="Q70" s="72"/>
      <c r="R70" s="72"/>
      <c r="S70" s="72"/>
      <c r="T70" s="72"/>
      <c r="AC70" s="72"/>
      <c r="AD70" s="72"/>
      <c r="AE70" s="72"/>
      <c r="AF70" s="72"/>
      <c r="AI70" s="72"/>
      <c r="AJ70" s="72"/>
      <c r="AK70" s="72"/>
      <c r="AL70" s="14" t="s">
        <v>39</v>
      </c>
      <c r="AM70" s="26" t="s">
        <v>33</v>
      </c>
      <c r="AN70" s="29">
        <f t="shared" si="26"/>
        <v>5</v>
      </c>
      <c r="AO70" s="72" t="str">
        <f t="shared" si="2"/>
        <v>N-0 SAIDI 5</v>
      </c>
      <c r="AP70" s="25">
        <f t="shared" si="27"/>
        <v>54.089806048569208</v>
      </c>
      <c r="AQ70" s="34">
        <f>NPV('Cost Assumptions'!$B$3,'MiraLoma &amp; Centralized BESS VS'!C29:AD29)</f>
        <v>0</v>
      </c>
    </row>
    <row r="71" spans="1:43" x14ac:dyDescent="0.35">
      <c r="A71" s="80" t="s">
        <v>30</v>
      </c>
      <c r="B71" s="26" t="s">
        <v>35</v>
      </c>
      <c r="C71" s="126">
        <f t="shared" si="28"/>
        <v>-0.5763093281699746</v>
      </c>
      <c r="D71" s="126"/>
      <c r="E71" s="56"/>
      <c r="F71" s="72"/>
      <c r="G71" s="72"/>
      <c r="H71" s="72"/>
      <c r="I71" s="56"/>
      <c r="J71" s="56"/>
      <c r="K71" s="56"/>
      <c r="L71" s="56"/>
      <c r="M71" s="56"/>
      <c r="N71" s="56"/>
      <c r="O71" s="56"/>
      <c r="P71" s="56"/>
      <c r="Q71" s="72"/>
      <c r="R71" s="72"/>
      <c r="S71" s="72"/>
      <c r="T71" s="72"/>
      <c r="AC71" s="72"/>
      <c r="AD71" s="72"/>
      <c r="AE71" s="72"/>
      <c r="AF71" s="72"/>
      <c r="AI71" s="72"/>
      <c r="AJ71" s="72"/>
      <c r="AK71" s="72"/>
      <c r="AL71" s="14" t="s">
        <v>39</v>
      </c>
      <c r="AM71" s="26" t="s">
        <v>34</v>
      </c>
      <c r="AN71" s="29">
        <f t="shared" si="26"/>
        <v>5</v>
      </c>
      <c r="AO71" s="72" t="str">
        <f t="shared" si="2"/>
        <v>N-0 SAIFI 5</v>
      </c>
      <c r="AP71" s="25">
        <f t="shared" si="27"/>
        <v>2.9078711043982364</v>
      </c>
      <c r="AQ71" s="34">
        <f>NPV('Cost Assumptions'!$B$3,'MiraLoma &amp; Centralized BESS VS'!C30:AD30)</f>
        <v>0</v>
      </c>
    </row>
    <row r="72" spans="1:43" x14ac:dyDescent="0.35">
      <c r="A72" s="118" t="s">
        <v>30</v>
      </c>
      <c r="B72" s="26" t="s">
        <v>36</v>
      </c>
      <c r="C72" s="126">
        <f t="shared" si="28"/>
        <v>-245.3321947967971</v>
      </c>
      <c r="D72" s="126"/>
      <c r="E72" s="56"/>
      <c r="F72" s="72"/>
      <c r="G72" s="72"/>
      <c r="H72" s="72"/>
      <c r="I72" s="56"/>
      <c r="J72" s="56"/>
      <c r="K72" s="56"/>
      <c r="L72" s="56"/>
      <c r="M72" s="56"/>
      <c r="N72" s="56"/>
      <c r="O72" s="56"/>
      <c r="P72" s="56"/>
      <c r="Q72" s="72"/>
      <c r="R72" s="72"/>
      <c r="S72" s="72"/>
      <c r="T72" s="72"/>
      <c r="AC72" s="72"/>
      <c r="AD72" s="72"/>
      <c r="AE72" s="72"/>
      <c r="AF72" s="72"/>
      <c r="AI72" s="72"/>
      <c r="AJ72" s="72"/>
      <c r="AK72" s="72"/>
      <c r="AL72" s="14" t="s">
        <v>39</v>
      </c>
      <c r="AM72" s="26" t="s">
        <v>35</v>
      </c>
      <c r="AN72" s="112">
        <f t="shared" si="26"/>
        <v>5</v>
      </c>
      <c r="AO72" s="30" t="str">
        <f t="shared" si="2"/>
        <v>N-0 PFD 5</v>
      </c>
      <c r="AP72" s="25">
        <f t="shared" si="27"/>
        <v>81.976482418430209</v>
      </c>
      <c r="AQ72" s="34">
        <f>NPV('Cost Assumptions'!$B$3,'MiraLoma &amp; Centralized BESS VS'!C31:AD31)</f>
        <v>0</v>
      </c>
    </row>
    <row r="73" spans="1:43" x14ac:dyDescent="0.35">
      <c r="A73" s="118" t="s">
        <v>30</v>
      </c>
      <c r="B73" s="26" t="s">
        <v>37</v>
      </c>
      <c r="C73" s="126">
        <f t="shared" si="28"/>
        <v>-3246.2200435964141</v>
      </c>
      <c r="D73" s="126"/>
      <c r="E73" s="56"/>
      <c r="F73" s="72"/>
      <c r="G73" s="72"/>
      <c r="H73" s="72"/>
      <c r="I73" s="56"/>
      <c r="J73" s="56"/>
      <c r="K73" s="56"/>
      <c r="L73" s="56"/>
      <c r="M73" s="56"/>
      <c r="N73" s="56"/>
      <c r="O73" s="56"/>
      <c r="P73" s="56"/>
      <c r="Q73" s="72"/>
      <c r="R73" s="72"/>
      <c r="S73" s="72"/>
      <c r="T73" s="72"/>
      <c r="AC73" s="72"/>
      <c r="AD73" s="72"/>
      <c r="AE73" s="72"/>
      <c r="AF73" s="72"/>
      <c r="AI73" s="72"/>
      <c r="AJ73" s="72"/>
      <c r="AK73" s="72"/>
      <c r="AL73" s="14" t="s">
        <v>30</v>
      </c>
      <c r="AM73" s="26" t="s">
        <v>31</v>
      </c>
      <c r="AN73" s="32">
        <v>0</v>
      </c>
      <c r="AO73" s="35" t="str">
        <f t="shared" si="2"/>
        <v>N-1 EENS 0</v>
      </c>
      <c r="AP73" s="25">
        <v>0</v>
      </c>
      <c r="AQ73" s="34">
        <f>NPV('Cost Assumptions'!$B$3,'Baseline System Analysis'!C3:AD3)</f>
        <v>1008.9296414264766</v>
      </c>
    </row>
    <row r="74" spans="1:43" x14ac:dyDescent="0.35">
      <c r="A74" s="118" t="s">
        <v>30</v>
      </c>
      <c r="B74" s="26" t="s">
        <v>38</v>
      </c>
      <c r="C74" s="126">
        <f t="shared" si="28"/>
        <v>-1273.9850836173746</v>
      </c>
      <c r="D74" s="126"/>
      <c r="E74" s="56"/>
      <c r="F74" s="72"/>
      <c r="G74" s="72"/>
      <c r="H74" s="72"/>
      <c r="I74" s="56"/>
      <c r="J74" s="56"/>
      <c r="K74" s="56"/>
      <c r="L74" s="56"/>
      <c r="M74" s="56"/>
      <c r="N74" s="56"/>
      <c r="O74" s="56"/>
      <c r="P74" s="56"/>
      <c r="Q74" s="72"/>
      <c r="R74" s="72"/>
      <c r="S74" s="72"/>
      <c r="T74" s="72"/>
      <c r="AC74" s="72"/>
      <c r="AD74" s="72"/>
      <c r="AE74" s="72"/>
      <c r="AF74" s="72"/>
      <c r="AI74" s="72"/>
      <c r="AJ74" s="72"/>
      <c r="AK74" s="72"/>
      <c r="AL74" s="14" t="s">
        <v>30</v>
      </c>
      <c r="AM74" s="26" t="s">
        <v>32</v>
      </c>
      <c r="AN74" s="29">
        <v>0</v>
      </c>
      <c r="AO74" s="30" t="str">
        <f t="shared" si="2"/>
        <v>N-1 IP 0</v>
      </c>
      <c r="AP74" s="25">
        <v>0</v>
      </c>
      <c r="AQ74" s="34">
        <f>NPV('Cost Assumptions'!$B$3,'Baseline System Analysis'!C4:AD4)</f>
        <v>100.1706730731125</v>
      </c>
    </row>
    <row r="75" spans="1:43" x14ac:dyDescent="0.35">
      <c r="A75" s="118" t="s">
        <v>39</v>
      </c>
      <c r="B75" s="26" t="s">
        <v>31</v>
      </c>
      <c r="C75" s="126">
        <f t="shared" si="28"/>
        <v>-6.7200585600981482</v>
      </c>
      <c r="D75" s="126"/>
      <c r="E75" s="56"/>
      <c r="F75" s="72"/>
      <c r="G75" s="72"/>
      <c r="H75" s="72"/>
      <c r="I75" s="56"/>
      <c r="J75" s="56"/>
      <c r="K75" s="56"/>
      <c r="L75" s="56"/>
      <c r="M75" s="56"/>
      <c r="N75" s="56"/>
      <c r="O75" s="56"/>
      <c r="P75" s="56"/>
      <c r="Q75" s="72"/>
      <c r="R75" s="72"/>
      <c r="S75" s="72"/>
      <c r="T75" s="72"/>
      <c r="AC75" s="72"/>
      <c r="AD75" s="72"/>
      <c r="AE75" s="72"/>
      <c r="AF75" s="72"/>
      <c r="AI75" s="72"/>
      <c r="AJ75" s="72"/>
      <c r="AK75" s="72"/>
      <c r="AL75" s="14" t="s">
        <v>30</v>
      </c>
      <c r="AM75" s="26" t="s">
        <v>33</v>
      </c>
      <c r="AN75" s="29">
        <v>0</v>
      </c>
      <c r="AO75" s="30" t="str">
        <f t="shared" si="2"/>
        <v>N-1 SAIDI 0</v>
      </c>
      <c r="AP75" s="119">
        <v>0</v>
      </c>
      <c r="AQ75" s="34">
        <f>NPV('Cost Assumptions'!$B$3,'Baseline System Analysis'!C5:AD5)</f>
        <v>73.336634837250131</v>
      </c>
    </row>
    <row r="76" spans="1:43" x14ac:dyDescent="0.35">
      <c r="A76" s="118" t="s">
        <v>39</v>
      </c>
      <c r="B76" s="26" t="s">
        <v>32</v>
      </c>
      <c r="C76" s="126">
        <f t="shared" si="28"/>
        <v>-1.1070404912052232</v>
      </c>
      <c r="D76" s="126"/>
      <c r="E76" s="56"/>
      <c r="F76" s="72"/>
      <c r="G76" s="72"/>
      <c r="H76" s="72"/>
      <c r="I76" s="56"/>
      <c r="J76" s="56"/>
      <c r="K76" s="56"/>
      <c r="L76" s="56"/>
      <c r="M76" s="56"/>
      <c r="N76" s="56"/>
      <c r="O76" s="56"/>
      <c r="P76" s="56"/>
      <c r="Q76" s="72"/>
      <c r="R76" s="72"/>
      <c r="S76" s="72"/>
      <c r="T76" s="72"/>
      <c r="AC76" s="72"/>
      <c r="AD76" s="72"/>
      <c r="AE76" s="72"/>
      <c r="AF76" s="72"/>
      <c r="AI76" s="72"/>
      <c r="AJ76" s="72"/>
      <c r="AK76" s="72"/>
      <c r="AL76" s="14" t="s">
        <v>30</v>
      </c>
      <c r="AM76" s="26" t="s">
        <v>34</v>
      </c>
      <c r="AN76" s="29">
        <v>0</v>
      </c>
      <c r="AO76" s="30" t="str">
        <f t="shared" si="2"/>
        <v>N-1 SAIFI 0</v>
      </c>
      <c r="AP76" s="25">
        <v>0</v>
      </c>
      <c r="AQ76" s="34">
        <f>NPV('Cost Assumptions'!$B$3,'Baseline System Analysis'!C6:AD6)</f>
        <v>1.4721708526842732</v>
      </c>
    </row>
    <row r="77" spans="1:43" x14ac:dyDescent="0.35">
      <c r="A77" s="118" t="s">
        <v>39</v>
      </c>
      <c r="B77" s="26" t="s">
        <v>33</v>
      </c>
      <c r="C77" s="126">
        <f t="shared" si="28"/>
        <v>-9.9247350547833416E-2</v>
      </c>
      <c r="D77" s="126"/>
      <c r="E77" s="56"/>
      <c r="F77" s="56"/>
      <c r="G77" s="56"/>
      <c r="H77" s="56"/>
      <c r="I77" s="56"/>
      <c r="J77" s="56"/>
      <c r="K77" s="56"/>
      <c r="L77" s="56"/>
      <c r="M77" s="56"/>
      <c r="N77" s="56"/>
      <c r="O77" s="56"/>
      <c r="P77" s="56"/>
      <c r="Q77" s="72"/>
      <c r="R77" s="72"/>
      <c r="S77" s="72"/>
      <c r="T77" s="72"/>
      <c r="AC77" s="72"/>
      <c r="AD77" s="72"/>
      <c r="AE77" s="72"/>
      <c r="AF77" s="72"/>
      <c r="AI77" s="72"/>
      <c r="AJ77" s="72"/>
      <c r="AK77" s="72"/>
      <c r="AL77" s="14" t="s">
        <v>30</v>
      </c>
      <c r="AM77" s="26" t="s">
        <v>35</v>
      </c>
      <c r="AN77" s="29">
        <v>0</v>
      </c>
      <c r="AO77" s="30" t="str">
        <f t="shared" si="2"/>
        <v>N-1 PFD 0</v>
      </c>
      <c r="AP77" s="25">
        <v>0</v>
      </c>
      <c r="AQ77" s="34">
        <f>NPV('Cost Assumptions'!$B$3,'Baseline System Analysis'!C7:AD7)</f>
        <v>315.95809421564536</v>
      </c>
    </row>
    <row r="78" spans="1:43" x14ac:dyDescent="0.35">
      <c r="A78" s="118" t="s">
        <v>39</v>
      </c>
      <c r="B78" s="26" t="s">
        <v>34</v>
      </c>
      <c r="C78" s="126">
        <f t="shared" si="28"/>
        <v>-5.3355433108224519E-3</v>
      </c>
      <c r="D78" s="126"/>
      <c r="E78" s="56"/>
      <c r="F78" s="56"/>
      <c r="G78" s="56"/>
      <c r="H78" s="56"/>
      <c r="I78" s="56"/>
      <c r="J78" s="56"/>
      <c r="K78" s="56"/>
      <c r="L78" s="56"/>
      <c r="M78" s="56"/>
      <c r="N78" s="56"/>
      <c r="O78" s="56"/>
      <c r="P78" s="56"/>
      <c r="Q78" s="72"/>
      <c r="R78" s="72"/>
      <c r="S78" s="72"/>
      <c r="T78" s="72"/>
      <c r="AC78" s="72"/>
      <c r="AD78" s="72"/>
      <c r="AE78" s="72"/>
      <c r="AF78" s="72"/>
      <c r="AI78" s="72"/>
      <c r="AJ78" s="72"/>
      <c r="AK78" s="72"/>
      <c r="AL78" s="72" t="s">
        <v>30</v>
      </c>
      <c r="AM78" s="72" t="s">
        <v>36</v>
      </c>
      <c r="AN78" s="29">
        <v>0</v>
      </c>
      <c r="AO78" s="30" t="str">
        <f t="shared" ref="AO78:AO98" si="29">CONCATENATE(AL78," ",AM78," ",AN78)</f>
        <v>N-1 Available Flex-1 0</v>
      </c>
      <c r="AP78" s="25">
        <v>0</v>
      </c>
      <c r="AQ78" s="34">
        <f>NPV('Cost Assumptions'!$B$3,'Baseline System Analysis'!C13:AD13)</f>
        <v>133706.04616425443</v>
      </c>
    </row>
    <row r="79" spans="1:43" x14ac:dyDescent="0.35">
      <c r="A79" s="118" t="s">
        <v>39</v>
      </c>
      <c r="B79" s="26" t="s">
        <v>35</v>
      </c>
      <c r="C79" s="126">
        <f t="shared" si="28"/>
        <v>-0.15041556407051415</v>
      </c>
      <c r="D79" s="126"/>
      <c r="E79" s="56"/>
      <c r="F79" s="56"/>
      <c r="G79" s="56"/>
      <c r="H79" s="56"/>
      <c r="I79" s="56"/>
      <c r="J79" s="56"/>
      <c r="K79" s="56"/>
      <c r="L79" s="56"/>
      <c r="M79" s="56"/>
      <c r="N79" s="56"/>
      <c r="O79" s="56"/>
      <c r="P79" s="56"/>
      <c r="Q79" s="72"/>
      <c r="R79" s="72"/>
      <c r="S79" s="72"/>
      <c r="T79" s="72"/>
      <c r="AC79" s="72"/>
      <c r="AD79" s="72"/>
      <c r="AE79" s="72"/>
      <c r="AF79" s="72"/>
      <c r="AI79" s="72"/>
      <c r="AJ79" s="72"/>
      <c r="AK79" s="72"/>
      <c r="AL79" s="14" t="s">
        <v>30</v>
      </c>
      <c r="AM79" s="26" t="s">
        <v>37</v>
      </c>
      <c r="AN79" s="29">
        <v>0</v>
      </c>
      <c r="AO79" s="30" t="str">
        <f t="shared" si="29"/>
        <v>N-1 Available Flex-2-1 0</v>
      </c>
      <c r="AP79" s="25">
        <v>0</v>
      </c>
      <c r="AQ79" s="34">
        <f>NPV('Cost Assumptions'!$B$3,'Baseline System Analysis'!C14:AD14)</f>
        <v>1860107.0444963297</v>
      </c>
    </row>
    <row r="80" spans="1:43" x14ac:dyDescent="0.35">
      <c r="A80" s="72"/>
      <c r="B80" s="72"/>
      <c r="C80" s="72"/>
      <c r="D80" s="72"/>
      <c r="E80" s="72"/>
      <c r="F80" s="72"/>
      <c r="G80" s="72"/>
      <c r="H80" s="72"/>
      <c r="I80" s="72"/>
      <c r="J80" s="72"/>
      <c r="K80" s="72"/>
      <c r="L80" s="72"/>
      <c r="M80" s="72"/>
      <c r="N80" s="72"/>
      <c r="O80" s="72"/>
      <c r="P80" s="72"/>
      <c r="Q80" s="72"/>
      <c r="R80" s="72"/>
      <c r="S80" s="72"/>
      <c r="T80" s="72"/>
      <c r="AC80" s="72"/>
      <c r="AD80" s="72"/>
      <c r="AE80" s="72"/>
      <c r="AF80" s="72"/>
      <c r="AI80" s="72"/>
      <c r="AJ80" s="72"/>
      <c r="AK80" s="72"/>
      <c r="AL80" s="14" t="s">
        <v>30</v>
      </c>
      <c r="AM80" s="26" t="s">
        <v>38</v>
      </c>
      <c r="AN80" s="29">
        <v>0</v>
      </c>
      <c r="AO80" s="30" t="str">
        <f t="shared" si="29"/>
        <v>N-1 Available Flex-2-2 0</v>
      </c>
      <c r="AP80" s="25">
        <v>0</v>
      </c>
      <c r="AQ80" s="34">
        <f>NPV('Cost Assumptions'!$B$3,'Baseline System Analysis'!C15:AD15)</f>
        <v>694321.87057146919</v>
      </c>
    </row>
    <row r="81" spans="38:43" x14ac:dyDescent="0.35">
      <c r="AL81" s="14" t="s">
        <v>39</v>
      </c>
      <c r="AM81" s="26" t="s">
        <v>31</v>
      </c>
      <c r="AN81" s="29">
        <v>0</v>
      </c>
      <c r="AO81" s="30" t="str">
        <f t="shared" si="29"/>
        <v>N-0 EENS 0</v>
      </c>
      <c r="AP81" s="25">
        <v>0</v>
      </c>
      <c r="AQ81" s="34">
        <f>NPV('Cost Assumptions'!$B$3,'Baseline System Analysis'!C8:AD8)</f>
        <v>3662.4319152534908</v>
      </c>
    </row>
    <row r="82" spans="38:43" x14ac:dyDescent="0.35">
      <c r="AL82" s="14" t="s">
        <v>39</v>
      </c>
      <c r="AM82" s="26" t="s">
        <v>32</v>
      </c>
      <c r="AN82" s="29">
        <v>0</v>
      </c>
      <c r="AO82" s="30" t="str">
        <f t="shared" si="29"/>
        <v>N-0 IP 0</v>
      </c>
      <c r="AP82" s="25">
        <v>0</v>
      </c>
      <c r="AQ82" s="34">
        <f>NPV('Cost Assumptions'!$B$3,'Baseline System Analysis'!C9:AD9)</f>
        <v>603.3370677068466</v>
      </c>
    </row>
    <row r="83" spans="38:43" x14ac:dyDescent="0.35">
      <c r="AL83" s="14" t="s">
        <v>39</v>
      </c>
      <c r="AM83" s="26" t="s">
        <v>33</v>
      </c>
      <c r="AN83" s="29">
        <v>0</v>
      </c>
      <c r="AO83" s="30" t="str">
        <f t="shared" si="29"/>
        <v>N-0 SAIDI 0</v>
      </c>
      <c r="AP83" s="25">
        <v>0</v>
      </c>
      <c r="AQ83" s="34">
        <f>NPV('Cost Assumptions'!$B$3,'Baseline System Analysis'!C10:AD10)</f>
        <v>54.089806048569208</v>
      </c>
    </row>
    <row r="84" spans="38:43" x14ac:dyDescent="0.35">
      <c r="AL84" s="14" t="s">
        <v>39</v>
      </c>
      <c r="AM84" s="26" t="s">
        <v>34</v>
      </c>
      <c r="AN84" s="29">
        <v>0</v>
      </c>
      <c r="AO84" s="30" t="str">
        <f t="shared" si="29"/>
        <v>N-0 SAIFI 0</v>
      </c>
      <c r="AP84" s="119">
        <v>0</v>
      </c>
      <c r="AQ84" s="34">
        <f>NPV('Cost Assumptions'!$B$3,'Baseline System Analysis'!C11:AD11)</f>
        <v>2.9078711043982364</v>
      </c>
    </row>
    <row r="85" spans="38:43" x14ac:dyDescent="0.35">
      <c r="AL85" s="14" t="s">
        <v>39</v>
      </c>
      <c r="AM85" s="26" t="s">
        <v>35</v>
      </c>
      <c r="AN85" s="112">
        <v>0</v>
      </c>
      <c r="AO85" s="30" t="str">
        <f t="shared" si="29"/>
        <v>N-0 PFD 0</v>
      </c>
      <c r="AP85" s="25">
        <v>0</v>
      </c>
      <c r="AQ85" s="34">
        <f>NPV('Cost Assumptions'!$B$3,'Baseline System Analysis'!C12:AD12)</f>
        <v>81.976482418430209</v>
      </c>
    </row>
    <row r="86" spans="38:43" x14ac:dyDescent="0.35">
      <c r="AL86" s="14" t="s">
        <v>30</v>
      </c>
      <c r="AM86" s="40" t="s">
        <v>31</v>
      </c>
      <c r="AN86" s="118">
        <v>6</v>
      </c>
      <c r="AO86" s="42" t="str">
        <f t="shared" si="29"/>
        <v>N-1 EENS 6</v>
      </c>
      <c r="AP86" s="25">
        <f t="shared" ref="AP86:AP98" si="30">H23</f>
        <v>114.42912412587738</v>
      </c>
      <c r="AQ86" s="34">
        <f>NPV('Cost Assumptions'!$B$3,'VS to VN &amp; Distributed BESS VS'!C19:AD19)</f>
        <v>894.50051730059943</v>
      </c>
    </row>
    <row r="87" spans="38:43" x14ac:dyDescent="0.35">
      <c r="AL87" s="14" t="s">
        <v>30</v>
      </c>
      <c r="AM87" s="40" t="s">
        <v>32</v>
      </c>
      <c r="AN87" s="118">
        <v>6</v>
      </c>
      <c r="AO87" s="41" t="str">
        <f t="shared" si="29"/>
        <v>N-1 IP 6</v>
      </c>
      <c r="AP87" s="25">
        <f t="shared" si="30"/>
        <v>-30.412621955669433</v>
      </c>
      <c r="AQ87" s="34">
        <f>NPV('Cost Assumptions'!$B$3,'VS to VN &amp; Distributed BESS VS'!C20:AD20)</f>
        <v>130.58329502878198</v>
      </c>
    </row>
    <row r="88" spans="38:43" x14ac:dyDescent="0.35">
      <c r="AL88" s="14" t="s">
        <v>30</v>
      </c>
      <c r="AM88" s="40" t="s">
        <v>33</v>
      </c>
      <c r="AN88" s="118">
        <v>6</v>
      </c>
      <c r="AO88" s="41" t="str">
        <f t="shared" si="29"/>
        <v>N-1 SAIDI 6</v>
      </c>
      <c r="AP88" s="25">
        <f t="shared" si="30"/>
        <v>54.408682117250308</v>
      </c>
      <c r="AQ88" s="34">
        <f>NPV('Cost Assumptions'!$B$3,'VS to VN &amp; Distributed BESS VS'!C21:AD21)</f>
        <v>18.92795271999983</v>
      </c>
    </row>
    <row r="89" spans="38:43" x14ac:dyDescent="0.35">
      <c r="AL89" s="14" t="s">
        <v>30</v>
      </c>
      <c r="AM89" s="40" t="s">
        <v>34</v>
      </c>
      <c r="AN89" s="118">
        <v>6</v>
      </c>
      <c r="AO89" s="41" t="str">
        <f t="shared" si="29"/>
        <v>N-1 SAIFI 6</v>
      </c>
      <c r="AP89" s="25">
        <f t="shared" si="30"/>
        <v>0.65104463482712971</v>
      </c>
      <c r="AQ89" s="34">
        <f>NPV('Cost Assumptions'!$B$3,'VS to VN &amp; Distributed BESS VS'!C22:AD22)</f>
        <v>0.82112621785714313</v>
      </c>
    </row>
    <row r="90" spans="38:43" x14ac:dyDescent="0.35">
      <c r="AL90" s="14" t="s">
        <v>30</v>
      </c>
      <c r="AM90" s="40" t="s">
        <v>35</v>
      </c>
      <c r="AN90" s="118">
        <v>6</v>
      </c>
      <c r="AO90" s="41" t="str">
        <f t="shared" si="29"/>
        <v>N-1 PFD 6</v>
      </c>
      <c r="AP90" s="25">
        <f t="shared" si="30"/>
        <v>225.53030430590292</v>
      </c>
      <c r="AQ90" s="34">
        <f>NPV('Cost Assumptions'!$B$3,'VS to VN &amp; Distributed BESS VS'!C23:AD23)</f>
        <v>90.427789909742458</v>
      </c>
    </row>
    <row r="91" spans="38:43" x14ac:dyDescent="0.35">
      <c r="AL91" s="72" t="s">
        <v>30</v>
      </c>
      <c r="AM91" s="1" t="s">
        <v>36</v>
      </c>
      <c r="AN91" s="118">
        <v>6</v>
      </c>
      <c r="AO91" s="41" t="str">
        <f t="shared" si="29"/>
        <v>N-1 Available Flex-1 6</v>
      </c>
      <c r="AP91" s="25">
        <f t="shared" si="30"/>
        <v>39141.445534236278</v>
      </c>
      <c r="AQ91" s="34">
        <f>NPV('Cost Assumptions'!$B$3,'VS to VN &amp; Distributed BESS VS'!C24:AD24)</f>
        <v>94564.600630018191</v>
      </c>
    </row>
    <row r="92" spans="38:43" x14ac:dyDescent="0.35">
      <c r="AL92" s="14" t="s">
        <v>30</v>
      </c>
      <c r="AM92" s="26" t="s">
        <v>37</v>
      </c>
      <c r="AN92" s="118">
        <v>6</v>
      </c>
      <c r="AO92" s="41" t="str">
        <f t="shared" si="29"/>
        <v>N-1 Available Flex-2-1 6</v>
      </c>
      <c r="AP92" s="25">
        <f t="shared" si="30"/>
        <v>0</v>
      </c>
      <c r="AQ92" s="34">
        <f>NPV('Cost Assumptions'!$B$3,'VS to VN &amp; Distributed BESS VS'!C25:AD25)</f>
        <v>1860107.0444963297</v>
      </c>
    </row>
    <row r="93" spans="38:43" x14ac:dyDescent="0.35">
      <c r="AL93" s="14" t="s">
        <v>30</v>
      </c>
      <c r="AM93" s="26" t="s">
        <v>38</v>
      </c>
      <c r="AN93" s="118">
        <v>6</v>
      </c>
      <c r="AO93" s="41" t="str">
        <f t="shared" si="29"/>
        <v>N-1 Available Flex-2-2 6</v>
      </c>
      <c r="AP93" s="25">
        <f t="shared" si="30"/>
        <v>479183.40573156968</v>
      </c>
      <c r="AQ93" s="34">
        <f>NPV('Cost Assumptions'!$B$3,'VS to VN &amp; Distributed BESS VS'!C26:AD26)</f>
        <v>215138.46483989974</v>
      </c>
    </row>
    <row r="94" spans="38:43" x14ac:dyDescent="0.35">
      <c r="AL94" s="14" t="s">
        <v>39</v>
      </c>
      <c r="AM94" s="40" t="s">
        <v>31</v>
      </c>
      <c r="AN94" s="118">
        <v>6</v>
      </c>
      <c r="AO94" s="41" t="str">
        <f t="shared" si="29"/>
        <v>N-0 EENS 6</v>
      </c>
      <c r="AP94" s="25">
        <f t="shared" si="30"/>
        <v>3422.1305658870738</v>
      </c>
      <c r="AQ94" s="34">
        <f>NPV('Cost Assumptions'!$B$3,'VS to VN &amp; Distributed BESS VS'!C28:AD28)</f>
        <v>240.30134936641753</v>
      </c>
    </row>
    <row r="95" spans="38:43" x14ac:dyDescent="0.35">
      <c r="AL95" s="14" t="s">
        <v>39</v>
      </c>
      <c r="AM95" s="40" t="s">
        <v>32</v>
      </c>
      <c r="AN95" s="118">
        <v>6</v>
      </c>
      <c r="AO95" s="41" t="str">
        <f t="shared" si="29"/>
        <v>N-0 IP 6</v>
      </c>
      <c r="AP95" s="25">
        <f t="shared" si="30"/>
        <v>527.31679336051275</v>
      </c>
      <c r="AQ95" s="34">
        <f>NPV('Cost Assumptions'!$B$3,'VS to VN &amp; Distributed BESS VS'!C29:AD29)</f>
        <v>76.020274346333778</v>
      </c>
    </row>
    <row r="96" spans="38:43" x14ac:dyDescent="0.35">
      <c r="AL96" s="14" t="s">
        <v>39</v>
      </c>
      <c r="AM96" s="40" t="s">
        <v>33</v>
      </c>
      <c r="AN96" s="118">
        <v>6</v>
      </c>
      <c r="AO96" s="41" t="str">
        <f t="shared" si="29"/>
        <v>N-0 SAIDI 6</v>
      </c>
      <c r="AP96" s="25">
        <f t="shared" si="30"/>
        <v>49.08328766658186</v>
      </c>
      <c r="AQ96" s="34">
        <f>NPV('Cost Assumptions'!$B$3,'VS to VN &amp; Distributed BESS VS'!C30:AD30)</f>
        <v>5.0065183819873429</v>
      </c>
    </row>
    <row r="97" spans="38:43" x14ac:dyDescent="0.35">
      <c r="AL97" s="14" t="s">
        <v>39</v>
      </c>
      <c r="AM97" s="40" t="s">
        <v>34</v>
      </c>
      <c r="AN97" s="118">
        <v>6</v>
      </c>
      <c r="AO97" s="41" t="str">
        <f t="shared" si="29"/>
        <v>N-0 SAIFI 6</v>
      </c>
      <c r="AP97" s="25">
        <f t="shared" si="30"/>
        <v>2.6067895419981455</v>
      </c>
      <c r="AQ97" s="34">
        <f>NPV('Cost Assumptions'!$B$3,'VS to VN &amp; Distributed BESS VS'!C31:AD31)</f>
        <v>0.30108156240009137</v>
      </c>
    </row>
    <row r="98" spans="38:43" x14ac:dyDescent="0.35">
      <c r="AL98" s="14" t="s">
        <v>39</v>
      </c>
      <c r="AM98" s="40" t="s">
        <v>35</v>
      </c>
      <c r="AN98" s="118">
        <v>6</v>
      </c>
      <c r="AO98" s="41" t="str">
        <f t="shared" si="29"/>
        <v>N-0 PFD 6</v>
      </c>
      <c r="AP98" s="25">
        <f t="shared" si="30"/>
        <v>73.897420709513568</v>
      </c>
      <c r="AQ98" s="34">
        <f>NPV('Cost Assumptions'!$B$3,'VS to VN &amp; Distributed BESS VS'!C32:AD32)</f>
        <v>8.0790617089166279</v>
      </c>
    </row>
    <row r="99" spans="38:43" x14ac:dyDescent="0.35">
      <c r="AL99" s="14" t="s">
        <v>30</v>
      </c>
      <c r="AM99" s="40" t="s">
        <v>31</v>
      </c>
      <c r="AN99" s="118">
        <v>7</v>
      </c>
      <c r="AO99" s="41" t="str">
        <f t="shared" ref="AO99:AO111" si="31">CONCATENATE(AL99," ",AM99," ",AN99)</f>
        <v>N-1 EENS 7</v>
      </c>
      <c r="AP99" s="25">
        <f t="shared" ref="AP99:AP111" si="32">I23</f>
        <v>114.42912412587738</v>
      </c>
      <c r="AQ99" s="34">
        <f>NPV('Cost Assumptions'!$B$3,Menifee!C19:AD19)</f>
        <v>894.50051730059943</v>
      </c>
    </row>
    <row r="100" spans="38:43" x14ac:dyDescent="0.35">
      <c r="AL100" s="14" t="s">
        <v>30</v>
      </c>
      <c r="AM100" s="40" t="s">
        <v>32</v>
      </c>
      <c r="AN100" s="118">
        <v>7</v>
      </c>
      <c r="AO100" s="41" t="str">
        <f t="shared" si="31"/>
        <v>N-1 IP 7</v>
      </c>
      <c r="AP100" s="25">
        <f t="shared" si="32"/>
        <v>-30.412621955669433</v>
      </c>
      <c r="AQ100" s="34">
        <f>NPV('Cost Assumptions'!$B$3,Menifee!C20:AD20)</f>
        <v>130.58329502878198</v>
      </c>
    </row>
    <row r="101" spans="38:43" x14ac:dyDescent="0.35">
      <c r="AL101" s="14" t="s">
        <v>30</v>
      </c>
      <c r="AM101" s="40" t="s">
        <v>33</v>
      </c>
      <c r="AN101" s="118">
        <v>7</v>
      </c>
      <c r="AO101" s="41" t="str">
        <f t="shared" si="31"/>
        <v>N-1 SAIDI 7</v>
      </c>
      <c r="AP101" s="25">
        <f t="shared" si="32"/>
        <v>54.408682117250308</v>
      </c>
      <c r="AQ101" s="34">
        <f>NPV('Cost Assumptions'!$B$3,Menifee!C21:AD21)</f>
        <v>18.92795271999983</v>
      </c>
    </row>
    <row r="102" spans="38:43" x14ac:dyDescent="0.35">
      <c r="AL102" s="14" t="s">
        <v>30</v>
      </c>
      <c r="AM102" s="40" t="s">
        <v>34</v>
      </c>
      <c r="AN102" s="118">
        <v>7</v>
      </c>
      <c r="AO102" s="41" t="str">
        <f t="shared" si="31"/>
        <v>N-1 SAIFI 7</v>
      </c>
      <c r="AP102" s="25">
        <f t="shared" si="32"/>
        <v>0.65104463482712971</v>
      </c>
      <c r="AQ102" s="34">
        <f>NPV('Cost Assumptions'!$B$3,Menifee!C22:AD22)</f>
        <v>0.82112621785714313</v>
      </c>
    </row>
    <row r="103" spans="38:43" x14ac:dyDescent="0.35">
      <c r="AL103" s="14" t="s">
        <v>30</v>
      </c>
      <c r="AM103" s="40" t="s">
        <v>35</v>
      </c>
      <c r="AN103" s="118">
        <v>7</v>
      </c>
      <c r="AO103" s="41" t="str">
        <f t="shared" si="31"/>
        <v>N-1 PFD 7</v>
      </c>
      <c r="AP103" s="25">
        <f t="shared" si="32"/>
        <v>225.53030430590292</v>
      </c>
      <c r="AQ103" s="34">
        <f>NPV('Cost Assumptions'!$B$3,Menifee!C23:AD23)</f>
        <v>90.427789909742458</v>
      </c>
    </row>
    <row r="104" spans="38:43" x14ac:dyDescent="0.35">
      <c r="AL104" s="72" t="s">
        <v>30</v>
      </c>
      <c r="AM104" s="1" t="s">
        <v>36</v>
      </c>
      <c r="AN104" s="118">
        <v>7</v>
      </c>
      <c r="AO104" s="41" t="str">
        <f t="shared" si="31"/>
        <v>N-1 Available Flex-1 7</v>
      </c>
      <c r="AP104" s="25">
        <f t="shared" si="32"/>
        <v>39141.445534236278</v>
      </c>
      <c r="AQ104" s="34">
        <f>NPV('Cost Assumptions'!$B$3,Menifee!C24:AD24)</f>
        <v>94564.600630018191</v>
      </c>
    </row>
    <row r="105" spans="38:43" x14ac:dyDescent="0.35">
      <c r="AL105" s="14" t="s">
        <v>30</v>
      </c>
      <c r="AM105" s="26" t="s">
        <v>37</v>
      </c>
      <c r="AN105" s="118">
        <v>7</v>
      </c>
      <c r="AO105" s="41" t="str">
        <f t="shared" si="31"/>
        <v>N-1 Available Flex-2-1 7</v>
      </c>
      <c r="AP105" s="25">
        <f t="shared" si="32"/>
        <v>1132819.4221929375</v>
      </c>
      <c r="AQ105" s="34">
        <f>NPV('Cost Assumptions'!$B$3,Menifee!C25:AD25)</f>
        <v>727287.62230339251</v>
      </c>
    </row>
    <row r="106" spans="38:43" x14ac:dyDescent="0.35">
      <c r="AL106" s="14" t="s">
        <v>30</v>
      </c>
      <c r="AM106" s="26" t="s">
        <v>38</v>
      </c>
      <c r="AN106" s="118">
        <v>7</v>
      </c>
      <c r="AO106" s="41" t="str">
        <f t="shared" si="31"/>
        <v>N-1 Available Flex-2-2 7</v>
      </c>
      <c r="AP106" s="25">
        <f t="shared" si="32"/>
        <v>479183.40573156968</v>
      </c>
      <c r="AQ106" s="34">
        <f>NPV('Cost Assumptions'!$B$3,Menifee!C26:AD26)</f>
        <v>215138.46483989974</v>
      </c>
    </row>
    <row r="107" spans="38:43" x14ac:dyDescent="0.35">
      <c r="AL107" s="14" t="s">
        <v>39</v>
      </c>
      <c r="AM107" s="40" t="s">
        <v>31</v>
      </c>
      <c r="AN107" s="118">
        <v>7</v>
      </c>
      <c r="AO107" s="41" t="str">
        <f t="shared" si="31"/>
        <v>N-0 EENS 7</v>
      </c>
      <c r="AP107" s="25">
        <f t="shared" si="32"/>
        <v>3662.4319152534908</v>
      </c>
      <c r="AQ107" s="34">
        <f>NPV('Cost Assumptions'!$B$3,Menifee!C27:AD27)</f>
        <v>0</v>
      </c>
    </row>
    <row r="108" spans="38:43" x14ac:dyDescent="0.35">
      <c r="AL108" s="14" t="s">
        <v>39</v>
      </c>
      <c r="AM108" s="40" t="s">
        <v>32</v>
      </c>
      <c r="AN108" s="118">
        <v>7</v>
      </c>
      <c r="AO108" s="41" t="str">
        <f t="shared" si="31"/>
        <v>N-0 IP 7</v>
      </c>
      <c r="AP108" s="25">
        <f t="shared" si="32"/>
        <v>603.3370677068466</v>
      </c>
      <c r="AQ108" s="34">
        <f>NPV('Cost Assumptions'!$B$3,Menifee!C28:AD28)</f>
        <v>0</v>
      </c>
    </row>
    <row r="109" spans="38:43" x14ac:dyDescent="0.35">
      <c r="AL109" s="14" t="s">
        <v>39</v>
      </c>
      <c r="AM109" s="40" t="s">
        <v>33</v>
      </c>
      <c r="AN109" s="118">
        <v>7</v>
      </c>
      <c r="AO109" s="41" t="str">
        <f t="shared" si="31"/>
        <v>N-0 SAIDI 7</v>
      </c>
      <c r="AP109" s="25">
        <f t="shared" si="32"/>
        <v>54.089806048569208</v>
      </c>
      <c r="AQ109" s="34">
        <f>NPV('Cost Assumptions'!$B$3,Menifee!C29:AD29)</f>
        <v>0</v>
      </c>
    </row>
    <row r="110" spans="38:43" x14ac:dyDescent="0.35">
      <c r="AL110" s="14" t="s">
        <v>39</v>
      </c>
      <c r="AM110" s="40" t="s">
        <v>34</v>
      </c>
      <c r="AN110" s="118">
        <v>7</v>
      </c>
      <c r="AO110" s="41" t="str">
        <f t="shared" si="31"/>
        <v>N-0 SAIFI 7</v>
      </c>
      <c r="AP110" s="25">
        <f t="shared" si="32"/>
        <v>2.9078711043982364</v>
      </c>
      <c r="AQ110" s="34">
        <f>NPV('Cost Assumptions'!$B$3,Menifee!C30:AD30)</f>
        <v>0</v>
      </c>
    </row>
    <row r="111" spans="38:43" x14ac:dyDescent="0.35">
      <c r="AL111" s="14" t="s">
        <v>39</v>
      </c>
      <c r="AM111" s="40" t="s">
        <v>35</v>
      </c>
      <c r="AN111" s="118">
        <v>7</v>
      </c>
      <c r="AO111" s="41" t="str">
        <f t="shared" si="31"/>
        <v>N-0 PFD 7</v>
      </c>
      <c r="AP111" s="25">
        <f t="shared" si="32"/>
        <v>81.976482418430209</v>
      </c>
      <c r="AQ111" s="34">
        <f>NPV('Cost Assumptions'!$B$3,Menifee!C31:AD31)</f>
        <v>0</v>
      </c>
    </row>
    <row r="112" spans="38:43" x14ac:dyDescent="0.35">
      <c r="AL112" s="14" t="s">
        <v>30</v>
      </c>
      <c r="AM112" s="40" t="s">
        <v>31</v>
      </c>
      <c r="AN112" s="118">
        <v>8</v>
      </c>
      <c r="AO112" s="41" t="str">
        <f t="shared" ref="AO112:AO124" si="33">CONCATENATE(AL112," ",AM112," ",AN112)</f>
        <v>N-1 EENS 8</v>
      </c>
      <c r="AP112" s="25">
        <f t="shared" ref="AP112:AP124" si="34">J23</f>
        <v>503.7157499578409</v>
      </c>
      <c r="AQ112" s="34">
        <f>NPV('Cost Assumptions'!$B$3,'Mira Loma'!C19:AD19)</f>
        <v>495.02899093994205</v>
      </c>
    </row>
    <row r="113" spans="38:43" x14ac:dyDescent="0.35">
      <c r="AL113" s="14" t="s">
        <v>30</v>
      </c>
      <c r="AM113" s="40" t="s">
        <v>32</v>
      </c>
      <c r="AN113" s="118">
        <v>8</v>
      </c>
      <c r="AO113" s="41" t="str">
        <f t="shared" si="33"/>
        <v>N-1 IP 8</v>
      </c>
      <c r="AP113" s="25">
        <f t="shared" si="34"/>
        <v>24.570264019044693</v>
      </c>
      <c r="AQ113" s="34">
        <f>NPV('Cost Assumptions'!$B$3,'Mira Loma'!C20:AD20)</f>
        <v>94.545903388648313</v>
      </c>
    </row>
    <row r="114" spans="38:43" x14ac:dyDescent="0.35">
      <c r="AL114" s="14" t="s">
        <v>30</v>
      </c>
      <c r="AM114" s="40" t="s">
        <v>33</v>
      </c>
      <c r="AN114" s="118">
        <v>8</v>
      </c>
      <c r="AO114" s="41" t="str">
        <f t="shared" si="33"/>
        <v>N-1 SAIDI 8</v>
      </c>
      <c r="AP114" s="25">
        <f t="shared" si="34"/>
        <v>64.237463314365542</v>
      </c>
      <c r="AQ114" s="34">
        <f>NPV('Cost Assumptions'!$B$3,'Mira Loma'!C21:AD21)</f>
        <v>6.4824602096484636</v>
      </c>
    </row>
    <row r="115" spans="38:43" x14ac:dyDescent="0.35">
      <c r="AL115" s="14" t="s">
        <v>30</v>
      </c>
      <c r="AM115" s="40" t="s">
        <v>34</v>
      </c>
      <c r="AN115" s="118">
        <v>8</v>
      </c>
      <c r="AO115" s="41" t="str">
        <f t="shared" si="33"/>
        <v>N-1 SAIFI 8</v>
      </c>
      <c r="AP115" s="25">
        <f t="shared" si="34"/>
        <v>0.95697950166798973</v>
      </c>
      <c r="AQ115" s="34">
        <f>NPV('Cost Assumptions'!$B$3,'Mira Loma'!C22:AD22)</f>
        <v>0.49559551907725707</v>
      </c>
    </row>
    <row r="116" spans="38:43" x14ac:dyDescent="0.35">
      <c r="AL116" s="14" t="s">
        <v>30</v>
      </c>
      <c r="AM116" s="40" t="s">
        <v>35</v>
      </c>
      <c r="AN116" s="118">
        <v>8</v>
      </c>
      <c r="AO116" s="41" t="str">
        <f t="shared" si="33"/>
        <v>N-1 PFD 8</v>
      </c>
      <c r="AP116" s="25">
        <f t="shared" si="34"/>
        <v>268.0060393064245</v>
      </c>
      <c r="AQ116" s="34">
        <f>NPV('Cost Assumptions'!$B$3,'Mira Loma'!C23:AD23)</f>
        <v>41.012327348501245</v>
      </c>
    </row>
    <row r="117" spans="38:43" x14ac:dyDescent="0.35">
      <c r="AL117" s="72" t="s">
        <v>30</v>
      </c>
      <c r="AM117" s="1" t="s">
        <v>36</v>
      </c>
      <c r="AN117" s="118">
        <v>8</v>
      </c>
      <c r="AO117" s="41" t="str">
        <f t="shared" si="33"/>
        <v>N-1 Available Flex-1 8</v>
      </c>
      <c r="AP117" s="25">
        <f t="shared" si="34"/>
        <v>83412.308994391497</v>
      </c>
      <c r="AQ117" s="34">
        <f>NPV('Cost Assumptions'!$B$3,'Mira Loma'!C24:AD24)</f>
        <v>50293.737169862972</v>
      </c>
    </row>
    <row r="118" spans="38:43" x14ac:dyDescent="0.35">
      <c r="AL118" s="14" t="s">
        <v>30</v>
      </c>
      <c r="AM118" s="26" t="s">
        <v>37</v>
      </c>
      <c r="AN118" s="118">
        <v>8</v>
      </c>
      <c r="AO118" s="41" t="str">
        <f t="shared" si="33"/>
        <v>N-1 Available Flex-2-1 8</v>
      </c>
      <c r="AP118" s="25">
        <f t="shared" si="34"/>
        <v>499595.17897993606</v>
      </c>
      <c r="AQ118" s="34">
        <f>NPV('Cost Assumptions'!$B$3,'Mira Loma'!C25:AD25)</f>
        <v>1360511.8655163937</v>
      </c>
    </row>
    <row r="119" spans="38:43" x14ac:dyDescent="0.35">
      <c r="AL119" s="14" t="s">
        <v>30</v>
      </c>
      <c r="AM119" s="26" t="s">
        <v>38</v>
      </c>
      <c r="AN119" s="118">
        <v>8</v>
      </c>
      <c r="AO119" s="41" t="str">
        <f t="shared" si="33"/>
        <v>N-1 Available Flex-2-2 8</v>
      </c>
      <c r="AP119" s="25">
        <f t="shared" si="34"/>
        <v>451168.6674474118</v>
      </c>
      <c r="AQ119" s="34">
        <f>NPV('Cost Assumptions'!$B$3,'Mira Loma'!C26:AD26)</f>
        <v>243153.20312405759</v>
      </c>
    </row>
    <row r="120" spans="38:43" x14ac:dyDescent="0.35">
      <c r="AL120" s="14" t="s">
        <v>39</v>
      </c>
      <c r="AM120" s="40" t="s">
        <v>31</v>
      </c>
      <c r="AN120" s="118">
        <v>8</v>
      </c>
      <c r="AO120" s="41" t="str">
        <f t="shared" si="33"/>
        <v>N-0 EENS 8</v>
      </c>
      <c r="AP120" s="25">
        <f t="shared" si="34"/>
        <v>3157.2180237848547</v>
      </c>
      <c r="AQ120" s="34">
        <f>NPV('Cost Assumptions'!$B$3,'Mira Loma'!C27:AD27)</f>
        <v>351.98839303530121</v>
      </c>
    </row>
    <row r="121" spans="38:43" x14ac:dyDescent="0.35">
      <c r="AL121" s="14" t="s">
        <v>39</v>
      </c>
      <c r="AM121" s="40" t="s">
        <v>32</v>
      </c>
      <c r="AN121" s="118">
        <v>8</v>
      </c>
      <c r="AO121" s="41" t="str">
        <f t="shared" si="33"/>
        <v>N-0 IP 8</v>
      </c>
      <c r="AP121" s="25">
        <f t="shared" si="34"/>
        <v>493.89069312550362</v>
      </c>
      <c r="AQ121" s="34">
        <f>NPV('Cost Assumptions'!$B$3,'Mira Loma'!C28:AD28)</f>
        <v>109.44637458134292</v>
      </c>
    </row>
    <row r="122" spans="38:43" x14ac:dyDescent="0.35">
      <c r="AL122" s="14" t="s">
        <v>39</v>
      </c>
      <c r="AM122" s="40" t="s">
        <v>33</v>
      </c>
      <c r="AN122" s="118">
        <v>8</v>
      </c>
      <c r="AO122" s="41" t="str">
        <f t="shared" si="33"/>
        <v>N-0 SAIDI 8</v>
      </c>
      <c r="AP122" s="25">
        <f t="shared" si="34"/>
        <v>37.870600906383466</v>
      </c>
      <c r="AQ122" s="34">
        <f>NPV('Cost Assumptions'!$B$3,'Mira Loma'!C29:AD29)</f>
        <v>16.219205142185736</v>
      </c>
    </row>
    <row r="123" spans="38:43" x14ac:dyDescent="0.35">
      <c r="AL123" s="14" t="s">
        <v>39</v>
      </c>
      <c r="AM123" s="40" t="s">
        <v>34</v>
      </c>
      <c r="AN123" s="118">
        <v>8</v>
      </c>
      <c r="AO123" s="41" t="str">
        <f t="shared" si="33"/>
        <v>N-0 SAIFI 8</v>
      </c>
      <c r="AP123" s="25">
        <f t="shared" si="34"/>
        <v>2.1995851575739627</v>
      </c>
      <c r="AQ123" s="34">
        <f>NPV('Cost Assumptions'!$B$3,'Mira Loma'!C30:AD30)</f>
        <v>0.70828594682427382</v>
      </c>
    </row>
    <row r="124" spans="38:43" x14ac:dyDescent="0.35">
      <c r="AL124" s="14" t="s">
        <v>39</v>
      </c>
      <c r="AM124" s="40" t="s">
        <v>35</v>
      </c>
      <c r="AN124" s="118">
        <v>8</v>
      </c>
      <c r="AO124" s="41" t="str">
        <f t="shared" si="33"/>
        <v>N-0 PFD 8</v>
      </c>
      <c r="AP124" s="25">
        <f t="shared" si="34"/>
        <v>74.726559069274231</v>
      </c>
      <c r="AQ124" s="34">
        <f>NPV('Cost Assumptions'!$B$3,'Mira Loma'!C31:AD31)</f>
        <v>15.234862050949779</v>
      </c>
    </row>
    <row r="125" spans="38:43" x14ac:dyDescent="0.35">
      <c r="AL125" s="14" t="s">
        <v>30</v>
      </c>
      <c r="AM125" s="40" t="s">
        <v>31</v>
      </c>
      <c r="AN125" s="118">
        <v>9</v>
      </c>
      <c r="AO125" s="41" t="str">
        <f t="shared" ref="AO125:AO137" si="35">CONCATENATE(AL125," ",AM125," ",AN125)</f>
        <v>N-1 EENS 9</v>
      </c>
      <c r="AP125" s="25">
        <f t="shared" ref="AP125:AP137" si="36">K23</f>
        <v>838.78770846558382</v>
      </c>
      <c r="AQ125" s="34">
        <f>NPV('Cost Assumptions'!$B$3,'SCE Orange County'!C19:AD19)</f>
        <v>170.14193296089314</v>
      </c>
    </row>
    <row r="126" spans="38:43" x14ac:dyDescent="0.35">
      <c r="AL126" s="14" t="s">
        <v>30</v>
      </c>
      <c r="AM126" s="40" t="s">
        <v>32</v>
      </c>
      <c r="AN126" s="118">
        <v>9</v>
      </c>
      <c r="AO126" s="41" t="str">
        <f t="shared" si="35"/>
        <v>N-1 IP 9</v>
      </c>
      <c r="AP126" s="25">
        <f t="shared" si="36"/>
        <v>79.804002332415195</v>
      </c>
      <c r="AQ126" s="34">
        <f>NPV('Cost Assumptions'!$B$3,'SCE Orange County'!C20:AD20)</f>
        <v>20.36667074069732</v>
      </c>
    </row>
    <row r="127" spans="38:43" x14ac:dyDescent="0.35">
      <c r="AL127" s="14" t="s">
        <v>30</v>
      </c>
      <c r="AM127" s="40" t="s">
        <v>33</v>
      </c>
      <c r="AN127" s="118">
        <v>9</v>
      </c>
      <c r="AO127" s="41" t="str">
        <f t="shared" si="35"/>
        <v>N-1 SAIDI 9</v>
      </c>
      <c r="AP127" s="25">
        <f t="shared" si="36"/>
        <v>71.52559921928129</v>
      </c>
      <c r="AQ127" s="34">
        <f>NPV('Cost Assumptions'!$B$3,'SCE Orange County'!C21:AD21)</f>
        <v>1.8110356179688605</v>
      </c>
    </row>
    <row r="128" spans="38:43" x14ac:dyDescent="0.35">
      <c r="AL128" s="14" t="s">
        <v>30</v>
      </c>
      <c r="AM128" s="40" t="s">
        <v>34</v>
      </c>
      <c r="AN128" s="118">
        <v>9</v>
      </c>
      <c r="AO128" s="41" t="str">
        <f t="shared" si="35"/>
        <v>N-1 SAIFI 9</v>
      </c>
      <c r="AP128" s="25">
        <f t="shared" si="36"/>
        <v>1.2896883172750087</v>
      </c>
      <c r="AQ128" s="34">
        <f>NPV('Cost Assumptions'!$B$3,'SCE Orange County'!C22:AD22)</f>
        <v>0.18248253540926415</v>
      </c>
    </row>
    <row r="129" spans="38:43" x14ac:dyDescent="0.35">
      <c r="AL129" s="14" t="s">
        <v>30</v>
      </c>
      <c r="AM129" s="40" t="s">
        <v>35</v>
      </c>
      <c r="AN129" s="118">
        <v>9</v>
      </c>
      <c r="AO129" s="41" t="str">
        <f t="shared" si="35"/>
        <v>N-1 PFD 9</v>
      </c>
      <c r="AP129" s="25">
        <f t="shared" si="36"/>
        <v>271.75509696201584</v>
      </c>
      <c r="AQ129" s="34">
        <f>NPV('Cost Assumptions'!$B$3,'SCE Orange County'!C23:AD23)</f>
        <v>44.202997253629604</v>
      </c>
    </row>
    <row r="130" spans="38:43" x14ac:dyDescent="0.35">
      <c r="AL130" s="72" t="s">
        <v>30</v>
      </c>
      <c r="AM130" s="1" t="s">
        <v>36</v>
      </c>
      <c r="AN130" s="118">
        <v>9</v>
      </c>
      <c r="AO130" s="41" t="str">
        <f t="shared" si="35"/>
        <v>N-1 Available Flex-1 9</v>
      </c>
      <c r="AP130" s="25">
        <f t="shared" si="36"/>
        <v>113296.0689212362</v>
      </c>
      <c r="AQ130" s="34">
        <f>NPV('Cost Assumptions'!$B$3,'SCE Orange County'!C24:AD24)</f>
        <v>20409.977243018293</v>
      </c>
    </row>
    <row r="131" spans="38:43" x14ac:dyDescent="0.35">
      <c r="AL131" s="14" t="s">
        <v>30</v>
      </c>
      <c r="AM131" s="26" t="s">
        <v>37</v>
      </c>
      <c r="AN131" s="118">
        <v>9</v>
      </c>
      <c r="AO131" s="41" t="str">
        <f t="shared" si="35"/>
        <v>N-1 Available Flex-2-1 9</v>
      </c>
      <c r="AP131" s="25">
        <f t="shared" si="36"/>
        <v>1296335.2715493927</v>
      </c>
      <c r="AQ131" s="34">
        <f>NPV('Cost Assumptions'!$B$3,'SCE Orange County'!C25:AD25)</f>
        <v>563771.77294693736</v>
      </c>
    </row>
    <row r="132" spans="38:43" x14ac:dyDescent="0.35">
      <c r="AL132" s="14" t="s">
        <v>30</v>
      </c>
      <c r="AM132" s="26" t="s">
        <v>38</v>
      </c>
      <c r="AN132" s="118">
        <v>9</v>
      </c>
      <c r="AO132" s="41" t="str">
        <f t="shared" si="35"/>
        <v>N-1 Available Flex-2-2 9</v>
      </c>
      <c r="AP132" s="25">
        <f t="shared" si="36"/>
        <v>557015.63623282954</v>
      </c>
      <c r="AQ132" s="34">
        <f>NPV('Cost Assumptions'!$B$3,'SCE Orange County'!C26:AD26)</f>
        <v>137306.23433863977</v>
      </c>
    </row>
    <row r="133" spans="38:43" x14ac:dyDescent="0.35">
      <c r="AL133" s="14" t="s">
        <v>39</v>
      </c>
      <c r="AM133" s="40" t="s">
        <v>31</v>
      </c>
      <c r="AN133" s="118">
        <v>9</v>
      </c>
      <c r="AO133" s="41" t="str">
        <f t="shared" si="35"/>
        <v>N-0 EENS 9</v>
      </c>
      <c r="AP133" s="25">
        <f t="shared" si="36"/>
        <v>3662.4319152534908</v>
      </c>
      <c r="AQ133" s="34">
        <f>NPV('Cost Assumptions'!$B$3,'SCE Orange County'!C27:AD27)</f>
        <v>0</v>
      </c>
    </row>
    <row r="134" spans="38:43" x14ac:dyDescent="0.35">
      <c r="AL134" s="14" t="s">
        <v>39</v>
      </c>
      <c r="AM134" s="40" t="s">
        <v>32</v>
      </c>
      <c r="AN134" s="118">
        <v>9</v>
      </c>
      <c r="AO134" s="41" t="str">
        <f t="shared" si="35"/>
        <v>N-0 IP 9</v>
      </c>
      <c r="AP134" s="25">
        <f t="shared" si="36"/>
        <v>603.3370677068466</v>
      </c>
      <c r="AQ134" s="34">
        <f>NPV('Cost Assumptions'!$B$3,'SCE Orange County'!C28:AD28)</f>
        <v>0</v>
      </c>
    </row>
    <row r="135" spans="38:43" x14ac:dyDescent="0.35">
      <c r="AL135" s="14" t="s">
        <v>39</v>
      </c>
      <c r="AM135" s="40" t="s">
        <v>33</v>
      </c>
      <c r="AN135" s="118">
        <v>9</v>
      </c>
      <c r="AO135" s="41" t="str">
        <f t="shared" si="35"/>
        <v>N-0 SAIDI 9</v>
      </c>
      <c r="AP135" s="25">
        <f t="shared" si="36"/>
        <v>54.089806048569208</v>
      </c>
      <c r="AQ135" s="34">
        <f>NPV('Cost Assumptions'!$B$3,'SCE Orange County'!C29:AD29)</f>
        <v>0</v>
      </c>
    </row>
    <row r="136" spans="38:43" x14ac:dyDescent="0.35">
      <c r="AL136" s="14" t="s">
        <v>39</v>
      </c>
      <c r="AM136" s="40" t="s">
        <v>34</v>
      </c>
      <c r="AN136" s="118">
        <v>9</v>
      </c>
      <c r="AO136" s="41" t="str">
        <f t="shared" si="35"/>
        <v>N-0 SAIFI 9</v>
      </c>
      <c r="AP136" s="25">
        <f t="shared" si="36"/>
        <v>2.9078711043982364</v>
      </c>
      <c r="AQ136" s="34">
        <f>NPV('Cost Assumptions'!$B$3,'SCE Orange County'!C30:AD30)</f>
        <v>0</v>
      </c>
    </row>
    <row r="137" spans="38:43" x14ac:dyDescent="0.35">
      <c r="AL137" s="14" t="s">
        <v>39</v>
      </c>
      <c r="AM137" s="40" t="s">
        <v>35</v>
      </c>
      <c r="AN137" s="118">
        <v>9</v>
      </c>
      <c r="AO137" s="41" t="str">
        <f t="shared" si="35"/>
        <v>N-0 PFD 9</v>
      </c>
      <c r="AP137" s="25">
        <f t="shared" si="36"/>
        <v>81.976482418430209</v>
      </c>
      <c r="AQ137" s="34">
        <f>NPV('Cost Assumptions'!$B$3,'SCE Orange County'!C31:AD31)</f>
        <v>0</v>
      </c>
    </row>
    <row r="138" spans="38:43" x14ac:dyDescent="0.35">
      <c r="AL138" s="14" t="s">
        <v>30</v>
      </c>
      <c r="AM138" s="40" t="s">
        <v>31</v>
      </c>
      <c r="AN138" s="118">
        <v>10</v>
      </c>
      <c r="AO138" s="41" t="str">
        <f t="shared" ref="AO138:AO150" si="37">CONCATENATE(AL138," ",AM138," ",AN138)</f>
        <v>N-1 EENS 10</v>
      </c>
      <c r="AP138" s="25">
        <f t="shared" ref="AP138:AP150" si="38">L23</f>
        <v>114.42912412587738</v>
      </c>
      <c r="AQ138" s="34">
        <f>NPV('Cost Assumptions'!$B$3,'VS to VN &amp; Central BESS VS VN '!C19:AD19)</f>
        <v>894.50051730059943</v>
      </c>
    </row>
    <row r="139" spans="38:43" x14ac:dyDescent="0.35">
      <c r="AL139" s="14" t="s">
        <v>30</v>
      </c>
      <c r="AM139" s="40" t="s">
        <v>32</v>
      </c>
      <c r="AN139" s="118">
        <v>10</v>
      </c>
      <c r="AO139" s="41" t="str">
        <f t="shared" si="37"/>
        <v>N-1 IP 10</v>
      </c>
      <c r="AP139" s="25">
        <f t="shared" si="38"/>
        <v>-30.412621955669433</v>
      </c>
      <c r="AQ139" s="34">
        <f>NPV('Cost Assumptions'!$B$3,'VS to VN &amp; Central BESS VS VN '!C20:AD20)</f>
        <v>130.58329502878198</v>
      </c>
    </row>
    <row r="140" spans="38:43" x14ac:dyDescent="0.35">
      <c r="AL140" s="14" t="s">
        <v>30</v>
      </c>
      <c r="AM140" s="40" t="s">
        <v>33</v>
      </c>
      <c r="AN140" s="118">
        <v>10</v>
      </c>
      <c r="AO140" s="41" t="str">
        <f t="shared" si="37"/>
        <v>N-1 SAIDI 10</v>
      </c>
      <c r="AP140" s="25">
        <f t="shared" si="38"/>
        <v>54.408682117250308</v>
      </c>
      <c r="AQ140" s="34">
        <f>NPV('Cost Assumptions'!$B$3,'VS to VN &amp; Central BESS VS VN '!C21:AD21)</f>
        <v>18.92795271999983</v>
      </c>
    </row>
    <row r="141" spans="38:43" x14ac:dyDescent="0.35">
      <c r="AL141" s="14" t="s">
        <v>30</v>
      </c>
      <c r="AM141" s="40" t="s">
        <v>34</v>
      </c>
      <c r="AN141" s="118">
        <v>10</v>
      </c>
      <c r="AO141" s="41" t="str">
        <f t="shared" si="37"/>
        <v>N-1 SAIFI 10</v>
      </c>
      <c r="AP141" s="25">
        <f t="shared" si="38"/>
        <v>0.65104463482712971</v>
      </c>
      <c r="AQ141" s="34">
        <f>NPV('Cost Assumptions'!$B$3,'VS to VN &amp; Central BESS VS VN '!C22:AD22)</f>
        <v>0.82112621785714313</v>
      </c>
    </row>
    <row r="142" spans="38:43" x14ac:dyDescent="0.35">
      <c r="AL142" s="14" t="s">
        <v>30</v>
      </c>
      <c r="AM142" s="40" t="s">
        <v>35</v>
      </c>
      <c r="AN142" s="118">
        <v>10</v>
      </c>
      <c r="AO142" s="41" t="str">
        <f t="shared" si="37"/>
        <v>N-1 PFD 10</v>
      </c>
      <c r="AP142" s="25">
        <f t="shared" si="38"/>
        <v>225.53030430590292</v>
      </c>
      <c r="AQ142" s="34">
        <f>NPV('Cost Assumptions'!$B$3,'VS to VN &amp; Central BESS VS VN '!C23:AD23)</f>
        <v>90.427789909742458</v>
      </c>
    </row>
    <row r="143" spans="38:43" x14ac:dyDescent="0.35">
      <c r="AL143" s="72" t="s">
        <v>30</v>
      </c>
      <c r="AM143" s="1" t="s">
        <v>36</v>
      </c>
      <c r="AN143" s="118">
        <v>10</v>
      </c>
      <c r="AO143" s="41" t="str">
        <f t="shared" si="37"/>
        <v>N-1 Available Flex-1 10</v>
      </c>
      <c r="AP143" s="25">
        <f t="shared" si="38"/>
        <v>39141.445534236278</v>
      </c>
      <c r="AQ143" s="34">
        <f>NPV('Cost Assumptions'!$B$3,'VS to VN &amp; Central BESS VS VN '!C24:AD24)</f>
        <v>94564.600630018191</v>
      </c>
    </row>
    <row r="144" spans="38:43" x14ac:dyDescent="0.35">
      <c r="AL144" s="14" t="s">
        <v>30</v>
      </c>
      <c r="AM144" s="26" t="s">
        <v>37</v>
      </c>
      <c r="AN144" s="118">
        <v>10</v>
      </c>
      <c r="AO144" s="41" t="str">
        <f t="shared" si="37"/>
        <v>N-1 Available Flex-2-1 10</v>
      </c>
      <c r="AP144" s="25">
        <f t="shared" si="38"/>
        <v>0</v>
      </c>
      <c r="AQ144" s="34">
        <f>NPV('Cost Assumptions'!$B$3,'VS to VN &amp; Central BESS VS VN '!C25:AD25)</f>
        <v>1860107.0444963297</v>
      </c>
    </row>
    <row r="145" spans="38:43" x14ac:dyDescent="0.35">
      <c r="AL145" s="14" t="s">
        <v>30</v>
      </c>
      <c r="AM145" s="26" t="s">
        <v>38</v>
      </c>
      <c r="AN145" s="118">
        <v>10</v>
      </c>
      <c r="AO145" s="41" t="str">
        <f t="shared" si="37"/>
        <v>N-1 Available Flex-2-2 10</v>
      </c>
      <c r="AP145" s="25">
        <f t="shared" si="38"/>
        <v>479183.40573156968</v>
      </c>
      <c r="AQ145" s="34">
        <f>NPV('Cost Assumptions'!$B$3,'VS to VN &amp; Central BESS VS VN '!C26:AD26)</f>
        <v>215138.46483989974</v>
      </c>
    </row>
    <row r="146" spans="38:43" x14ac:dyDescent="0.35">
      <c r="AL146" s="14" t="s">
        <v>39</v>
      </c>
      <c r="AM146" s="40" t="s">
        <v>31</v>
      </c>
      <c r="AN146" s="118">
        <v>10</v>
      </c>
      <c r="AO146" s="41" t="str">
        <f t="shared" si="37"/>
        <v>N-0 EENS 10</v>
      </c>
      <c r="AP146" s="25">
        <f t="shared" si="38"/>
        <v>3662.4319152534908</v>
      </c>
      <c r="AQ146" s="34">
        <f>NPV('Cost Assumptions'!$B$3,'VS to VN &amp; Central BESS VS VN '!C28:AD28)</f>
        <v>0</v>
      </c>
    </row>
    <row r="147" spans="38:43" x14ac:dyDescent="0.35">
      <c r="AL147" s="14" t="s">
        <v>39</v>
      </c>
      <c r="AM147" s="40" t="s">
        <v>32</v>
      </c>
      <c r="AN147" s="118">
        <v>10</v>
      </c>
      <c r="AO147" s="41" t="str">
        <f t="shared" si="37"/>
        <v>N-0 IP 10</v>
      </c>
      <c r="AP147" s="25">
        <f t="shared" si="38"/>
        <v>603.3370677068466</v>
      </c>
      <c r="AQ147" s="34">
        <f>NPV('Cost Assumptions'!$B$3,'VS to VN &amp; Central BESS VS VN '!C29:AD29)</f>
        <v>0</v>
      </c>
    </row>
    <row r="148" spans="38:43" x14ac:dyDescent="0.35">
      <c r="AL148" s="14" t="s">
        <v>39</v>
      </c>
      <c r="AM148" s="40" t="s">
        <v>33</v>
      </c>
      <c r="AN148" s="118">
        <v>10</v>
      </c>
      <c r="AO148" s="41" t="str">
        <f t="shared" si="37"/>
        <v>N-0 SAIDI 10</v>
      </c>
      <c r="AP148" s="25">
        <f t="shared" si="38"/>
        <v>54.089806048569208</v>
      </c>
      <c r="AQ148" s="34">
        <f>NPV('Cost Assumptions'!$B$3,'VS to VN &amp; Central BESS VS VN '!C30:AD30)</f>
        <v>0</v>
      </c>
    </row>
    <row r="149" spans="38:43" x14ac:dyDescent="0.35">
      <c r="AL149" s="14" t="s">
        <v>39</v>
      </c>
      <c r="AM149" s="40" t="s">
        <v>34</v>
      </c>
      <c r="AN149" s="118">
        <v>10</v>
      </c>
      <c r="AO149" s="41" t="str">
        <f t="shared" si="37"/>
        <v>N-0 SAIFI 10</v>
      </c>
      <c r="AP149" s="25">
        <f t="shared" si="38"/>
        <v>2.9078711043982364</v>
      </c>
      <c r="AQ149" s="34">
        <f>NPV('Cost Assumptions'!$B$3,'VS to VN &amp; Central BESS VS VN '!C31:AD31)</f>
        <v>0</v>
      </c>
    </row>
    <row r="150" spans="38:43" x14ac:dyDescent="0.35">
      <c r="AL150" s="14" t="s">
        <v>39</v>
      </c>
      <c r="AM150" s="40" t="s">
        <v>35</v>
      </c>
      <c r="AN150" s="118">
        <v>10</v>
      </c>
      <c r="AO150" s="41" t="str">
        <f t="shared" si="37"/>
        <v>N-0 PFD 10</v>
      </c>
      <c r="AP150" s="25">
        <f t="shared" si="38"/>
        <v>81.976482418430209</v>
      </c>
      <c r="AQ150" s="34">
        <f>NPV('Cost Assumptions'!$B$3,'VS to VN &amp; Central BESS VS VN '!C32:AD32)</f>
        <v>0</v>
      </c>
    </row>
    <row r="151" spans="38:43" x14ac:dyDescent="0.35">
      <c r="AL151" s="14" t="s">
        <v>30</v>
      </c>
      <c r="AM151" s="40" t="s">
        <v>31</v>
      </c>
      <c r="AN151" s="118">
        <v>11</v>
      </c>
      <c r="AO151" s="41" t="str">
        <f t="shared" ref="AO151:AO163" si="39">CONCATENATE(AL151," ",AM151," ",AN151)</f>
        <v>N-1 EENS 11</v>
      </c>
      <c r="AP151" s="25">
        <f t="shared" ref="AP151:AP163" si="40">M23</f>
        <v>114.42912412587738</v>
      </c>
      <c r="AQ151" s="34">
        <f>NPV('Cost Assumptions'!$B$3,'VS to VN to VST &amp; Cen BESS VS'!C19:AD19)</f>
        <v>894.50051730059943</v>
      </c>
    </row>
    <row r="152" spans="38:43" x14ac:dyDescent="0.35">
      <c r="AL152" s="14" t="s">
        <v>30</v>
      </c>
      <c r="AM152" s="40" t="s">
        <v>32</v>
      </c>
      <c r="AN152" s="118">
        <v>11</v>
      </c>
      <c r="AO152" s="41" t="str">
        <f t="shared" si="39"/>
        <v>N-1 IP 11</v>
      </c>
      <c r="AP152" s="25">
        <f t="shared" si="40"/>
        <v>-30.412621955669433</v>
      </c>
      <c r="AQ152" s="34">
        <f>NPV('Cost Assumptions'!$B$3,'VS to VN to VST &amp; Cen BESS VS'!C20:AD20)</f>
        <v>130.58329502878198</v>
      </c>
    </row>
    <row r="153" spans="38:43" x14ac:dyDescent="0.35">
      <c r="AL153" s="14" t="s">
        <v>30</v>
      </c>
      <c r="AM153" s="40" t="s">
        <v>33</v>
      </c>
      <c r="AN153" s="118">
        <v>11</v>
      </c>
      <c r="AO153" s="41" t="str">
        <f t="shared" si="39"/>
        <v>N-1 SAIDI 11</v>
      </c>
      <c r="AP153" s="25">
        <f t="shared" si="40"/>
        <v>54.408682117250308</v>
      </c>
      <c r="AQ153" s="34">
        <f>NPV('Cost Assumptions'!$B$3,'VS to VN to VST &amp; Cen BESS VS'!C21:AD21)</f>
        <v>18.92795271999983</v>
      </c>
    </row>
    <row r="154" spans="38:43" x14ac:dyDescent="0.35">
      <c r="AL154" s="14" t="s">
        <v>30</v>
      </c>
      <c r="AM154" s="40" t="s">
        <v>34</v>
      </c>
      <c r="AN154" s="118">
        <v>11</v>
      </c>
      <c r="AO154" s="41" t="str">
        <f t="shared" si="39"/>
        <v>N-1 SAIFI 11</v>
      </c>
      <c r="AP154" s="25">
        <f t="shared" si="40"/>
        <v>0.65104463482712971</v>
      </c>
      <c r="AQ154" s="34">
        <f>NPV('Cost Assumptions'!$B$3,'VS to VN to VST &amp; Cen BESS VS'!C22:AD22)</f>
        <v>0.82112621785714313</v>
      </c>
    </row>
    <row r="155" spans="38:43" x14ac:dyDescent="0.35">
      <c r="AL155" s="14" t="s">
        <v>30</v>
      </c>
      <c r="AM155" s="40" t="s">
        <v>35</v>
      </c>
      <c r="AN155" s="118">
        <v>11</v>
      </c>
      <c r="AO155" s="41" t="str">
        <f t="shared" si="39"/>
        <v>N-1 PFD 11</v>
      </c>
      <c r="AP155" s="25">
        <f t="shared" si="40"/>
        <v>225.53030430590292</v>
      </c>
      <c r="AQ155" s="34">
        <f>NPV('Cost Assumptions'!$B$3,'VS to VN to VST &amp; Cen BESS VS'!C23:AD23)</f>
        <v>90.427789909742458</v>
      </c>
    </row>
    <row r="156" spans="38:43" x14ac:dyDescent="0.35">
      <c r="AL156" s="72" t="s">
        <v>30</v>
      </c>
      <c r="AM156" s="1" t="s">
        <v>36</v>
      </c>
      <c r="AN156" s="118">
        <v>11</v>
      </c>
      <c r="AO156" s="41" t="str">
        <f t="shared" si="39"/>
        <v>N-1 Available Flex-1 11</v>
      </c>
      <c r="AP156" s="25">
        <f t="shared" si="40"/>
        <v>39141.445534236278</v>
      </c>
      <c r="AQ156" s="34">
        <f>NPV('Cost Assumptions'!$B$3,'VS to VN to VST &amp; Cen BESS VS'!C24:AD24)</f>
        <v>94564.600630018191</v>
      </c>
    </row>
    <row r="157" spans="38:43" x14ac:dyDescent="0.35">
      <c r="AL157" s="14" t="s">
        <v>30</v>
      </c>
      <c r="AM157" s="26" t="s">
        <v>37</v>
      </c>
      <c r="AN157" s="118">
        <v>11</v>
      </c>
      <c r="AO157" s="41" t="str">
        <f t="shared" si="39"/>
        <v>N-1 Available Flex-2-1 11</v>
      </c>
      <c r="AP157" s="25">
        <f t="shared" si="40"/>
        <v>0</v>
      </c>
      <c r="AQ157" s="34">
        <f>NPV('Cost Assumptions'!$B$3,'VS to VN to VST &amp; Cen BESS VS'!C25:AD25)</f>
        <v>1860107.0444963297</v>
      </c>
    </row>
    <row r="158" spans="38:43" x14ac:dyDescent="0.35">
      <c r="AL158" s="14" t="s">
        <v>30</v>
      </c>
      <c r="AM158" s="26" t="s">
        <v>38</v>
      </c>
      <c r="AN158" s="118">
        <v>11</v>
      </c>
      <c r="AO158" s="41" t="str">
        <f t="shared" si="39"/>
        <v>N-1 Available Flex-2-2 11</v>
      </c>
      <c r="AP158" s="25">
        <f t="shared" si="40"/>
        <v>479183.40573156968</v>
      </c>
      <c r="AQ158" s="34">
        <f>NPV('Cost Assumptions'!$B$3,'VS to VN to VST &amp; Cen BESS VS'!C26:AD26)</f>
        <v>215138.46483989974</v>
      </c>
    </row>
    <row r="159" spans="38:43" x14ac:dyDescent="0.35">
      <c r="AL159" s="14" t="s">
        <v>39</v>
      </c>
      <c r="AM159" s="40" t="s">
        <v>31</v>
      </c>
      <c r="AN159" s="118">
        <v>11</v>
      </c>
      <c r="AO159" s="41" t="str">
        <f t="shared" si="39"/>
        <v>N-0 EENS 11</v>
      </c>
      <c r="AP159" s="25">
        <f t="shared" si="40"/>
        <v>3651.1526425215561</v>
      </c>
      <c r="AQ159" s="34">
        <f>NPV('Cost Assumptions'!$B$3,'VS to VN to VST &amp; Cen BESS VS'!C28:AD28)</f>
        <v>13.647920005640319</v>
      </c>
    </row>
    <row r="160" spans="38:43" x14ac:dyDescent="0.35">
      <c r="AL160" s="14" t="s">
        <v>39</v>
      </c>
      <c r="AM160" s="40" t="s">
        <v>32</v>
      </c>
      <c r="AN160" s="118">
        <v>11</v>
      </c>
      <c r="AO160" s="41" t="str">
        <f t="shared" si="39"/>
        <v>N-0 IP 11</v>
      </c>
      <c r="AP160" s="25">
        <f t="shared" si="40"/>
        <v>597.14277053067747</v>
      </c>
      <c r="AQ160" s="34">
        <f>NPV('Cost Assumptions'!$B$3,'VS to VN to VST &amp; Cen BESS VS'!C29:AD29)</f>
        <v>6.1942971761690186</v>
      </c>
    </row>
    <row r="161" spans="38:43" x14ac:dyDescent="0.35">
      <c r="AL161" s="14" t="s">
        <v>39</v>
      </c>
      <c r="AM161" s="40" t="s">
        <v>33</v>
      </c>
      <c r="AN161" s="118">
        <v>11</v>
      </c>
      <c r="AO161" s="41" t="str">
        <f t="shared" si="39"/>
        <v>N-0 SAIDI 11</v>
      </c>
      <c r="AP161" s="25">
        <f t="shared" si="40"/>
        <v>54.04155031700688</v>
      </c>
      <c r="AQ161" s="34">
        <f>NPV('Cost Assumptions'!$B$3,'VS to VN to VST &amp; Cen BESS VS'!C30:AD30)</f>
        <v>4.8255731562328638E-2</v>
      </c>
    </row>
    <row r="162" spans="38:43" x14ac:dyDescent="0.35">
      <c r="AL162" s="14" t="s">
        <v>39</v>
      </c>
      <c r="AM162" s="40" t="s">
        <v>34</v>
      </c>
      <c r="AN162" s="118">
        <v>11</v>
      </c>
      <c r="AO162" s="41" t="str">
        <f t="shared" si="39"/>
        <v>N-0 SAIFI 11</v>
      </c>
      <c r="AP162" s="25">
        <f t="shared" si="40"/>
        <v>2.8980604518504158</v>
      </c>
      <c r="AQ162" s="34">
        <f>NPV('Cost Assumptions'!$B$3,'VS to VN to VST &amp; Cen BESS VS'!C31:AD31)</f>
        <v>9.8106525478203373E-3</v>
      </c>
    </row>
    <row r="163" spans="38:43" x14ac:dyDescent="0.35">
      <c r="AL163" s="14" t="s">
        <v>39</v>
      </c>
      <c r="AM163" s="40" t="s">
        <v>35</v>
      </c>
      <c r="AN163" s="118">
        <v>11</v>
      </c>
      <c r="AO163" s="41" t="str">
        <f t="shared" si="39"/>
        <v>N-0 PFD 11</v>
      </c>
      <c r="AP163" s="25">
        <f t="shared" si="40"/>
        <v>80.97055774187946</v>
      </c>
      <c r="AQ163" s="34">
        <f>NPV('Cost Assumptions'!$B$3,'VS to VN to VST &amp; Cen BESS VS'!C32:AD32)</f>
        <v>1.0059246765507397</v>
      </c>
    </row>
    <row r="164" spans="38:43" x14ac:dyDescent="0.35">
      <c r="AL164" s="14" t="s">
        <v>30</v>
      </c>
      <c r="AM164" s="40" t="s">
        <v>31</v>
      </c>
      <c r="AN164" s="118">
        <v>12</v>
      </c>
      <c r="AO164" s="41" t="str">
        <f t="shared" ref="AO164:AO189" si="41">CONCATENATE(AL164," ",AM164," ",AN164)</f>
        <v>N-1 EENS 12</v>
      </c>
      <c r="AP164" s="25">
        <f t="shared" ref="AP164:AP171" si="42">N23</f>
        <v>1008.9296414264766</v>
      </c>
      <c r="AQ164" s="34">
        <f>NPV('Cost Assumptions'!$B$3,'SDG&amp;E and Central BESS in VS'!C19:AD19)</f>
        <v>0</v>
      </c>
    </row>
    <row r="165" spans="38:43" x14ac:dyDescent="0.35">
      <c r="AL165" s="14" t="s">
        <v>30</v>
      </c>
      <c r="AM165" s="40" t="s">
        <v>32</v>
      </c>
      <c r="AN165" s="118">
        <v>12</v>
      </c>
      <c r="AO165" s="41" t="str">
        <f t="shared" si="41"/>
        <v>N-1 IP 12</v>
      </c>
      <c r="AP165" s="25">
        <f t="shared" si="42"/>
        <v>100.1706730731125</v>
      </c>
      <c r="AQ165" s="34">
        <f>NPV('Cost Assumptions'!$B$3,'SDG&amp;E and Central BESS in VS'!C20:AD20)</f>
        <v>0</v>
      </c>
    </row>
    <row r="166" spans="38:43" x14ac:dyDescent="0.35">
      <c r="AL166" s="14" t="s">
        <v>30</v>
      </c>
      <c r="AM166" s="40" t="s">
        <v>33</v>
      </c>
      <c r="AN166" s="118">
        <v>12</v>
      </c>
      <c r="AO166" s="41" t="str">
        <f t="shared" si="41"/>
        <v>N-1 SAIDI 12</v>
      </c>
      <c r="AP166" s="25">
        <f t="shared" si="42"/>
        <v>73.336634837250131</v>
      </c>
      <c r="AQ166" s="34">
        <f>NPV('Cost Assumptions'!$B$3,'SDG&amp;E and Central BESS in VS'!C21:AD21)</f>
        <v>0</v>
      </c>
    </row>
    <row r="167" spans="38:43" x14ac:dyDescent="0.35">
      <c r="AL167" s="14" t="s">
        <v>30</v>
      </c>
      <c r="AM167" s="40" t="s">
        <v>34</v>
      </c>
      <c r="AN167" s="118">
        <v>12</v>
      </c>
      <c r="AO167" s="41" t="str">
        <f t="shared" si="41"/>
        <v>N-1 SAIFI 12</v>
      </c>
      <c r="AP167" s="25">
        <f t="shared" si="42"/>
        <v>1.4721708526842732</v>
      </c>
      <c r="AQ167" s="34">
        <f>NPV('Cost Assumptions'!$B$3,'SDG&amp;E and Central BESS in VS'!C22:AD22)</f>
        <v>0</v>
      </c>
    </row>
    <row r="168" spans="38:43" x14ac:dyDescent="0.35">
      <c r="AL168" s="14" t="s">
        <v>30</v>
      </c>
      <c r="AM168" s="40" t="s">
        <v>35</v>
      </c>
      <c r="AN168" s="118">
        <v>12</v>
      </c>
      <c r="AO168" s="41" t="str">
        <f t="shared" si="41"/>
        <v>N-1 PFD 12</v>
      </c>
      <c r="AP168" s="25">
        <f t="shared" si="42"/>
        <v>315.95809421564536</v>
      </c>
      <c r="AQ168" s="34">
        <f>NPV('Cost Assumptions'!$B$3,'SDG&amp;E and Central BESS in VS'!C23:AD23)</f>
        <v>0</v>
      </c>
    </row>
    <row r="169" spans="38:43" x14ac:dyDescent="0.35">
      <c r="AL169" s="72" t="s">
        <v>30</v>
      </c>
      <c r="AM169" s="1" t="s">
        <v>36</v>
      </c>
      <c r="AN169" s="118">
        <v>12</v>
      </c>
      <c r="AO169" s="41" t="str">
        <f t="shared" si="41"/>
        <v>N-1 Available Flex-1 12</v>
      </c>
      <c r="AP169" s="25">
        <f t="shared" si="42"/>
        <v>75415.305782582174</v>
      </c>
      <c r="AQ169" s="34">
        <f>NPV('Cost Assumptions'!$B$3,'SDG&amp;E and Central BESS in VS'!C24:AD24)</f>
        <v>58290.740381672294</v>
      </c>
    </row>
    <row r="170" spans="38:43" x14ac:dyDescent="0.35">
      <c r="AL170" s="14" t="s">
        <v>30</v>
      </c>
      <c r="AM170" s="26" t="s">
        <v>37</v>
      </c>
      <c r="AN170" s="118">
        <v>12</v>
      </c>
      <c r="AO170" s="41" t="str">
        <f t="shared" si="41"/>
        <v>N-1 Available Flex-2-1 12</v>
      </c>
      <c r="AP170" s="25">
        <f t="shared" si="42"/>
        <v>1272587.0327551514</v>
      </c>
      <c r="AQ170" s="34">
        <f>NPV('Cost Assumptions'!$B$3,'SDG&amp;E and Central BESS in VS'!C25:AD25)</f>
        <v>587520.01174117869</v>
      </c>
    </row>
    <row r="171" spans="38:43" x14ac:dyDescent="0.35">
      <c r="AL171" s="14" t="s">
        <v>30</v>
      </c>
      <c r="AM171" s="26" t="s">
        <v>38</v>
      </c>
      <c r="AN171" s="118">
        <v>12</v>
      </c>
      <c r="AO171" s="41" t="str">
        <f t="shared" si="41"/>
        <v>N-1 Available Flex-2-2 12</v>
      </c>
      <c r="AP171" s="25">
        <f t="shared" si="42"/>
        <v>526663.85708479583</v>
      </c>
      <c r="AQ171" s="34">
        <f>NPV('Cost Assumptions'!$B$3,'SDG&amp;E and Central BESS in VS'!C26:AD26)</f>
        <v>167658.01348667333</v>
      </c>
    </row>
    <row r="172" spans="38:43" x14ac:dyDescent="0.35">
      <c r="AL172" s="14" t="s">
        <v>39</v>
      </c>
      <c r="AM172" s="40" t="s">
        <v>31</v>
      </c>
      <c r="AN172" s="118">
        <v>12</v>
      </c>
      <c r="AO172" s="41" t="str">
        <f t="shared" si="41"/>
        <v>N-0 EENS 12</v>
      </c>
      <c r="AP172" s="25">
        <f t="shared" ref="AP172:AP176" si="43">N31</f>
        <v>3662.4319152534908</v>
      </c>
      <c r="AQ172" s="34">
        <f>NPV('Cost Assumptions'!$B$3,'SDG&amp;E and Central BESS in VS'!C27:AD27)</f>
        <v>0</v>
      </c>
    </row>
    <row r="173" spans="38:43" x14ac:dyDescent="0.35">
      <c r="AL173" s="14" t="s">
        <v>39</v>
      </c>
      <c r="AM173" s="40" t="s">
        <v>32</v>
      </c>
      <c r="AN173" s="118">
        <v>12</v>
      </c>
      <c r="AO173" s="41" t="str">
        <f t="shared" si="41"/>
        <v>N-0 IP 12</v>
      </c>
      <c r="AP173" s="25">
        <f t="shared" si="43"/>
        <v>603.3370677068466</v>
      </c>
      <c r="AQ173" s="34">
        <f>NPV('Cost Assumptions'!$B$3,'SDG&amp;E and Central BESS in VS'!C28:AD28)</f>
        <v>0</v>
      </c>
    </row>
    <row r="174" spans="38:43" x14ac:dyDescent="0.35">
      <c r="AL174" s="14" t="s">
        <v>39</v>
      </c>
      <c r="AM174" s="40" t="s">
        <v>33</v>
      </c>
      <c r="AN174" s="118">
        <v>12</v>
      </c>
      <c r="AO174" s="41" t="str">
        <f t="shared" si="41"/>
        <v>N-0 SAIDI 12</v>
      </c>
      <c r="AP174" s="25">
        <f t="shared" si="43"/>
        <v>54.089806048569208</v>
      </c>
      <c r="AQ174" s="34">
        <f>NPV('Cost Assumptions'!$B$3,'SDG&amp;E and Central BESS in VS'!C29:AD29)</f>
        <v>0</v>
      </c>
    </row>
    <row r="175" spans="38:43" x14ac:dyDescent="0.35">
      <c r="AL175" s="14" t="s">
        <v>39</v>
      </c>
      <c r="AM175" s="40" t="s">
        <v>34</v>
      </c>
      <c r="AN175" s="118">
        <v>12</v>
      </c>
      <c r="AO175" s="41" t="str">
        <f t="shared" si="41"/>
        <v>N-0 SAIFI 12</v>
      </c>
      <c r="AP175" s="25">
        <f t="shared" si="43"/>
        <v>2.9078711043982364</v>
      </c>
      <c r="AQ175" s="34">
        <f>NPV('Cost Assumptions'!$B$3,'SDG&amp;E and Central BESS in VS'!C30:AD30)</f>
        <v>0</v>
      </c>
    </row>
    <row r="176" spans="38:43" x14ac:dyDescent="0.35">
      <c r="AL176" s="14" t="s">
        <v>39</v>
      </c>
      <c r="AM176" s="40" t="s">
        <v>35</v>
      </c>
      <c r="AN176" s="118">
        <v>12</v>
      </c>
      <c r="AO176" s="41" t="str">
        <f t="shared" si="41"/>
        <v>N-0 PFD 12</v>
      </c>
      <c r="AP176" s="25">
        <f t="shared" si="43"/>
        <v>81.976482418430209</v>
      </c>
      <c r="AQ176" s="34">
        <f>NPV('Cost Assumptions'!$B$3,'SDG&amp;E and Central BESS in VS'!C31:AD31)</f>
        <v>0</v>
      </c>
    </row>
    <row r="177" spans="38:43" x14ac:dyDescent="0.35">
      <c r="AL177" s="14" t="s">
        <v>30</v>
      </c>
      <c r="AM177" s="40" t="s">
        <v>31</v>
      </c>
      <c r="AN177" s="59">
        <v>13</v>
      </c>
      <c r="AO177" s="60" t="str">
        <f t="shared" si="41"/>
        <v>N-1 EENS 13</v>
      </c>
      <c r="AP177" s="25">
        <f t="shared" ref="AP177:AP184" si="44">O23</f>
        <v>114.42912412587738</v>
      </c>
      <c r="AQ177" s="34">
        <f>NPV('Cost Assumptions'!$B$3,'Valley South to Valley North'!C19:AD19)</f>
        <v>894.50051730059943</v>
      </c>
    </row>
    <row r="178" spans="38:43" x14ac:dyDescent="0.35">
      <c r="AL178" s="14" t="s">
        <v>30</v>
      </c>
      <c r="AM178" s="40" t="s">
        <v>32</v>
      </c>
      <c r="AN178" s="59">
        <v>13</v>
      </c>
      <c r="AO178" s="60" t="str">
        <f t="shared" si="41"/>
        <v>N-1 IP 13</v>
      </c>
      <c r="AP178" s="25">
        <f t="shared" si="44"/>
        <v>-30.412621955669433</v>
      </c>
      <c r="AQ178" s="34">
        <f>NPV('Cost Assumptions'!$B$3,'Valley South to Valley North'!C20:AD20)</f>
        <v>130.58329502878198</v>
      </c>
    </row>
    <row r="179" spans="38:43" x14ac:dyDescent="0.35">
      <c r="AL179" s="14" t="s">
        <v>30</v>
      </c>
      <c r="AM179" s="40" t="s">
        <v>33</v>
      </c>
      <c r="AN179" s="59">
        <v>13</v>
      </c>
      <c r="AO179" s="60" t="str">
        <f t="shared" si="41"/>
        <v>N-1 SAIDI 13</v>
      </c>
      <c r="AP179" s="25">
        <f t="shared" si="44"/>
        <v>54.408682117250308</v>
      </c>
      <c r="AQ179" s="34">
        <f>NPV('Cost Assumptions'!$B$3,'Valley South to Valley North'!C21:AD21)</f>
        <v>18.92795271999983</v>
      </c>
    </row>
    <row r="180" spans="38:43" x14ac:dyDescent="0.35">
      <c r="AL180" s="14" t="s">
        <v>30</v>
      </c>
      <c r="AM180" s="40" t="s">
        <v>34</v>
      </c>
      <c r="AN180" s="59">
        <v>13</v>
      </c>
      <c r="AO180" s="60" t="str">
        <f t="shared" si="41"/>
        <v>N-1 SAIFI 13</v>
      </c>
      <c r="AP180" s="25">
        <f t="shared" si="44"/>
        <v>0.65104463482712971</v>
      </c>
      <c r="AQ180" s="34">
        <f>NPV('Cost Assumptions'!$B$3,'Valley South to Valley North'!C22:AD22)</f>
        <v>0.82112621785714313</v>
      </c>
    </row>
    <row r="181" spans="38:43" x14ac:dyDescent="0.35">
      <c r="AL181" s="14" t="s">
        <v>30</v>
      </c>
      <c r="AM181" s="40" t="s">
        <v>35</v>
      </c>
      <c r="AN181" s="59">
        <v>13</v>
      </c>
      <c r="AO181" s="60" t="str">
        <f t="shared" si="41"/>
        <v>N-1 PFD 13</v>
      </c>
      <c r="AP181" s="25">
        <f t="shared" si="44"/>
        <v>225.53030430590292</v>
      </c>
      <c r="AQ181" s="34">
        <f>NPV('Cost Assumptions'!$B$3,'Valley South to Valley North'!C23:AD23)</f>
        <v>90.427789909742458</v>
      </c>
    </row>
    <row r="182" spans="38:43" x14ac:dyDescent="0.35">
      <c r="AL182" s="72" t="s">
        <v>30</v>
      </c>
      <c r="AM182" s="1" t="s">
        <v>36</v>
      </c>
      <c r="AN182" s="59">
        <v>13</v>
      </c>
      <c r="AO182" s="60" t="str">
        <f t="shared" si="41"/>
        <v>N-1 Available Flex-1 13</v>
      </c>
      <c r="AP182" s="25">
        <f t="shared" si="44"/>
        <v>39141.445534236278</v>
      </c>
      <c r="AQ182" s="34">
        <f>NPV('Cost Assumptions'!$B$3,'Valley South to Valley North'!C24:AD24)</f>
        <v>94564.600630018191</v>
      </c>
    </row>
    <row r="183" spans="38:43" x14ac:dyDescent="0.35">
      <c r="AL183" s="14" t="s">
        <v>30</v>
      </c>
      <c r="AM183" s="26" t="s">
        <v>37</v>
      </c>
      <c r="AN183" s="59">
        <v>13</v>
      </c>
      <c r="AO183" s="60" t="str">
        <f t="shared" si="41"/>
        <v>N-1 Available Flex-2-1 13</v>
      </c>
      <c r="AP183" s="25">
        <f t="shared" si="44"/>
        <v>0</v>
      </c>
      <c r="AQ183" s="34">
        <f>NPV('Cost Assumptions'!$B$3,'Valley South to Valley North'!C25:AD25)</f>
        <v>1860107.0444963297</v>
      </c>
    </row>
    <row r="184" spans="38:43" x14ac:dyDescent="0.35">
      <c r="AL184" s="14" t="s">
        <v>30</v>
      </c>
      <c r="AM184" s="26" t="s">
        <v>38</v>
      </c>
      <c r="AN184" s="59">
        <v>13</v>
      </c>
      <c r="AO184" s="60" t="str">
        <f t="shared" si="41"/>
        <v>N-1 Available Flex-2-2 13</v>
      </c>
      <c r="AP184" s="25">
        <f t="shared" si="44"/>
        <v>479183.40573156968</v>
      </c>
      <c r="AQ184" s="34">
        <f>NPV('Cost Assumptions'!$B$3,'Valley South to Valley North'!C26:AD26)</f>
        <v>215138.46483989974</v>
      </c>
    </row>
    <row r="185" spans="38:43" x14ac:dyDescent="0.35">
      <c r="AL185" s="14" t="s">
        <v>39</v>
      </c>
      <c r="AM185" s="40" t="s">
        <v>31</v>
      </c>
      <c r="AN185" s="59">
        <v>13</v>
      </c>
      <c r="AO185" s="60" t="str">
        <f t="shared" si="41"/>
        <v>N-0 EENS 13</v>
      </c>
      <c r="AP185" s="25">
        <f t="shared" ref="AP185:AP189" si="45">O31</f>
        <v>3422.1305658870738</v>
      </c>
      <c r="AQ185" s="34">
        <f>NPV('Cost Assumptions'!$B$3,'Valley South to Valley North'!C28:AD28)</f>
        <v>240.30134936641753</v>
      </c>
    </row>
    <row r="186" spans="38:43" x14ac:dyDescent="0.35">
      <c r="AL186" s="14" t="s">
        <v>39</v>
      </c>
      <c r="AM186" s="40" t="s">
        <v>32</v>
      </c>
      <c r="AN186" s="59">
        <v>13</v>
      </c>
      <c r="AO186" s="60" t="str">
        <f t="shared" si="41"/>
        <v>N-0 IP 13</v>
      </c>
      <c r="AP186" s="25">
        <f t="shared" si="45"/>
        <v>527.31679336051275</v>
      </c>
      <c r="AQ186" s="34">
        <f>NPV('Cost Assumptions'!$B$3,'Valley South to Valley North'!C29:AD29)</f>
        <v>76.020274346333778</v>
      </c>
    </row>
    <row r="187" spans="38:43" x14ac:dyDescent="0.35">
      <c r="AL187" s="14" t="s">
        <v>39</v>
      </c>
      <c r="AM187" s="40" t="s">
        <v>33</v>
      </c>
      <c r="AN187" s="59">
        <v>13</v>
      </c>
      <c r="AO187" s="60" t="str">
        <f t="shared" si="41"/>
        <v>N-0 SAIDI 13</v>
      </c>
      <c r="AP187" s="25">
        <f t="shared" si="45"/>
        <v>49.08328766658186</v>
      </c>
      <c r="AQ187" s="34">
        <f>NPV('Cost Assumptions'!$B$3,'Valley South to Valley North'!C30:AD30)</f>
        <v>5.0065183819873429</v>
      </c>
    </row>
    <row r="188" spans="38:43" x14ac:dyDescent="0.35">
      <c r="AL188" s="14" t="s">
        <v>39</v>
      </c>
      <c r="AM188" s="40" t="s">
        <v>34</v>
      </c>
      <c r="AN188" s="59">
        <v>13</v>
      </c>
      <c r="AO188" s="60" t="str">
        <f t="shared" si="41"/>
        <v>N-0 SAIFI 13</v>
      </c>
      <c r="AP188" s="25">
        <f t="shared" si="45"/>
        <v>2.6067895419981455</v>
      </c>
      <c r="AQ188" s="34">
        <f>NPV('Cost Assumptions'!$B$3,'Valley South to Valley North'!C31:AD31)</f>
        <v>0.30108156240009137</v>
      </c>
    </row>
    <row r="189" spans="38:43" x14ac:dyDescent="0.35">
      <c r="AL189" s="14" t="s">
        <v>39</v>
      </c>
      <c r="AM189" s="40" t="s">
        <v>35</v>
      </c>
      <c r="AN189" s="59">
        <v>13</v>
      </c>
      <c r="AO189" s="60" t="str">
        <f t="shared" si="41"/>
        <v>N-0 PFD 13</v>
      </c>
      <c r="AP189" s="25">
        <f t="shared" si="45"/>
        <v>73.897420709513568</v>
      </c>
      <c r="AQ189" s="34">
        <f>NPV('Cost Assumptions'!$B$3,'Valley South to Valley North'!C32:AD32)</f>
        <v>8.0790617089166279</v>
      </c>
    </row>
    <row r="190" spans="38:43" x14ac:dyDescent="0.35">
      <c r="AL190" s="72"/>
      <c r="AM190" s="72"/>
      <c r="AN190" s="72"/>
      <c r="AO190" s="72"/>
      <c r="AP190" s="72"/>
      <c r="AQ190" s="72"/>
    </row>
    <row r="191" spans="38:43" x14ac:dyDescent="0.35">
      <c r="AL191" s="72"/>
      <c r="AM191" s="72"/>
      <c r="AN191" s="72"/>
      <c r="AO191" s="72"/>
      <c r="AP191" s="72"/>
      <c r="AQ191" s="72"/>
    </row>
    <row r="192" spans="38:43" x14ac:dyDescent="0.35">
      <c r="AL192" s="72"/>
      <c r="AM192" s="72"/>
      <c r="AN192" s="72"/>
      <c r="AO192" s="72"/>
      <c r="AP192" s="72"/>
      <c r="AQ192" s="72"/>
    </row>
    <row r="193" spans="38:43" x14ac:dyDescent="0.35">
      <c r="AL193" s="72"/>
      <c r="AM193" s="72"/>
      <c r="AN193" s="72"/>
      <c r="AO193" s="72"/>
      <c r="AP193" s="72"/>
      <c r="AQ193" s="72"/>
    </row>
    <row r="194" spans="38:43" x14ac:dyDescent="0.35">
      <c r="AL194" s="72"/>
      <c r="AM194" s="72"/>
      <c r="AN194" s="72"/>
      <c r="AO194" s="72"/>
      <c r="AP194" s="72"/>
      <c r="AQ194" s="72"/>
    </row>
    <row r="195" spans="38:43" x14ac:dyDescent="0.35">
      <c r="AL195" s="72"/>
      <c r="AM195" s="72"/>
      <c r="AN195" s="72"/>
      <c r="AO195" s="72"/>
      <c r="AP195" s="72"/>
      <c r="AQ195" s="72"/>
    </row>
    <row r="196" spans="38:43" x14ac:dyDescent="0.35">
      <c r="AL196" s="72"/>
      <c r="AM196" s="72"/>
      <c r="AN196" s="72"/>
      <c r="AO196" s="72"/>
      <c r="AP196" s="72"/>
      <c r="AQ196" s="72"/>
    </row>
    <row r="197" spans="38:43" x14ac:dyDescent="0.35">
      <c r="AL197" s="72"/>
      <c r="AM197" s="72"/>
      <c r="AN197" s="72"/>
      <c r="AO197" s="72"/>
      <c r="AP197" s="72"/>
      <c r="AQ197" s="72"/>
    </row>
    <row r="198" spans="38:43" x14ac:dyDescent="0.35">
      <c r="AL198" s="72"/>
      <c r="AM198" s="72"/>
      <c r="AN198" s="72"/>
      <c r="AO198" s="72"/>
      <c r="AP198" s="72"/>
      <c r="AQ198" s="72"/>
    </row>
    <row r="199" spans="38:43" x14ac:dyDescent="0.35">
      <c r="AL199" s="72"/>
      <c r="AM199" s="72"/>
      <c r="AN199" s="72"/>
      <c r="AO199" s="72"/>
      <c r="AP199" s="72"/>
      <c r="AQ199" s="72"/>
    </row>
    <row r="200" spans="38:43" x14ac:dyDescent="0.35">
      <c r="AL200" s="72"/>
      <c r="AM200" s="72"/>
      <c r="AN200" s="72"/>
      <c r="AO200" s="72"/>
      <c r="AP200" s="72"/>
      <c r="AQ200" s="72"/>
    </row>
    <row r="201" spans="38:43" x14ac:dyDescent="0.35">
      <c r="AL201" s="72"/>
      <c r="AM201" s="72"/>
      <c r="AN201" s="72"/>
      <c r="AO201" s="72"/>
      <c r="AP201" s="72"/>
      <c r="AQ201" s="72"/>
    </row>
    <row r="202" spans="38:43" x14ac:dyDescent="0.35">
      <c r="AL202" s="72"/>
      <c r="AM202" s="72"/>
      <c r="AN202" s="72"/>
      <c r="AO202" s="72"/>
      <c r="AP202" s="72"/>
      <c r="AQ202" s="72"/>
    </row>
    <row r="203" spans="38:43" x14ac:dyDescent="0.35">
      <c r="AL203" s="72"/>
      <c r="AM203" s="72"/>
      <c r="AN203" s="72"/>
      <c r="AO203" s="72"/>
      <c r="AP203" s="72"/>
      <c r="AQ203" s="72"/>
    </row>
    <row r="204" spans="38:43" x14ac:dyDescent="0.35">
      <c r="AL204" s="72"/>
      <c r="AM204" s="72"/>
      <c r="AN204" s="72"/>
      <c r="AO204" s="72"/>
      <c r="AP204" s="72"/>
      <c r="AQ204" s="72"/>
    </row>
    <row r="205" spans="38:43" x14ac:dyDescent="0.35">
      <c r="AL205" s="72"/>
      <c r="AM205" s="72"/>
      <c r="AN205" s="72"/>
      <c r="AO205" s="72"/>
      <c r="AP205" s="72"/>
      <c r="AQ205" s="72"/>
    </row>
    <row r="206" spans="38:43" x14ac:dyDescent="0.35">
      <c r="AL206" s="72"/>
      <c r="AM206" s="72"/>
      <c r="AN206" s="72"/>
      <c r="AO206" s="72"/>
      <c r="AP206" s="72"/>
      <c r="AQ206" s="72"/>
    </row>
    <row r="207" spans="38:43" x14ac:dyDescent="0.35">
      <c r="AL207" s="72"/>
      <c r="AM207" s="72"/>
      <c r="AN207" s="72"/>
      <c r="AO207" s="72"/>
      <c r="AP207" s="72"/>
      <c r="AQ207" s="72"/>
    </row>
    <row r="208" spans="38:43" x14ac:dyDescent="0.35">
      <c r="AL208" s="72"/>
      <c r="AM208" s="72"/>
      <c r="AN208" s="72"/>
      <c r="AO208" s="72"/>
      <c r="AP208" s="72"/>
      <c r="AQ208" s="72"/>
    </row>
    <row r="209" spans="38:43" x14ac:dyDescent="0.35">
      <c r="AL209" s="72"/>
      <c r="AM209" s="72"/>
      <c r="AN209" s="72"/>
      <c r="AO209" s="72"/>
      <c r="AP209" s="72"/>
      <c r="AQ209" s="72"/>
    </row>
    <row r="210" spans="38:43" x14ac:dyDescent="0.35">
      <c r="AL210" s="72"/>
      <c r="AM210" s="72"/>
      <c r="AN210" s="72"/>
      <c r="AO210" s="72"/>
      <c r="AP210" s="72"/>
      <c r="AQ210" s="72"/>
    </row>
    <row r="211" spans="38:43" x14ac:dyDescent="0.35">
      <c r="AL211" s="72"/>
      <c r="AM211" s="72"/>
      <c r="AN211" s="72"/>
      <c r="AO211" s="72"/>
      <c r="AP211" s="72"/>
      <c r="AQ211" s="72"/>
    </row>
    <row r="212" spans="38:43" x14ac:dyDescent="0.35">
      <c r="AL212" s="72"/>
      <c r="AM212" s="72"/>
      <c r="AN212" s="72"/>
      <c r="AO212" s="72"/>
      <c r="AP212" s="72"/>
      <c r="AQ212" s="72"/>
    </row>
    <row r="213" spans="38:43" x14ac:dyDescent="0.35">
      <c r="AL213" s="72"/>
      <c r="AM213" s="72"/>
      <c r="AN213" s="72"/>
      <c r="AO213" s="72"/>
      <c r="AP213" s="72"/>
      <c r="AQ213" s="72"/>
    </row>
  </sheetData>
  <autoFilter ref="A3:D10" xr:uid="{00000000-0009-0000-0000-000001000000}">
    <sortState xmlns:xlrd2="http://schemas.microsoft.com/office/spreadsheetml/2017/richdata2" ref="A4:D17">
      <sortCondition ref="C3:C10"/>
    </sortState>
  </autoFilter>
  <sortState xmlns:xlrd2="http://schemas.microsoft.com/office/spreadsheetml/2017/richdata2" ref="A4:D9">
    <sortCondition ref="C3"/>
  </sortState>
  <mergeCells count="222">
    <mergeCell ref="O61:P61"/>
    <mergeCell ref="O60:P60"/>
    <mergeCell ref="O58:P58"/>
    <mergeCell ref="O49:P49"/>
    <mergeCell ref="O48:P48"/>
    <mergeCell ref="A21:B21"/>
    <mergeCell ref="A20:O20"/>
    <mergeCell ref="U61:V61"/>
    <mergeCell ref="W61:X61"/>
    <mergeCell ref="U53:V53"/>
    <mergeCell ref="U54:V54"/>
    <mergeCell ref="U55:V55"/>
    <mergeCell ref="U56:V56"/>
    <mergeCell ref="U57:V57"/>
    <mergeCell ref="U58:V58"/>
    <mergeCell ref="U59:V59"/>
    <mergeCell ref="U60:V60"/>
    <mergeCell ref="W54:X54"/>
    <mergeCell ref="W55:X55"/>
    <mergeCell ref="W56:X56"/>
    <mergeCell ref="W57:X57"/>
    <mergeCell ref="W58:X58"/>
    <mergeCell ref="W59:X59"/>
    <mergeCell ref="W60:X60"/>
    <mergeCell ref="AA53:AB53"/>
    <mergeCell ref="AA54:AB54"/>
    <mergeCell ref="AA55:AB55"/>
    <mergeCell ref="AA56:AB56"/>
    <mergeCell ref="Y61:Z61"/>
    <mergeCell ref="AA61:AB61"/>
    <mergeCell ref="Y53:Z53"/>
    <mergeCell ref="Y54:Z54"/>
    <mergeCell ref="Y55:Z55"/>
    <mergeCell ref="Y56:Z56"/>
    <mergeCell ref="Y57:Z57"/>
    <mergeCell ref="Y58:Z58"/>
    <mergeCell ref="Y59:Z59"/>
    <mergeCell ref="Y60:Z60"/>
    <mergeCell ref="AA57:AB57"/>
    <mergeCell ref="AA58:AB58"/>
    <mergeCell ref="AA59:AB59"/>
    <mergeCell ref="AA60:AB60"/>
    <mergeCell ref="U46:V46"/>
    <mergeCell ref="W46:X46"/>
    <mergeCell ref="Y46:Z46"/>
    <mergeCell ref="AA46:AB46"/>
    <mergeCell ref="U48:V48"/>
    <mergeCell ref="U49:V49"/>
    <mergeCell ref="U50:V50"/>
    <mergeCell ref="U51:V51"/>
    <mergeCell ref="U52:V52"/>
    <mergeCell ref="Y48:Z48"/>
    <mergeCell ref="Y49:Z49"/>
    <mergeCell ref="Y50:Z50"/>
    <mergeCell ref="Y51:Z51"/>
    <mergeCell ref="Y52:Z52"/>
    <mergeCell ref="W48:X48"/>
    <mergeCell ref="W49:X49"/>
    <mergeCell ref="W50:X50"/>
    <mergeCell ref="W51:X51"/>
    <mergeCell ref="W52:X52"/>
    <mergeCell ref="AA48:AB48"/>
    <mergeCell ref="AA49:AB49"/>
    <mergeCell ref="AA50:AB50"/>
    <mergeCell ref="AA51:AB51"/>
    <mergeCell ref="AA52:AB52"/>
    <mergeCell ref="W53:X53"/>
    <mergeCell ref="A64:B66"/>
    <mergeCell ref="A45:B47"/>
    <mergeCell ref="A42:B42"/>
    <mergeCell ref="C45:T45"/>
    <mergeCell ref="C53:D53"/>
    <mergeCell ref="C52:D52"/>
    <mergeCell ref="E55:F55"/>
    <mergeCell ref="K46:L46"/>
    <mergeCell ref="C48:D48"/>
    <mergeCell ref="C49:D49"/>
    <mergeCell ref="C50:D50"/>
    <mergeCell ref="G48:H48"/>
    <mergeCell ref="G49:H49"/>
    <mergeCell ref="G50:H50"/>
    <mergeCell ref="K48:L48"/>
    <mergeCell ref="K49:L49"/>
    <mergeCell ref="K50:L50"/>
    <mergeCell ref="I50:J50"/>
    <mergeCell ref="E48:F48"/>
    <mergeCell ref="S55:T55"/>
    <mergeCell ref="C65:D65"/>
    <mergeCell ref="E58:F58"/>
    <mergeCell ref="E59:F59"/>
    <mergeCell ref="K61:L61"/>
    <mergeCell ref="K59:L59"/>
    <mergeCell ref="K60:L60"/>
    <mergeCell ref="M61:N61"/>
    <mergeCell ref="E46:F46"/>
    <mergeCell ref="E52:F52"/>
    <mergeCell ref="E53:F53"/>
    <mergeCell ref="E54:F54"/>
    <mergeCell ref="E56:F56"/>
    <mergeCell ref="E49:F49"/>
    <mergeCell ref="E50:F50"/>
    <mergeCell ref="I46:J46"/>
    <mergeCell ref="G46:H46"/>
    <mergeCell ref="I48:J48"/>
    <mergeCell ref="I49:J49"/>
    <mergeCell ref="K51:L51"/>
    <mergeCell ref="K52:L52"/>
    <mergeCell ref="K53:L53"/>
    <mergeCell ref="I51:J51"/>
    <mergeCell ref="K56:L56"/>
    <mergeCell ref="K54:L54"/>
    <mergeCell ref="M49:N49"/>
    <mergeCell ref="M50:N50"/>
    <mergeCell ref="M51:N51"/>
    <mergeCell ref="C79:D79"/>
    <mergeCell ref="C64:D64"/>
    <mergeCell ref="C77:D77"/>
    <mergeCell ref="C78:D78"/>
    <mergeCell ref="C75:D75"/>
    <mergeCell ref="C76:D76"/>
    <mergeCell ref="C73:D73"/>
    <mergeCell ref="C74:D74"/>
    <mergeCell ref="C71:D71"/>
    <mergeCell ref="C72:D72"/>
    <mergeCell ref="C69:D69"/>
    <mergeCell ref="C70:D70"/>
    <mergeCell ref="C67:D67"/>
    <mergeCell ref="C68:D68"/>
    <mergeCell ref="AL4:AM4"/>
    <mergeCell ref="A40:P40"/>
    <mergeCell ref="C58:D58"/>
    <mergeCell ref="C59:D59"/>
    <mergeCell ref="C46:D46"/>
    <mergeCell ref="M46:N46"/>
    <mergeCell ref="O46:P46"/>
    <mergeCell ref="O50:P50"/>
    <mergeCell ref="O51:P51"/>
    <mergeCell ref="O52:P52"/>
    <mergeCell ref="O53:P53"/>
    <mergeCell ref="O54:P54"/>
    <mergeCell ref="O56:P56"/>
    <mergeCell ref="O57:P57"/>
    <mergeCell ref="C51:D51"/>
    <mergeCell ref="G51:H51"/>
    <mergeCell ref="C55:D55"/>
    <mergeCell ref="E51:F51"/>
    <mergeCell ref="C56:D56"/>
    <mergeCell ref="C57:D57"/>
    <mergeCell ref="E57:F57"/>
    <mergeCell ref="C54:D54"/>
    <mergeCell ref="AC45:AC47"/>
    <mergeCell ref="Q55:R55"/>
    <mergeCell ref="A61:B61"/>
    <mergeCell ref="C61:D61"/>
    <mergeCell ref="E61:F61"/>
    <mergeCell ref="G61:H61"/>
    <mergeCell ref="I61:J61"/>
    <mergeCell ref="G52:H52"/>
    <mergeCell ref="G53:H53"/>
    <mergeCell ref="G55:H55"/>
    <mergeCell ref="I55:J55"/>
    <mergeCell ref="G56:H56"/>
    <mergeCell ref="G54:H54"/>
    <mergeCell ref="C60:D60"/>
    <mergeCell ref="E60:F60"/>
    <mergeCell ref="G59:H59"/>
    <mergeCell ref="G60:H60"/>
    <mergeCell ref="I59:J59"/>
    <mergeCell ref="I60:J60"/>
    <mergeCell ref="G57:H57"/>
    <mergeCell ref="G58:H58"/>
    <mergeCell ref="I54:J54"/>
    <mergeCell ref="I52:J52"/>
    <mergeCell ref="I53:J53"/>
    <mergeCell ref="K58:L58"/>
    <mergeCell ref="I58:J58"/>
    <mergeCell ref="Q60:R60"/>
    <mergeCell ref="M58:N58"/>
    <mergeCell ref="M59:N59"/>
    <mergeCell ref="M60:N60"/>
    <mergeCell ref="O59:P59"/>
    <mergeCell ref="M55:N55"/>
    <mergeCell ref="O55:P55"/>
    <mergeCell ref="Q56:R56"/>
    <mergeCell ref="Q57:R57"/>
    <mergeCell ref="Q58:R58"/>
    <mergeCell ref="M52:N52"/>
    <mergeCell ref="M53:N53"/>
    <mergeCell ref="M54:N54"/>
    <mergeCell ref="M56:N56"/>
    <mergeCell ref="M57:N57"/>
    <mergeCell ref="Q53:R53"/>
    <mergeCell ref="Q54:R54"/>
    <mergeCell ref="B2:O2"/>
    <mergeCell ref="A41:P41"/>
    <mergeCell ref="M48:N48"/>
    <mergeCell ref="K55:L55"/>
    <mergeCell ref="K57:L57"/>
    <mergeCell ref="I56:J56"/>
    <mergeCell ref="I57:J57"/>
    <mergeCell ref="Q61:R61"/>
    <mergeCell ref="S46:T46"/>
    <mergeCell ref="S48:T48"/>
    <mergeCell ref="S49:T49"/>
    <mergeCell ref="S50:T50"/>
    <mergeCell ref="S51:T51"/>
    <mergeCell ref="S52:T52"/>
    <mergeCell ref="S53:T53"/>
    <mergeCell ref="S54:T54"/>
    <mergeCell ref="S56:T56"/>
    <mergeCell ref="S57:T57"/>
    <mergeCell ref="S58:T58"/>
    <mergeCell ref="S59:T59"/>
    <mergeCell ref="S60:T60"/>
    <mergeCell ref="S61:T61"/>
    <mergeCell ref="Q46:R46"/>
    <mergeCell ref="Q48:R48"/>
    <mergeCell ref="Q49:R49"/>
    <mergeCell ref="Q50:R50"/>
    <mergeCell ref="Q51:R51"/>
    <mergeCell ref="Q52:R52"/>
    <mergeCell ref="Q59:R59"/>
  </mergeCells>
  <phoneticPr fontId="16" type="noConversion"/>
  <conditionalFormatting sqref="C48">
    <cfRule type="colorScale" priority="89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48 G48 I48 K48">
    <cfRule type="colorScale" priority="82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48:L48">
    <cfRule type="colorScale" priority="75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48:D48">
    <cfRule type="colorScale" priority="75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M48">
    <cfRule type="colorScale" priority="70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M48:N48">
    <cfRule type="colorScale" priority="69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O48 Q48 S48">
    <cfRule type="colorScale" priority="69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O48:T48">
    <cfRule type="colorScale" priority="69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48:T48">
    <cfRule type="colorScale" priority="69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67:C79">
    <cfRule type="colorScale" priority="58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I67 E67 K67">
    <cfRule type="colorScale" priority="58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67:E67 C68:D79 I67:L67">
    <cfRule type="colorScale" priority="58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67:D79">
    <cfRule type="colorScale" priority="58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M67">
    <cfRule type="colorScale" priority="57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M67:N67">
    <cfRule type="colorScale" priority="57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O67">
    <cfRule type="colorScale" priority="57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O67:P67">
    <cfRule type="colorScale" priority="57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67:E67 C68:D79 I67:P67">
    <cfRule type="colorScale" priority="57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I68 E68 K68">
    <cfRule type="colorScale" priority="57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I68:L68 E68">
    <cfRule type="colorScale" priority="57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M68">
    <cfRule type="colorScale" priority="57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M68:N68">
    <cfRule type="colorScale" priority="56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O68">
    <cfRule type="colorScale" priority="56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O68:P68">
    <cfRule type="colorScale" priority="56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I68:P68 E68">
    <cfRule type="colorScale" priority="56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I69 E69 K69">
    <cfRule type="colorScale" priority="56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I69:L69 E69">
    <cfRule type="colorScale" priority="56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M69">
    <cfRule type="colorScale" priority="56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M69:N69">
    <cfRule type="colorScale" priority="56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O69">
    <cfRule type="colorScale" priority="55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O69:P69">
    <cfRule type="colorScale" priority="55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I69:P69 E69">
    <cfRule type="colorScale" priority="55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70 I70 K70">
    <cfRule type="colorScale" priority="55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I70:L70 E70">
    <cfRule type="colorScale" priority="55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M70">
    <cfRule type="colorScale" priority="55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M70:N70">
    <cfRule type="colorScale" priority="55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O70">
    <cfRule type="colorScale" priority="55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O70:P70">
    <cfRule type="colorScale" priority="54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I70:P70 E70">
    <cfRule type="colorScale" priority="54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I71 E71 K71">
    <cfRule type="colorScale" priority="54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I71:L71 E71">
    <cfRule type="colorScale" priority="54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M71">
    <cfRule type="colorScale" priority="54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M71:N71">
    <cfRule type="colorScale" priority="54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O71">
    <cfRule type="colorScale" priority="54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O71:P71">
    <cfRule type="colorScale" priority="54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I71:P71 E71">
    <cfRule type="colorScale" priority="53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72 I72 K72">
    <cfRule type="colorScale" priority="53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I72:L72 E72">
    <cfRule type="colorScale" priority="53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M72">
    <cfRule type="colorScale" priority="53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M72:N72">
    <cfRule type="colorScale" priority="53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O72">
    <cfRule type="colorScale" priority="53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O72:P72">
    <cfRule type="colorScale" priority="53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I72:P72 E72">
    <cfRule type="colorScale" priority="47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73 I73 K73">
    <cfRule type="colorScale" priority="52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I73:L73 E73">
    <cfRule type="colorScale" priority="52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M73">
    <cfRule type="colorScale" priority="52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M73:N73">
    <cfRule type="colorScale" priority="52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O73">
    <cfRule type="colorScale" priority="52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O73:P73">
    <cfRule type="colorScale" priority="52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I73:P73 E73">
    <cfRule type="colorScale" priority="52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75 I75 K75">
    <cfRule type="colorScale" priority="52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I75:L75 E75">
    <cfRule type="colorScale" priority="51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M75">
    <cfRule type="colorScale" priority="51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M75:N75">
    <cfRule type="colorScale" priority="51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O75">
    <cfRule type="colorScale" priority="51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O75:P75">
    <cfRule type="colorScale" priority="51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I75:P75 E75">
    <cfRule type="colorScale" priority="51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76 I76 K76">
    <cfRule type="colorScale" priority="51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I76:L76 E76">
    <cfRule type="colorScale" priority="50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M76">
    <cfRule type="colorScale" priority="50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M76:N76">
    <cfRule type="colorScale" priority="50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O76">
    <cfRule type="colorScale" priority="50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O76:P76">
    <cfRule type="colorScale" priority="50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I76:P76 E76">
    <cfRule type="colorScale" priority="50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77 G77 I77 K77">
    <cfRule type="colorScale" priority="50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77:L77">
    <cfRule type="colorScale" priority="50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M77">
    <cfRule type="colorScale" priority="49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M77:N77">
    <cfRule type="colorScale" priority="49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O77">
    <cfRule type="colorScale" priority="49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O77:P77">
    <cfRule type="colorScale" priority="49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77:P77">
    <cfRule type="colorScale" priority="49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78 G78 I78 K78">
    <cfRule type="colorScale" priority="49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78:L78">
    <cfRule type="colorScale" priority="49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M78">
    <cfRule type="colorScale" priority="49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M78:N78">
    <cfRule type="colorScale" priority="48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O78">
    <cfRule type="colorScale" priority="48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O78:P78">
    <cfRule type="colorScale" priority="48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78:P78">
    <cfRule type="colorScale" priority="48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79 G79 I79 K79">
    <cfRule type="colorScale" priority="48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79:L79">
    <cfRule type="colorScale" priority="48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M79">
    <cfRule type="colorScale" priority="48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M79:N79">
    <cfRule type="colorScale" priority="48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O79">
    <cfRule type="colorScale" priority="47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O79:P79">
    <cfRule type="colorScale" priority="47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79:P79">
    <cfRule type="colorScale" priority="47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74 I74 K74">
    <cfRule type="colorScale" priority="47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I74:L74 E74">
    <cfRule type="colorScale" priority="47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M74">
    <cfRule type="colorScale" priority="47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M74:N74">
    <cfRule type="colorScale" priority="47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O74">
    <cfRule type="colorScale" priority="46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O74:P74">
    <cfRule type="colorScale" priority="46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I74:P74 E74">
    <cfRule type="colorScale" priority="46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U48">
    <cfRule type="colorScale" priority="45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U48:V48">
    <cfRule type="colorScale" priority="45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U48:V48">
    <cfRule type="colorScale" priority="45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48">
    <cfRule type="colorScale" priority="41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48:X48">
    <cfRule type="colorScale" priority="41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48:X48">
    <cfRule type="colorScale" priority="41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Y48">
    <cfRule type="colorScale" priority="37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Y48:Z48">
    <cfRule type="colorScale" priority="37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Y48:Z48">
    <cfRule type="colorScale" priority="37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A48">
    <cfRule type="colorScale" priority="34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A48:AB48">
    <cfRule type="colorScale" priority="33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A48:AB48">
    <cfRule type="colorScale" priority="33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48:AB48">
    <cfRule type="colorScale" priority="30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49">
    <cfRule type="colorScale" priority="30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49 E49 I49 K49">
    <cfRule type="colorScale" priority="29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49:L49">
    <cfRule type="colorScale" priority="29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49:D49">
    <cfRule type="colorScale" priority="29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M49">
    <cfRule type="colorScale" priority="29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M49:N49">
    <cfRule type="colorScale" priority="29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O49 Q49 S49">
    <cfRule type="colorScale" priority="29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O49:T49">
    <cfRule type="colorScale" priority="29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49:T49">
    <cfRule type="colorScale" priority="29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U49">
    <cfRule type="colorScale" priority="29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U49:V49">
    <cfRule type="colorScale" priority="29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U49:V49">
    <cfRule type="colorScale" priority="28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49">
    <cfRule type="colorScale" priority="28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49:X49">
    <cfRule type="colorScale" priority="28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49:X49">
    <cfRule type="colorScale" priority="28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Y49">
    <cfRule type="colorScale" priority="28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Y49:Z49">
    <cfRule type="colorScale" priority="28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Y49:Z49">
    <cfRule type="colorScale" priority="28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A49">
    <cfRule type="colorScale" priority="28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A49:AB49">
    <cfRule type="colorScale" priority="28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A49:AB49">
    <cfRule type="colorScale" priority="28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49:AB49">
    <cfRule type="colorScale" priority="27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50">
    <cfRule type="colorScale" priority="27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50 G50 I50 K50">
    <cfRule type="colorScale" priority="27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50:L50">
    <cfRule type="colorScale" priority="27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50:D50">
    <cfRule type="colorScale" priority="27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M50">
    <cfRule type="colorScale" priority="27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M50:N50">
    <cfRule type="colorScale" priority="27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O50 Q50 S50">
    <cfRule type="colorScale" priority="27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O50:T50">
    <cfRule type="colorScale" priority="27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50:T50">
    <cfRule type="colorScale" priority="27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U50">
    <cfRule type="colorScale" priority="26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U50:V50">
    <cfRule type="colorScale" priority="26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U50:V50">
    <cfRule type="colorScale" priority="26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50">
    <cfRule type="colorScale" priority="26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50:X50">
    <cfRule type="colorScale" priority="26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50:X50">
    <cfRule type="colorScale" priority="26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Y50">
    <cfRule type="colorScale" priority="26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Y50:Z50">
    <cfRule type="colorScale" priority="26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Y50:Z50">
    <cfRule type="colorScale" priority="26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A50">
    <cfRule type="colorScale" priority="26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A50:AB50">
    <cfRule type="colorScale" priority="25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A50:AB50">
    <cfRule type="colorScale" priority="25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50:AB50">
    <cfRule type="colorScale" priority="25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51">
    <cfRule type="colorScale" priority="25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51 E51 I51 K51">
    <cfRule type="colorScale" priority="25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51:L51">
    <cfRule type="colorScale" priority="25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51:D51">
    <cfRule type="colorScale" priority="25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M51">
    <cfRule type="colorScale" priority="25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M51:N51">
    <cfRule type="colorScale" priority="25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O51 Q51 S51">
    <cfRule type="colorScale" priority="25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O51:T51">
    <cfRule type="colorScale" priority="24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51:T51">
    <cfRule type="colorScale" priority="24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U51">
    <cfRule type="colorScale" priority="24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U51:V51">
    <cfRule type="colorScale" priority="24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U51:V51">
    <cfRule type="colorScale" priority="24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51">
    <cfRule type="colorScale" priority="24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51:X51">
    <cfRule type="colorScale" priority="24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51:X51">
    <cfRule type="colorScale" priority="24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Y51">
    <cfRule type="colorScale" priority="24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Y51:Z51">
    <cfRule type="colorScale" priority="24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Y51:Z51">
    <cfRule type="colorScale" priority="23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A51">
    <cfRule type="colorScale" priority="23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A51:AB51">
    <cfRule type="colorScale" priority="23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A51:AB51">
    <cfRule type="colorScale" priority="23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51:AB51">
    <cfRule type="colorScale" priority="23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52">
    <cfRule type="colorScale" priority="23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52 E52 I52 K52">
    <cfRule type="colorScale" priority="23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52:L52">
    <cfRule type="colorScale" priority="23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52:D52">
    <cfRule type="colorScale" priority="23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M52">
    <cfRule type="colorScale" priority="23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M52:N52">
    <cfRule type="colorScale" priority="22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O52 Q52 S52">
    <cfRule type="colorScale" priority="22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O52:T52">
    <cfRule type="colorScale" priority="22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52:T52">
    <cfRule type="colorScale" priority="22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U52">
    <cfRule type="colorScale" priority="22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U52:V52">
    <cfRule type="colorScale" priority="22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U52:V52">
    <cfRule type="colorScale" priority="22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52">
    <cfRule type="colorScale" priority="22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52:X52">
    <cfRule type="colorScale" priority="22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52:X52">
    <cfRule type="colorScale" priority="22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Y52">
    <cfRule type="colorScale" priority="21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Y52:Z52">
    <cfRule type="colorScale" priority="21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Y52:Z52">
    <cfRule type="colorScale" priority="21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A52">
    <cfRule type="colorScale" priority="21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A52:AB52">
    <cfRule type="colorScale" priority="21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A52:AB52">
    <cfRule type="colorScale" priority="21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52:AB52">
    <cfRule type="colorScale" priority="21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53">
    <cfRule type="colorScale" priority="21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53 E53 I53 K53">
    <cfRule type="colorScale" priority="21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53:L53">
    <cfRule type="colorScale" priority="20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53:D53">
    <cfRule type="colorScale" priority="21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M53">
    <cfRule type="colorScale" priority="20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M53:N53">
    <cfRule type="colorScale" priority="20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O53 Q53 S53">
    <cfRule type="colorScale" priority="20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O53:T53">
    <cfRule type="colorScale" priority="20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53:T53">
    <cfRule type="colorScale" priority="20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U53">
    <cfRule type="colorScale" priority="20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U53:V53">
    <cfRule type="colorScale" priority="20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U53:V53">
    <cfRule type="colorScale" priority="20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53">
    <cfRule type="colorScale" priority="20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53:X53">
    <cfRule type="colorScale" priority="19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53:X53">
    <cfRule type="colorScale" priority="19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Y53">
    <cfRule type="colorScale" priority="19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Y53:Z53">
    <cfRule type="colorScale" priority="19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Y53:Z53">
    <cfRule type="colorScale" priority="19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A53">
    <cfRule type="colorScale" priority="19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A53:AB53">
    <cfRule type="colorScale" priority="19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A53:AB53">
    <cfRule type="colorScale" priority="19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53:AB53">
    <cfRule type="colorScale" priority="19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54">
    <cfRule type="colorScale" priority="19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54 E54 I54 K54">
    <cfRule type="colorScale" priority="18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54:L54">
    <cfRule type="colorScale" priority="18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54:D54">
    <cfRule type="colorScale" priority="18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M54">
    <cfRule type="colorScale" priority="18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M54:N54">
    <cfRule type="colorScale" priority="18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O54 Q54 S54">
    <cfRule type="colorScale" priority="18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O54:T54">
    <cfRule type="colorScale" priority="18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54:T54">
    <cfRule type="colorScale" priority="18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U54">
    <cfRule type="colorScale" priority="18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U54:V54">
    <cfRule type="colorScale" priority="18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U54:V54">
    <cfRule type="colorScale" priority="17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54">
    <cfRule type="colorScale" priority="17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54:X54">
    <cfRule type="colorScale" priority="17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54:X54">
    <cfRule type="colorScale" priority="17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Y54">
    <cfRule type="colorScale" priority="17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Y54:Z54">
    <cfRule type="colorScale" priority="17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Y54:Z54">
    <cfRule type="colorScale" priority="17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A54">
    <cfRule type="colorScale" priority="17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A54:AB54">
    <cfRule type="colorScale" priority="17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A54:AB54">
    <cfRule type="colorScale" priority="17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54:AB54">
    <cfRule type="colorScale" priority="16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55">
    <cfRule type="colorScale" priority="16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55 G55 I55 K55">
    <cfRule type="colorScale" priority="16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55:L55">
    <cfRule type="colorScale" priority="16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55:D55">
    <cfRule type="colorScale" priority="16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M55">
    <cfRule type="colorScale" priority="16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M55:N55">
    <cfRule type="colorScale" priority="16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55 O55 S55">
    <cfRule type="colorScale" priority="16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O55:T55">
    <cfRule type="colorScale" priority="16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55:T55">
    <cfRule type="colorScale" priority="16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U55">
    <cfRule type="colorScale" priority="15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U55:V55">
    <cfRule type="colorScale" priority="15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U55:V55">
    <cfRule type="colorScale" priority="15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55">
    <cfRule type="colorScale" priority="15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55:X55">
    <cfRule type="colorScale" priority="15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55:X55">
    <cfRule type="colorScale" priority="15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Y55">
    <cfRule type="colorScale" priority="15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Y55:Z55">
    <cfRule type="colorScale" priority="15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Y55:Z55">
    <cfRule type="colorScale" priority="15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A55">
    <cfRule type="colorScale" priority="15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A55:AB55">
    <cfRule type="colorScale" priority="14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A55:AB55">
    <cfRule type="colorScale" priority="14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55:AB55">
    <cfRule type="colorScale" priority="14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56">
    <cfRule type="colorScale" priority="14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56 G56 I56 K56">
    <cfRule type="colorScale" priority="14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56:L56">
    <cfRule type="colorScale" priority="14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56:D56">
    <cfRule type="colorScale" priority="14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M56">
    <cfRule type="colorScale" priority="14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M56:N56">
    <cfRule type="colorScale" priority="14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O56 Q56 S56">
    <cfRule type="colorScale" priority="14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O56:T56">
    <cfRule type="colorScale" priority="13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56:T56">
    <cfRule type="colorScale" priority="13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U56">
    <cfRule type="colorScale" priority="13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U56:V56">
    <cfRule type="colorScale" priority="13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U56:V56">
    <cfRule type="colorScale" priority="13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56">
    <cfRule type="colorScale" priority="13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56:X56">
    <cfRule type="colorScale" priority="13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56:X56">
    <cfRule type="colorScale" priority="13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Y56">
    <cfRule type="colorScale" priority="13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Y56:Z56">
    <cfRule type="colorScale" priority="13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Y56:Z56">
    <cfRule type="colorScale" priority="12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A56">
    <cfRule type="colorScale" priority="12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A56:AB56">
    <cfRule type="colorScale" priority="12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A56:AB56">
    <cfRule type="colorScale" priority="12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56:AB56">
    <cfRule type="colorScale" priority="12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57">
    <cfRule type="colorScale" priority="12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57 E57 I57 K57">
    <cfRule type="colorScale" priority="12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57:L57">
    <cfRule type="colorScale" priority="12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57:D57">
    <cfRule type="colorScale" priority="12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M57">
    <cfRule type="colorScale" priority="12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M57:N57">
    <cfRule type="colorScale" priority="11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O57 Q57 S57">
    <cfRule type="colorScale" priority="11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O57:T57">
    <cfRule type="colorScale" priority="11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57:T57">
    <cfRule type="colorScale" priority="11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U57">
    <cfRule type="colorScale" priority="11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U57:V57">
    <cfRule type="colorScale" priority="11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U57:V57">
    <cfRule type="colorScale" priority="11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57">
    <cfRule type="colorScale" priority="11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57:X57">
    <cfRule type="colorScale" priority="11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57:X57">
    <cfRule type="colorScale" priority="11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Y57">
    <cfRule type="colorScale" priority="10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Y57:Z57">
    <cfRule type="colorScale" priority="10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Y57:Z57">
    <cfRule type="colorScale" priority="10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A57">
    <cfRule type="colorScale" priority="10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A57:AB57">
    <cfRule type="colorScale" priority="10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A57:AB57">
    <cfRule type="colorScale" priority="10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57:AB57">
    <cfRule type="colorScale" priority="10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58">
    <cfRule type="colorScale" priority="10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58 E58 I58 K58">
    <cfRule type="colorScale" priority="10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58:L58">
    <cfRule type="colorScale" priority="9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58:D58">
    <cfRule type="colorScale" priority="10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M58">
    <cfRule type="colorScale" priority="9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M58:N58">
    <cfRule type="colorScale" priority="9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O58 Q58 S58">
    <cfRule type="colorScale" priority="9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O58:T58">
    <cfRule type="colorScale" priority="9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58:T58">
    <cfRule type="colorScale" priority="9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U58">
    <cfRule type="colorScale" priority="9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U58:V58">
    <cfRule type="colorScale" priority="9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U58:V58">
    <cfRule type="colorScale" priority="9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58">
    <cfRule type="colorScale" priority="9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58:X58">
    <cfRule type="colorScale" priority="8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58:X58">
    <cfRule type="colorScale" priority="8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Y58">
    <cfRule type="colorScale" priority="8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Y58:Z58">
    <cfRule type="colorScale" priority="8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Y58:Z58">
    <cfRule type="colorScale" priority="8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A58">
    <cfRule type="colorScale" priority="8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A58:AB58">
    <cfRule type="colorScale" priority="8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A58:AB58">
    <cfRule type="colorScale" priority="8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58:AB58">
    <cfRule type="colorScale" priority="8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59">
    <cfRule type="colorScale" priority="8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59 E59 I59 K59">
    <cfRule type="colorScale" priority="7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59:L59">
    <cfRule type="colorScale" priority="7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59:D59">
    <cfRule type="colorScale" priority="7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M59">
    <cfRule type="colorScale" priority="7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M59:N59">
    <cfRule type="colorScale" priority="7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59 O59 S59">
    <cfRule type="colorScale" priority="7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O59:T59">
    <cfRule type="colorScale" priority="7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59:T59">
    <cfRule type="colorScale" priority="7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U59">
    <cfRule type="colorScale" priority="7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U59:V59">
    <cfRule type="colorScale" priority="7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U59:V59">
    <cfRule type="colorScale" priority="6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59">
    <cfRule type="colorScale" priority="6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59:X59">
    <cfRule type="colorScale" priority="6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59:X59">
    <cfRule type="colorScale" priority="6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Y59">
    <cfRule type="colorScale" priority="6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Y59:Z59">
    <cfRule type="colorScale" priority="6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Y59:Z59">
    <cfRule type="colorScale" priority="6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A59">
    <cfRule type="colorScale" priority="6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A59:AB59">
    <cfRule type="colorScale" priority="6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A59:AB59">
    <cfRule type="colorScale" priority="6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59:AB59">
    <cfRule type="colorScale" priority="5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60">
    <cfRule type="colorScale" priority="5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60 E60 I60 K60">
    <cfRule type="colorScale" priority="5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60:L60">
    <cfRule type="colorScale" priority="5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60:D60">
    <cfRule type="colorScale" priority="5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M60">
    <cfRule type="colorScale" priority="5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M60:N60">
    <cfRule type="colorScale" priority="5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O60 Q60 S60">
    <cfRule type="colorScale" priority="5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O60:T60">
    <cfRule type="colorScale" priority="5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60:T60">
    <cfRule type="colorScale" priority="5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U60">
    <cfRule type="colorScale" priority="4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U60:V60">
    <cfRule type="colorScale" priority="4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U60:V60">
    <cfRule type="colorScale" priority="4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60">
    <cfRule type="colorScale" priority="4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60:X60">
    <cfRule type="colorScale" priority="4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60:X60">
    <cfRule type="colorScale" priority="4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Y60">
    <cfRule type="colorScale" priority="4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Y60:Z60">
    <cfRule type="colorScale" priority="4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Y60:Z60">
    <cfRule type="colorScale" priority="4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A60">
    <cfRule type="colorScale" priority="4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A60:AB60">
    <cfRule type="colorScale" priority="3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A60:AB60">
    <cfRule type="colorScale" priority="3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60:AB60">
    <cfRule type="colorScale" priority="3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65">
    <cfRule type="colorScale" priority="3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65:G65">
    <cfRule type="colorScale" priority="3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65:G65">
    <cfRule type="colorScale" priority="3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66">
    <cfRule type="colorScale" priority="3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66:G66">
    <cfRule type="colorScale" priority="3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66:G66">
    <cfRule type="colorScale" priority="3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67">
    <cfRule type="colorScale" priority="3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67:G67">
    <cfRule type="colorScale" priority="2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67:G67">
    <cfRule type="colorScale" priority="2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68">
    <cfRule type="colorScale" priority="2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68:G68">
    <cfRule type="colorScale" priority="2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68:G68">
    <cfRule type="colorScale" priority="2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69">
    <cfRule type="colorScale" priority="2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69:G69">
    <cfRule type="colorScale" priority="2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69:G69">
    <cfRule type="colorScale" priority="2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70">
    <cfRule type="colorScale" priority="2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70:G70">
    <cfRule type="colorScale" priority="2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70:G70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71">
    <cfRule type="colorScale" priority="1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71:G71">
    <cfRule type="colorScale" priority="1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71:G71">
    <cfRule type="colorScale" priority="1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73">
    <cfRule type="colorScale" priority="1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73:G73">
    <cfRule type="colorScale" priority="1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73:G73">
    <cfRule type="colorScale" priority="1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74">
    <cfRule type="colorScale" priority="1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74:G74">
    <cfRule type="colorScale" priority="1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74:G74">
    <cfRule type="colorScale" priority="1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75">
    <cfRule type="colorScale" priority="1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75:G75">
    <cfRule type="colorScale" priority="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75:G75">
    <cfRule type="colorScale" priority="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76">
    <cfRule type="colorScale" priority="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76:G76">
    <cfRule type="colorScale" priority="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76:G76">
    <cfRule type="colorScale" priority="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72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72:G72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72:G72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M132"/>
  <sheetViews>
    <sheetView zoomScale="91" zoomScaleNormal="91" workbookViewId="0"/>
  </sheetViews>
  <sheetFormatPr defaultColWidth="8.81640625" defaultRowHeight="14.5" x14ac:dyDescent="0.35"/>
  <cols>
    <col min="1" max="1" width="8.81640625" style="52"/>
    <col min="2" max="2" width="29.7265625" style="52" customWidth="1"/>
    <col min="3" max="3" width="16.26953125" style="52" customWidth="1"/>
    <col min="4" max="4" width="16.453125" style="52" customWidth="1"/>
    <col min="5" max="5" width="16.54296875" style="52" customWidth="1"/>
    <col min="6" max="15" width="16.26953125" style="52" bestFit="1" customWidth="1"/>
    <col min="16" max="16" width="9.453125" style="52" customWidth="1"/>
    <col min="17" max="17" width="14" style="52" bestFit="1" customWidth="1"/>
    <col min="18" max="18" width="7.7265625" style="52" customWidth="1"/>
    <col min="19" max="19" width="8.81640625" style="52" customWidth="1"/>
    <col min="20" max="20" width="9.81640625" style="52" customWidth="1"/>
    <col min="21" max="26" width="9.81640625" style="72" customWidth="1"/>
    <col min="27" max="32" width="8.81640625" style="52"/>
    <col min="33" max="33" width="8.81640625" style="52" customWidth="1"/>
    <col min="34" max="34" width="8.81640625" style="52" hidden="1" customWidth="1"/>
    <col min="35" max="35" width="17" style="52" hidden="1" customWidth="1"/>
    <col min="36" max="36" width="8.81640625" style="29" hidden="1" customWidth="1"/>
    <col min="37" max="37" width="21.7265625" style="52" hidden="1" customWidth="1"/>
    <col min="38" max="38" width="38.81640625" style="62" hidden="1" customWidth="1"/>
    <col min="39" max="39" width="32.1796875" style="52" hidden="1" customWidth="1"/>
    <col min="40" max="40" width="8.81640625" style="52" customWidth="1"/>
    <col min="41" max="16384" width="8.81640625" style="52"/>
  </cols>
  <sheetData>
    <row r="1" spans="1:39" s="72" customFormat="1" x14ac:dyDescent="0.35">
      <c r="AJ1" s="29"/>
      <c r="AL1" s="62"/>
    </row>
    <row r="2" spans="1:39" s="72" customFormat="1" ht="21" x14ac:dyDescent="0.5">
      <c r="B2" s="157" t="s">
        <v>49</v>
      </c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  <c r="AJ2" s="29"/>
      <c r="AL2" s="62"/>
    </row>
    <row r="3" spans="1:39" s="72" customFormat="1" x14ac:dyDescent="0.35">
      <c r="AJ3" s="29"/>
      <c r="AL3" s="62"/>
    </row>
    <row r="4" spans="1:39" ht="15" customHeight="1" x14ac:dyDescent="0.35">
      <c r="A4" s="38" t="s">
        <v>2</v>
      </c>
      <c r="B4" s="38" t="s">
        <v>3</v>
      </c>
      <c r="C4" s="38" t="s">
        <v>23</v>
      </c>
      <c r="D4" s="38" t="s">
        <v>24</v>
      </c>
      <c r="E4" s="72"/>
      <c r="F4" s="72"/>
      <c r="G4" s="71"/>
      <c r="H4" s="71"/>
      <c r="I4" s="71"/>
      <c r="J4" s="71"/>
      <c r="K4" s="71"/>
      <c r="L4" s="71"/>
      <c r="M4" s="72"/>
      <c r="N4" s="72"/>
      <c r="O4" s="72"/>
      <c r="P4" s="72"/>
      <c r="Q4" s="72"/>
      <c r="R4" s="72"/>
      <c r="S4" s="72"/>
      <c r="T4" s="72"/>
      <c r="AA4" s="72"/>
      <c r="AB4" s="72"/>
      <c r="AC4" s="72"/>
      <c r="AD4" s="72"/>
      <c r="AE4" s="72"/>
      <c r="AF4" s="72"/>
      <c r="AG4" s="72"/>
      <c r="AH4" s="72" t="s">
        <v>25</v>
      </c>
      <c r="AI4" s="72"/>
      <c r="AK4" s="72"/>
      <c r="AM4" s="72"/>
    </row>
    <row r="5" spans="1:39" ht="15" customHeight="1" x14ac:dyDescent="0.35">
      <c r="A5" s="119">
        <v>0</v>
      </c>
      <c r="B5" s="61" t="s">
        <v>26</v>
      </c>
      <c r="C5" s="28">
        <v>0</v>
      </c>
      <c r="D5" s="28">
        <v>0</v>
      </c>
      <c r="E5" s="72"/>
      <c r="F5" s="72"/>
      <c r="G5" s="71"/>
      <c r="H5" s="71"/>
      <c r="I5" s="71"/>
      <c r="J5" s="71"/>
      <c r="K5" s="71"/>
      <c r="L5" s="71"/>
      <c r="M5" s="72"/>
      <c r="N5" s="72"/>
      <c r="O5" s="72"/>
      <c r="P5" s="72"/>
      <c r="Q5" s="72"/>
      <c r="R5" s="72"/>
      <c r="S5" s="72"/>
      <c r="T5" s="72"/>
      <c r="AA5" s="72"/>
      <c r="AB5" s="72"/>
      <c r="AC5" s="72"/>
      <c r="AD5" s="72"/>
      <c r="AE5" s="72"/>
      <c r="AF5" s="72"/>
      <c r="AG5" s="72"/>
      <c r="AH5" s="132" t="s">
        <v>27</v>
      </c>
      <c r="AI5" s="133"/>
      <c r="AK5" s="72"/>
      <c r="AL5" s="62" t="s">
        <v>28</v>
      </c>
      <c r="AM5" s="72" t="s">
        <v>29</v>
      </c>
    </row>
    <row r="6" spans="1:39" ht="15.75" customHeight="1" x14ac:dyDescent="0.35">
      <c r="A6" s="119">
        <v>6</v>
      </c>
      <c r="B6" s="61" t="s">
        <v>13</v>
      </c>
      <c r="C6" s="28">
        <v>185</v>
      </c>
      <c r="D6" s="28">
        <v>328</v>
      </c>
      <c r="E6" s="72"/>
      <c r="F6" s="72"/>
      <c r="G6" s="71"/>
      <c r="H6" s="71"/>
      <c r="I6" s="71"/>
      <c r="J6" s="71"/>
      <c r="K6" s="71"/>
      <c r="L6" s="71"/>
      <c r="M6" s="72"/>
      <c r="N6" s="72"/>
      <c r="O6" s="72"/>
      <c r="P6" s="72"/>
      <c r="Q6" s="72"/>
      <c r="R6" s="72"/>
      <c r="S6" s="72"/>
      <c r="T6" s="72"/>
      <c r="AA6" s="72"/>
      <c r="AB6" s="72"/>
      <c r="AC6" s="72"/>
      <c r="AD6" s="72"/>
      <c r="AE6" s="72"/>
      <c r="AF6" s="72"/>
      <c r="AG6" s="72"/>
      <c r="AH6" s="14" t="s">
        <v>39</v>
      </c>
      <c r="AI6" s="26" t="s">
        <v>31</v>
      </c>
      <c r="AJ6" s="29">
        <f t="shared" ref="AJ6:AJ11" si="0">$C$23</f>
        <v>1</v>
      </c>
      <c r="AK6" s="72" t="str">
        <f>CONCATENATE(AH6," ",AI6," ",AJ6)</f>
        <v>N-0 EENS 1</v>
      </c>
      <c r="AL6" s="15">
        <f t="shared" ref="AL6:AL11" si="1">C24/1000000</f>
        <v>135.93935088108452</v>
      </c>
      <c r="AM6" s="15">
        <v>0</v>
      </c>
    </row>
    <row r="7" spans="1:39" ht="21" x14ac:dyDescent="0.35">
      <c r="A7" s="119">
        <v>13</v>
      </c>
      <c r="B7" s="61" t="s">
        <v>15</v>
      </c>
      <c r="C7" s="28">
        <v>185.2</v>
      </c>
      <c r="D7" s="28">
        <v>951</v>
      </c>
      <c r="E7" s="72"/>
      <c r="F7" s="72"/>
      <c r="G7" s="71"/>
      <c r="H7" s="71"/>
      <c r="I7" s="71"/>
      <c r="J7" s="71"/>
      <c r="K7" s="71"/>
      <c r="L7" s="71"/>
      <c r="M7" s="72"/>
      <c r="N7" s="72"/>
      <c r="O7" s="72"/>
      <c r="P7" s="72"/>
      <c r="Q7" s="72"/>
      <c r="R7" s="72"/>
      <c r="S7" s="72"/>
      <c r="T7" s="72"/>
      <c r="AA7" s="72"/>
      <c r="AB7" s="72"/>
      <c r="AC7" s="72"/>
      <c r="AD7" s="72"/>
      <c r="AE7" s="72"/>
      <c r="AF7" s="72"/>
      <c r="AG7" s="72"/>
      <c r="AH7" s="14" t="s">
        <v>39</v>
      </c>
      <c r="AI7" s="26" t="s">
        <v>50</v>
      </c>
      <c r="AJ7" s="29">
        <f t="shared" si="0"/>
        <v>1</v>
      </c>
      <c r="AK7" s="72" t="str">
        <f t="shared" ref="AK7:AK45" si="2">CONCATENATE(AH7," ",AI7," ",AJ7)</f>
        <v>N-0 Losses 1</v>
      </c>
      <c r="AL7" s="15">
        <f t="shared" si="1"/>
        <v>4.506963013031811</v>
      </c>
      <c r="AM7" s="15">
        <v>0</v>
      </c>
    </row>
    <row r="8" spans="1:39" ht="46.5" x14ac:dyDescent="0.35">
      <c r="A8" s="21">
        <v>10</v>
      </c>
      <c r="B8" s="44" t="s">
        <v>17</v>
      </c>
      <c r="C8" s="28">
        <v>239</v>
      </c>
      <c r="D8" s="28">
        <v>540</v>
      </c>
      <c r="E8" s="72"/>
      <c r="F8" s="72"/>
      <c r="G8" s="71"/>
      <c r="H8" s="71"/>
      <c r="I8" s="71"/>
      <c r="J8" s="71"/>
      <c r="K8" s="71"/>
      <c r="L8" s="71"/>
      <c r="M8" s="72"/>
      <c r="N8" s="72"/>
      <c r="O8" s="72"/>
      <c r="P8" s="72"/>
      <c r="Q8" s="72"/>
      <c r="R8" s="72"/>
      <c r="S8" s="72"/>
      <c r="T8" s="72"/>
      <c r="AA8" s="72"/>
      <c r="AB8" s="72"/>
      <c r="AC8" s="72"/>
      <c r="AD8" s="72"/>
      <c r="AE8" s="72"/>
      <c r="AF8" s="72"/>
      <c r="AG8" s="72"/>
      <c r="AH8" s="14" t="s">
        <v>30</v>
      </c>
      <c r="AI8" s="26" t="s">
        <v>31</v>
      </c>
      <c r="AJ8" s="29">
        <f t="shared" si="0"/>
        <v>1</v>
      </c>
      <c r="AK8" s="72" t="str">
        <f t="shared" si="2"/>
        <v>N-1 EENS 1</v>
      </c>
      <c r="AL8" s="15">
        <f t="shared" si="1"/>
        <v>1.8200764500361823</v>
      </c>
      <c r="AM8" s="15">
        <v>0</v>
      </c>
    </row>
    <row r="9" spans="1:39" ht="31" x14ac:dyDescent="0.35">
      <c r="A9" s="21">
        <v>3</v>
      </c>
      <c r="B9" s="44" t="s">
        <v>12</v>
      </c>
      <c r="C9" s="28">
        <v>270</v>
      </c>
      <c r="D9" s="28">
        <v>538</v>
      </c>
      <c r="E9" s="72"/>
      <c r="F9" s="72"/>
      <c r="G9" s="71"/>
      <c r="H9" s="71"/>
      <c r="I9" s="71"/>
      <c r="J9" s="71"/>
      <c r="K9" s="71"/>
      <c r="L9" s="71"/>
      <c r="M9" s="72"/>
      <c r="N9" s="72"/>
      <c r="O9" s="72"/>
      <c r="P9" s="72"/>
      <c r="Q9" s="72"/>
      <c r="R9" s="72"/>
      <c r="S9" s="72"/>
      <c r="T9" s="72"/>
      <c r="AA9" s="72"/>
      <c r="AB9" s="72"/>
      <c r="AC9" s="72"/>
      <c r="AD9" s="72"/>
      <c r="AE9" s="72"/>
      <c r="AF9" s="72"/>
      <c r="AG9" s="72"/>
      <c r="AH9" s="14" t="s">
        <v>30</v>
      </c>
      <c r="AI9" s="26" t="s">
        <v>51</v>
      </c>
      <c r="AJ9" s="29">
        <f t="shared" si="0"/>
        <v>1</v>
      </c>
      <c r="AK9" s="72" t="str">
        <f t="shared" si="2"/>
        <v>N-1 Flexibility-1 1</v>
      </c>
      <c r="AL9" s="15">
        <f t="shared" si="1"/>
        <v>3649.9666611870898</v>
      </c>
      <c r="AM9" s="15">
        <v>0</v>
      </c>
    </row>
    <row r="10" spans="1:39" ht="15" customHeight="1" x14ac:dyDescent="0.35">
      <c r="A10" s="21">
        <v>11</v>
      </c>
      <c r="B10" s="44" t="s">
        <v>21</v>
      </c>
      <c r="C10" s="28">
        <v>270</v>
      </c>
      <c r="D10" s="28">
        <v>685</v>
      </c>
      <c r="E10" s="72"/>
      <c r="F10" s="72"/>
      <c r="G10" s="71"/>
      <c r="H10" s="71"/>
      <c r="I10" s="71"/>
      <c r="J10" s="71"/>
      <c r="K10" s="71"/>
      <c r="L10" s="71"/>
      <c r="M10" s="72"/>
      <c r="N10" s="72"/>
      <c r="O10" s="72"/>
      <c r="P10" s="72"/>
      <c r="Q10" s="72"/>
      <c r="R10" s="72"/>
      <c r="S10" s="72"/>
      <c r="T10" s="72"/>
      <c r="AA10" s="72"/>
      <c r="AB10" s="72"/>
      <c r="AC10" s="72"/>
      <c r="AD10" s="72"/>
      <c r="AE10" s="72"/>
      <c r="AF10" s="72"/>
      <c r="AG10" s="72"/>
      <c r="AH10" s="14" t="s">
        <v>30</v>
      </c>
      <c r="AI10" s="26" t="s">
        <v>52</v>
      </c>
      <c r="AJ10" s="29">
        <f t="shared" si="0"/>
        <v>1</v>
      </c>
      <c r="AK10" s="72" t="str">
        <f t="shared" si="2"/>
        <v>N-1 Flexibility-2-1 1</v>
      </c>
      <c r="AL10" s="15">
        <f t="shared" si="1"/>
        <v>410.61794905237372</v>
      </c>
      <c r="AM10" s="15">
        <v>0</v>
      </c>
    </row>
    <row r="11" spans="1:39" ht="34.15" customHeight="1" x14ac:dyDescent="0.35">
      <c r="A11" s="119">
        <v>8</v>
      </c>
      <c r="B11" s="61" t="s">
        <v>10</v>
      </c>
      <c r="C11" s="28">
        <v>290</v>
      </c>
      <c r="D11" s="28">
        <v>881</v>
      </c>
      <c r="E11" s="72"/>
      <c r="F11" s="72"/>
      <c r="G11" s="71"/>
      <c r="H11" s="71"/>
      <c r="I11" s="71"/>
      <c r="J11" s="71"/>
      <c r="K11" s="71"/>
      <c r="L11" s="71"/>
      <c r="M11" s="72"/>
      <c r="N11" s="72"/>
      <c r="O11" s="72"/>
      <c r="P11" s="72"/>
      <c r="Q11" s="72"/>
      <c r="R11" s="72"/>
      <c r="S11" s="72"/>
      <c r="T11" s="72"/>
      <c r="AA11" s="72"/>
      <c r="AB11" s="72"/>
      <c r="AC11" s="72"/>
      <c r="AD11" s="72"/>
      <c r="AE11" s="72"/>
      <c r="AF11" s="72"/>
      <c r="AG11" s="72"/>
      <c r="AH11" s="14" t="s">
        <v>30</v>
      </c>
      <c r="AI11" s="26" t="s">
        <v>53</v>
      </c>
      <c r="AJ11" s="29">
        <f t="shared" si="0"/>
        <v>1</v>
      </c>
      <c r="AK11" s="72" t="str">
        <f t="shared" si="2"/>
        <v>N-1 Flexibility-2-2 1</v>
      </c>
      <c r="AL11" s="15">
        <f t="shared" si="1"/>
        <v>241.63928603610509</v>
      </c>
      <c r="AM11" s="15">
        <v>0</v>
      </c>
    </row>
    <row r="12" spans="1:39" ht="15.5" x14ac:dyDescent="0.35">
      <c r="A12" s="21">
        <v>7</v>
      </c>
      <c r="B12" s="44" t="s">
        <v>18</v>
      </c>
      <c r="C12" s="28">
        <v>315</v>
      </c>
      <c r="D12" s="28">
        <v>358</v>
      </c>
      <c r="E12" s="72"/>
      <c r="F12" s="72"/>
      <c r="G12" s="72"/>
      <c r="H12" s="72"/>
      <c r="I12" s="72"/>
      <c r="J12" s="72"/>
      <c r="K12" s="72"/>
      <c r="L12" s="72"/>
      <c r="M12" s="72"/>
      <c r="N12" s="72"/>
      <c r="O12" s="72"/>
      <c r="P12" s="72"/>
      <c r="Q12" s="72"/>
      <c r="R12" s="72"/>
      <c r="S12" s="72"/>
      <c r="T12" s="72"/>
      <c r="AA12" s="72"/>
      <c r="AB12" s="72"/>
      <c r="AC12" s="72"/>
      <c r="AD12" s="72"/>
      <c r="AE12" s="72"/>
      <c r="AF12" s="72"/>
      <c r="AG12" s="72"/>
      <c r="AH12" s="14" t="s">
        <v>54</v>
      </c>
      <c r="AI12" s="26" t="s">
        <v>24</v>
      </c>
      <c r="AJ12" s="29">
        <v>1</v>
      </c>
      <c r="AK12" s="72" t="str">
        <f t="shared" si="2"/>
        <v>Total Aggregate 1</v>
      </c>
      <c r="AL12" s="15">
        <f>C30</f>
        <v>4439.9833236066906</v>
      </c>
      <c r="AM12" s="15">
        <v>0</v>
      </c>
    </row>
    <row r="13" spans="1:39" x14ac:dyDescent="0.35">
      <c r="A13" s="119">
        <v>4</v>
      </c>
      <c r="B13" s="61" t="s">
        <v>14</v>
      </c>
      <c r="C13" s="28">
        <v>417</v>
      </c>
      <c r="D13" s="28">
        <v>273</v>
      </c>
      <c r="E13" s="72"/>
      <c r="F13" s="72"/>
      <c r="G13" s="72"/>
      <c r="H13" s="72"/>
      <c r="I13" s="72"/>
      <c r="J13" s="72"/>
      <c r="K13" s="72"/>
      <c r="L13" s="72"/>
      <c r="M13" s="72"/>
      <c r="N13" s="72"/>
      <c r="O13" s="72"/>
      <c r="P13" s="72"/>
      <c r="Q13" s="72"/>
      <c r="R13" s="72"/>
      <c r="S13" s="72"/>
      <c r="T13" s="72"/>
      <c r="AA13" s="72"/>
      <c r="AB13" s="72"/>
      <c r="AC13" s="72"/>
      <c r="AD13" s="72"/>
      <c r="AE13" s="72"/>
      <c r="AF13" s="72"/>
      <c r="AG13" s="72"/>
      <c r="AH13" s="14" t="s">
        <v>39</v>
      </c>
      <c r="AI13" s="26" t="s">
        <v>31</v>
      </c>
      <c r="AJ13" s="32">
        <f t="shared" ref="AJ13:AJ19" si="3">$D$23</f>
        <v>2</v>
      </c>
      <c r="AK13" s="33" t="str">
        <f t="shared" si="2"/>
        <v>N-0 EENS 2</v>
      </c>
      <c r="AL13" s="34">
        <f t="shared" ref="AL13:AL18" si="4">D24/1000000</f>
        <v>135.91710281002986</v>
      </c>
      <c r="AM13" s="15">
        <v>0</v>
      </c>
    </row>
    <row r="14" spans="1:39" ht="29" x14ac:dyDescent="0.35">
      <c r="A14" s="119">
        <v>5</v>
      </c>
      <c r="B14" s="61" t="s">
        <v>16</v>
      </c>
      <c r="C14" s="28">
        <v>429</v>
      </c>
      <c r="D14" s="28">
        <v>285</v>
      </c>
      <c r="E14" s="72"/>
      <c r="F14" s="72"/>
      <c r="G14" s="72"/>
      <c r="H14" s="72"/>
      <c r="I14" s="72"/>
      <c r="J14" s="72"/>
      <c r="K14" s="72"/>
      <c r="L14" s="72"/>
      <c r="M14" s="72"/>
      <c r="N14" s="72"/>
      <c r="O14" s="72"/>
      <c r="P14" s="72"/>
      <c r="Q14" s="72"/>
      <c r="R14" s="72"/>
      <c r="S14" s="72"/>
      <c r="T14" s="72"/>
      <c r="AA14" s="72"/>
      <c r="AB14" s="72"/>
      <c r="AC14" s="72"/>
      <c r="AD14" s="72"/>
      <c r="AE14" s="72"/>
      <c r="AF14" s="72"/>
      <c r="AG14" s="72"/>
      <c r="AH14" s="14" t="s">
        <v>39</v>
      </c>
      <c r="AI14" s="26" t="s">
        <v>50</v>
      </c>
      <c r="AJ14" s="29">
        <f t="shared" si="3"/>
        <v>2</v>
      </c>
      <c r="AK14" s="72" t="str">
        <f t="shared" si="2"/>
        <v>N-0 Losses 2</v>
      </c>
      <c r="AL14" s="34">
        <f t="shared" si="4"/>
        <v>3.1938308380260811</v>
      </c>
      <c r="AM14" s="15">
        <v>0</v>
      </c>
    </row>
    <row r="15" spans="1:39" x14ac:dyDescent="0.35">
      <c r="A15" s="119">
        <v>2</v>
      </c>
      <c r="B15" s="61" t="s">
        <v>11</v>
      </c>
      <c r="C15" s="28">
        <v>469</v>
      </c>
      <c r="D15" s="28">
        <v>190</v>
      </c>
      <c r="E15" s="72"/>
      <c r="F15" s="72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2"/>
      <c r="R15" s="72"/>
      <c r="S15" s="72"/>
      <c r="T15" s="72"/>
      <c r="AA15" s="72"/>
      <c r="AB15" s="72"/>
      <c r="AC15" s="72"/>
      <c r="AD15" s="72"/>
      <c r="AE15" s="72"/>
      <c r="AF15" s="72"/>
      <c r="AG15" s="72"/>
      <c r="AH15" s="14" t="s">
        <v>30</v>
      </c>
      <c r="AI15" s="26" t="s">
        <v>31</v>
      </c>
      <c r="AJ15" s="29">
        <f t="shared" si="3"/>
        <v>2</v>
      </c>
      <c r="AK15" s="72" t="str">
        <f t="shared" si="2"/>
        <v>N-1 EENS 2</v>
      </c>
      <c r="AL15" s="34">
        <f t="shared" si="4"/>
        <v>1.8282247752703995</v>
      </c>
      <c r="AM15" s="15">
        <v>0</v>
      </c>
    </row>
    <row r="16" spans="1:39" ht="30" customHeight="1" x14ac:dyDescent="0.35">
      <c r="A16" s="119">
        <v>12</v>
      </c>
      <c r="B16" s="61" t="s">
        <v>19</v>
      </c>
      <c r="C16" s="28">
        <v>504</v>
      </c>
      <c r="D16" s="28">
        <v>545</v>
      </c>
      <c r="E16" s="72"/>
      <c r="F16" s="72"/>
      <c r="G16" s="72"/>
      <c r="H16" s="72"/>
      <c r="I16" s="72"/>
      <c r="J16" s="72"/>
      <c r="K16" s="72"/>
      <c r="L16" s="72"/>
      <c r="M16" s="72"/>
      <c r="N16" s="72"/>
      <c r="O16" s="72"/>
      <c r="P16" s="72"/>
      <c r="Q16" s="72"/>
      <c r="R16" s="72"/>
      <c r="S16" s="72"/>
      <c r="T16" s="72"/>
      <c r="AA16" s="72"/>
      <c r="AB16" s="72"/>
      <c r="AC16" s="72"/>
      <c r="AD16" s="72"/>
      <c r="AE16" s="72"/>
      <c r="AF16" s="72"/>
      <c r="AG16" s="72"/>
      <c r="AH16" s="14" t="s">
        <v>30</v>
      </c>
      <c r="AI16" s="26" t="s">
        <v>51</v>
      </c>
      <c r="AJ16" s="29">
        <f t="shared" si="3"/>
        <v>2</v>
      </c>
      <c r="AK16" s="72" t="str">
        <f t="shared" si="2"/>
        <v>N-1 Flexibility-1 2</v>
      </c>
      <c r="AL16" s="34">
        <f t="shared" si="4"/>
        <v>1597.6488199312139</v>
      </c>
      <c r="AM16" s="15">
        <v>0</v>
      </c>
    </row>
    <row r="17" spans="1:39" ht="15.5" x14ac:dyDescent="0.35">
      <c r="A17" s="21">
        <v>1</v>
      </c>
      <c r="B17" s="44" t="s">
        <v>9</v>
      </c>
      <c r="C17" s="28">
        <v>545</v>
      </c>
      <c r="D17" s="28">
        <v>187</v>
      </c>
      <c r="E17" s="72"/>
      <c r="F17" s="72"/>
      <c r="G17" s="72"/>
      <c r="H17" s="72"/>
      <c r="I17" s="72"/>
      <c r="J17" s="72"/>
      <c r="K17" s="72"/>
      <c r="L17" s="72"/>
      <c r="M17" s="72"/>
      <c r="N17" s="72"/>
      <c r="O17" s="72"/>
      <c r="P17" s="72"/>
      <c r="Q17" s="72"/>
      <c r="R17" s="72"/>
      <c r="S17" s="72"/>
      <c r="T17" s="72"/>
      <c r="AA17" s="72"/>
      <c r="AB17" s="72"/>
      <c r="AC17" s="72"/>
      <c r="AD17" s="72"/>
      <c r="AE17" s="72"/>
      <c r="AF17" s="72"/>
      <c r="AG17" s="72"/>
      <c r="AH17" s="14" t="s">
        <v>30</v>
      </c>
      <c r="AI17" s="26" t="s">
        <v>52</v>
      </c>
      <c r="AJ17" s="29">
        <f t="shared" si="3"/>
        <v>2</v>
      </c>
      <c r="AK17" s="72" t="str">
        <f t="shared" si="2"/>
        <v>N-1 Flexibility-2-1 2</v>
      </c>
      <c r="AL17" s="34">
        <f t="shared" si="4"/>
        <v>294.52228923551047</v>
      </c>
      <c r="AM17" s="15">
        <v>0</v>
      </c>
    </row>
    <row r="18" spans="1:39" x14ac:dyDescent="0.35">
      <c r="A18" s="84">
        <v>9</v>
      </c>
      <c r="B18" s="67" t="s">
        <v>20</v>
      </c>
      <c r="C18" s="68">
        <v>806</v>
      </c>
      <c r="D18" s="68">
        <v>1004</v>
      </c>
      <c r="E18" s="72"/>
      <c r="F18" s="72"/>
      <c r="G18" s="72"/>
      <c r="H18" s="72"/>
      <c r="I18" s="72"/>
      <c r="J18" s="72"/>
      <c r="K18" s="72"/>
      <c r="L18" s="72"/>
      <c r="M18" s="72"/>
      <c r="N18" s="72"/>
      <c r="O18" s="72"/>
      <c r="P18" s="72"/>
      <c r="Q18" s="72"/>
      <c r="R18" s="72"/>
      <c r="S18" s="72"/>
      <c r="T18" s="72"/>
      <c r="AA18" s="72"/>
      <c r="AB18" s="72"/>
      <c r="AC18" s="72"/>
      <c r="AD18" s="72"/>
      <c r="AE18" s="72"/>
      <c r="AF18" s="72"/>
      <c r="AG18" s="72"/>
      <c r="AH18" s="14" t="s">
        <v>30</v>
      </c>
      <c r="AI18" s="26" t="s">
        <v>53</v>
      </c>
      <c r="AJ18" s="29">
        <f t="shared" si="3"/>
        <v>2</v>
      </c>
      <c r="AK18" s="72" t="str">
        <f t="shared" si="2"/>
        <v>N-1 Flexibility-2-2 2</v>
      </c>
      <c r="AL18" s="34">
        <f t="shared" si="4"/>
        <v>175.85109461246034</v>
      </c>
      <c r="AM18" s="15">
        <v>0</v>
      </c>
    </row>
    <row r="19" spans="1:39" x14ac:dyDescent="0.35">
      <c r="A19" s="84"/>
      <c r="B19" s="84"/>
      <c r="C19" s="47"/>
      <c r="D19" s="47"/>
      <c r="E19" s="72"/>
      <c r="F19" s="72"/>
      <c r="G19" s="72"/>
      <c r="H19" s="72"/>
      <c r="I19" s="72"/>
      <c r="J19" s="72"/>
      <c r="K19" s="72"/>
      <c r="L19" s="72"/>
      <c r="M19" s="72"/>
      <c r="N19" s="72"/>
      <c r="O19" s="72"/>
      <c r="P19" s="72"/>
      <c r="Q19" s="72"/>
      <c r="R19" s="72"/>
      <c r="S19" s="72"/>
      <c r="T19" s="72"/>
      <c r="AA19" s="72"/>
      <c r="AB19" s="72"/>
      <c r="AC19" s="72"/>
      <c r="AD19" s="72"/>
      <c r="AE19" s="72"/>
      <c r="AF19" s="72"/>
      <c r="AG19" s="72"/>
      <c r="AH19" s="14" t="s">
        <v>54</v>
      </c>
      <c r="AI19" s="26" t="s">
        <v>24</v>
      </c>
      <c r="AJ19" s="29">
        <f t="shared" si="3"/>
        <v>2</v>
      </c>
      <c r="AK19" s="72" t="str">
        <f t="shared" si="2"/>
        <v>Total Aggregate 2</v>
      </c>
      <c r="AL19" s="34">
        <f>D30</f>
        <v>2205.767531364485</v>
      </c>
      <c r="AM19" s="15">
        <v>0</v>
      </c>
    </row>
    <row r="20" spans="1:39" x14ac:dyDescent="0.35">
      <c r="A20" s="84"/>
      <c r="B20" s="84"/>
      <c r="C20" s="47"/>
      <c r="D20" s="47"/>
      <c r="E20" s="72"/>
      <c r="F20" s="72"/>
      <c r="G20" s="72"/>
      <c r="H20" s="72"/>
      <c r="I20" s="72"/>
      <c r="J20" s="72"/>
      <c r="K20" s="72"/>
      <c r="L20" s="72"/>
      <c r="M20" s="72"/>
      <c r="N20" s="72"/>
      <c r="O20" s="72"/>
      <c r="P20" s="72"/>
      <c r="Q20" s="72"/>
      <c r="R20" s="72"/>
      <c r="S20" s="72"/>
      <c r="T20" s="72"/>
      <c r="AA20" s="72"/>
      <c r="AB20" s="72"/>
      <c r="AC20" s="72"/>
      <c r="AD20" s="72"/>
      <c r="AE20" s="72"/>
      <c r="AF20" s="72"/>
      <c r="AG20" s="72"/>
      <c r="AH20" s="14" t="s">
        <v>39</v>
      </c>
      <c r="AI20" s="26" t="s">
        <v>31</v>
      </c>
      <c r="AJ20" s="32">
        <f t="shared" ref="AJ20:AJ26" si="5">$E$23</f>
        <v>3</v>
      </c>
      <c r="AK20" s="33" t="str">
        <f t="shared" si="2"/>
        <v>N-0 EENS 3</v>
      </c>
      <c r="AL20" s="34">
        <f t="shared" ref="AL20:AL25" si="6">E24/1000000</f>
        <v>135.19360954693173</v>
      </c>
      <c r="AM20" s="15">
        <v>0</v>
      </c>
    </row>
    <row r="21" spans="1:39" ht="15.65" customHeight="1" x14ac:dyDescent="0.45">
      <c r="A21" s="162" t="s">
        <v>55</v>
      </c>
      <c r="B21" s="162"/>
      <c r="C21" s="162"/>
      <c r="D21" s="162"/>
      <c r="E21" s="162"/>
      <c r="F21" s="162"/>
      <c r="G21" s="162"/>
      <c r="H21" s="162"/>
      <c r="I21" s="162"/>
      <c r="J21" s="162"/>
      <c r="K21" s="162"/>
      <c r="L21" s="162"/>
      <c r="M21" s="162"/>
      <c r="N21" s="162"/>
      <c r="O21" s="162"/>
      <c r="P21" s="72"/>
      <c r="Q21" s="72"/>
      <c r="R21" s="72"/>
      <c r="S21" s="72"/>
      <c r="T21" s="72"/>
      <c r="AA21" s="72"/>
      <c r="AB21" s="72"/>
      <c r="AC21" s="72"/>
      <c r="AD21" s="72"/>
      <c r="AE21" s="72"/>
      <c r="AF21" s="72"/>
      <c r="AG21" s="72"/>
      <c r="AH21" s="14" t="s">
        <v>39</v>
      </c>
      <c r="AI21" s="26" t="s">
        <v>50</v>
      </c>
      <c r="AJ21" s="32">
        <f t="shared" si="5"/>
        <v>3</v>
      </c>
      <c r="AK21" s="33" t="str">
        <f t="shared" si="2"/>
        <v>N-0 Losses 3</v>
      </c>
      <c r="AL21" s="34">
        <f t="shared" si="6"/>
        <v>0.38716966315450202</v>
      </c>
      <c r="AM21" s="15">
        <v>0</v>
      </c>
    </row>
    <row r="22" spans="1:39" ht="72.5" x14ac:dyDescent="0.35">
      <c r="A22" s="163"/>
      <c r="B22" s="163"/>
      <c r="C22" s="74" t="s">
        <v>9</v>
      </c>
      <c r="D22" s="74" t="s">
        <v>11</v>
      </c>
      <c r="E22" s="74" t="s">
        <v>12</v>
      </c>
      <c r="F22" s="74" t="s">
        <v>14</v>
      </c>
      <c r="G22" s="74" t="s">
        <v>16</v>
      </c>
      <c r="H22" s="74" t="s">
        <v>13</v>
      </c>
      <c r="I22" s="74" t="s">
        <v>18</v>
      </c>
      <c r="J22" s="74" t="s">
        <v>10</v>
      </c>
      <c r="K22" s="74" t="s">
        <v>20</v>
      </c>
      <c r="L22" s="74" t="s">
        <v>17</v>
      </c>
      <c r="M22" s="74" t="s">
        <v>21</v>
      </c>
      <c r="N22" s="74" t="s">
        <v>19</v>
      </c>
      <c r="O22" s="74" t="s">
        <v>15</v>
      </c>
      <c r="P22" s="72"/>
      <c r="Q22" s="72"/>
      <c r="R22" s="72"/>
      <c r="S22" s="72"/>
      <c r="T22" s="72"/>
      <c r="AA22" s="72"/>
      <c r="AB22" s="72"/>
      <c r="AC22" s="72"/>
      <c r="AD22" s="72"/>
      <c r="AE22" s="72"/>
      <c r="AF22" s="72"/>
      <c r="AG22" s="72"/>
      <c r="AH22" s="14" t="s">
        <v>30</v>
      </c>
      <c r="AI22" s="26" t="s">
        <v>31</v>
      </c>
      <c r="AJ22" s="29">
        <f t="shared" si="5"/>
        <v>3</v>
      </c>
      <c r="AK22" s="72" t="str">
        <f t="shared" si="2"/>
        <v>N-1 EENS 3</v>
      </c>
      <c r="AL22" s="34">
        <f t="shared" si="6"/>
        <v>0.17581996074063852</v>
      </c>
      <c r="AM22" s="15">
        <v>0</v>
      </c>
    </row>
    <row r="23" spans="1:39" x14ac:dyDescent="0.35">
      <c r="A23" s="159" t="s">
        <v>27</v>
      </c>
      <c r="B23" s="159"/>
      <c r="C23" s="117">
        <v>1</v>
      </c>
      <c r="D23" s="117">
        <v>2</v>
      </c>
      <c r="E23" s="117">
        <v>3</v>
      </c>
      <c r="F23" s="117">
        <v>4</v>
      </c>
      <c r="G23" s="117">
        <v>5</v>
      </c>
      <c r="H23" s="117">
        <v>6</v>
      </c>
      <c r="I23" s="117">
        <v>7</v>
      </c>
      <c r="J23" s="117">
        <v>8</v>
      </c>
      <c r="K23" s="117">
        <v>9</v>
      </c>
      <c r="L23" s="117">
        <v>10</v>
      </c>
      <c r="M23" s="117">
        <v>11</v>
      </c>
      <c r="N23" s="117">
        <v>12</v>
      </c>
      <c r="O23" s="117">
        <v>13</v>
      </c>
      <c r="P23" s="72"/>
      <c r="Q23" s="10"/>
      <c r="R23" s="72"/>
      <c r="S23" s="72"/>
      <c r="T23" s="72"/>
      <c r="AA23" s="72"/>
      <c r="AB23" s="72"/>
      <c r="AC23" s="72"/>
      <c r="AD23" s="72"/>
      <c r="AE23" s="72"/>
      <c r="AF23" s="72"/>
      <c r="AG23" s="72"/>
      <c r="AH23" s="14" t="s">
        <v>30</v>
      </c>
      <c r="AI23" s="26" t="s">
        <v>51</v>
      </c>
      <c r="AJ23" s="29">
        <f t="shared" si="5"/>
        <v>3</v>
      </c>
      <c r="AK23" s="72" t="str">
        <f t="shared" si="2"/>
        <v>N-1 Flexibility-1 3</v>
      </c>
      <c r="AL23" s="34">
        <f t="shared" si="6"/>
        <v>1061.615971279346</v>
      </c>
      <c r="AM23" s="15">
        <v>0</v>
      </c>
    </row>
    <row r="24" spans="1:39" x14ac:dyDescent="0.35">
      <c r="A24" s="14" t="s">
        <v>39</v>
      </c>
      <c r="B24" s="26" t="s">
        <v>56</v>
      </c>
      <c r="C24" s="83">
        <f>'Alberhill System Project'!C71</f>
        <v>135939350.88108453</v>
      </c>
      <c r="D24" s="83">
        <f>'SDG&amp;E'!$C71</f>
        <v>135917102.81002986</v>
      </c>
      <c r="E24" s="83">
        <f>'Valley S to Valley N to Vista'!$C72</f>
        <v>135193609.54693171</v>
      </c>
      <c r="F24" s="83">
        <f>'Centralized BESS in Valley S'!$C71</f>
        <v>135939350.88108453</v>
      </c>
      <c r="G24" s="83">
        <f>'MiraLoma &amp; Centralized BESS VS'!$C71</f>
        <v>135939350.88108453</v>
      </c>
      <c r="H24" s="83">
        <f>'VS to VN &amp; Distributed BESS VS'!$C72</f>
        <v>124537997.16866253</v>
      </c>
      <c r="I24" s="83">
        <f>Menifee!$C71</f>
        <v>135939350.88108453</v>
      </c>
      <c r="J24" s="83">
        <f>'Mira Loma'!$C71</f>
        <v>117972011.6500524</v>
      </c>
      <c r="K24" s="83">
        <f>'SCE Orange County'!$C71</f>
        <v>135939350.88108453</v>
      </c>
      <c r="L24" s="83">
        <f>'VS to VN &amp; Central BESS VS VN '!$C72</f>
        <v>135939350.88108453</v>
      </c>
      <c r="M24" s="83">
        <f>'VS to VN to VST &amp; Cen BESS VS'!$C72</f>
        <v>135193609.54693171</v>
      </c>
      <c r="N24" s="83">
        <f>'SDG&amp;E and Central BESS in VS'!$C71</f>
        <v>135939350.88108453</v>
      </c>
      <c r="O24" s="83">
        <f>'Valley South to Valley North'!$C72</f>
        <v>124537997.16866253</v>
      </c>
      <c r="P24" s="72"/>
      <c r="Q24" s="10"/>
      <c r="R24" s="72"/>
      <c r="S24" s="72"/>
      <c r="T24" s="72"/>
      <c r="AA24" s="72"/>
      <c r="AB24" s="72"/>
      <c r="AC24" s="72"/>
      <c r="AD24" s="72"/>
      <c r="AE24" s="72"/>
      <c r="AF24" s="72"/>
      <c r="AG24" s="72"/>
      <c r="AH24" s="14" t="s">
        <v>30</v>
      </c>
      <c r="AI24" s="26" t="s">
        <v>52</v>
      </c>
      <c r="AJ24" s="29">
        <f t="shared" si="5"/>
        <v>3</v>
      </c>
      <c r="AK24" s="72" t="str">
        <f t="shared" si="2"/>
        <v>N-1 Flexibility-2-1 3</v>
      </c>
      <c r="AL24" s="34">
        <f t="shared" si="6"/>
        <v>0</v>
      </c>
      <c r="AM24" s="15">
        <v>0</v>
      </c>
    </row>
    <row r="25" spans="1:39" x14ac:dyDescent="0.35">
      <c r="A25" s="14" t="s">
        <v>39</v>
      </c>
      <c r="B25" s="26" t="s">
        <v>57</v>
      </c>
      <c r="C25" s="83">
        <f>'Alberhill System Project'!B43</f>
        <v>4506963.0130318115</v>
      </c>
      <c r="D25" s="83">
        <f>'SDG&amp;E'!$B43</f>
        <v>3193830.8380260812</v>
      </c>
      <c r="E25" s="83">
        <f>'Valley S to Valley N to Vista'!$B44</f>
        <v>387169.66315450199</v>
      </c>
      <c r="F25" s="83">
        <f>'Centralized BESS in Valley S'!$B43</f>
        <v>806178.54192307137</v>
      </c>
      <c r="G25" s="83">
        <f>'MiraLoma &amp; Centralized BESS VS'!$B43</f>
        <v>782066.82292392617</v>
      </c>
      <c r="H25" s="83">
        <f>'VS to VN &amp; Distributed BESS VS'!$B44</f>
        <v>387169.66315450199</v>
      </c>
      <c r="I25" s="83">
        <f>Menifee!$B43</f>
        <v>614918.62882412423</v>
      </c>
      <c r="J25" s="83">
        <f>'Mira Loma'!$B43</f>
        <v>771017.48992003605</v>
      </c>
      <c r="K25" s="83">
        <f>'SCE Orange County'!$B43</f>
        <v>3188562.7007266493</v>
      </c>
      <c r="L25" s="83">
        <f>'VS to VN &amp; Central BESS VS VN '!$B44</f>
        <v>387169.66315450199</v>
      </c>
      <c r="M25" s="83">
        <f>'VS to VN to VST &amp; Cen BESS VS'!$B44</f>
        <v>387169.66315450199</v>
      </c>
      <c r="N25" s="83">
        <f>'SDG&amp;E and Central BESS in VS'!$B43</f>
        <v>3043834.6938729561</v>
      </c>
      <c r="O25" s="83">
        <f>'Valley South to Valley North'!$B44</f>
        <v>387169.66315450199</v>
      </c>
      <c r="P25" s="72"/>
      <c r="Q25" s="10"/>
      <c r="R25" s="72"/>
      <c r="S25" s="72"/>
      <c r="T25" s="72"/>
      <c r="AA25" s="72"/>
      <c r="AB25" s="72"/>
      <c r="AC25" s="72"/>
      <c r="AD25" s="72"/>
      <c r="AE25" s="72"/>
      <c r="AF25" s="72"/>
      <c r="AG25" s="72"/>
      <c r="AH25" s="14" t="s">
        <v>30</v>
      </c>
      <c r="AI25" s="26" t="s">
        <v>53</v>
      </c>
      <c r="AJ25" s="29">
        <f t="shared" si="5"/>
        <v>3</v>
      </c>
      <c r="AK25" s="72" t="str">
        <f t="shared" si="2"/>
        <v>N-1 Flexibility-2-2 3</v>
      </c>
      <c r="AL25" s="34">
        <f t="shared" si="6"/>
        <v>158.85077445155588</v>
      </c>
      <c r="AM25" s="15">
        <v>0</v>
      </c>
    </row>
    <row r="26" spans="1:39" x14ac:dyDescent="0.35">
      <c r="A26" s="14" t="s">
        <v>30</v>
      </c>
      <c r="B26" s="26" t="s">
        <v>56</v>
      </c>
      <c r="C26" s="83">
        <f>'Alberhill System Project'!C67</f>
        <v>1820076.4500361823</v>
      </c>
      <c r="D26" s="83">
        <f>'SDG&amp;E'!$C67</f>
        <v>1828224.7752703994</v>
      </c>
      <c r="E26" s="83">
        <f>'Valley S to Valley N to Vista'!$C68</f>
        <v>175819.96074063852</v>
      </c>
      <c r="F26" s="83">
        <f>'Centralized BESS in Valley S'!$C67</f>
        <v>1828224.7752703994</v>
      </c>
      <c r="G26" s="83">
        <f>'MiraLoma &amp; Centralized BESS VS'!$C67</f>
        <v>1369953.6222771537</v>
      </c>
      <c r="H26" s="83">
        <f>'VS to VN &amp; Distributed BESS VS'!$C68</f>
        <v>175819.96074063852</v>
      </c>
      <c r="I26" s="83">
        <f>Menifee!$C67</f>
        <v>128692.97557257004</v>
      </c>
      <c r="J26" s="83">
        <f>'Mira Loma'!$C67</f>
        <v>576772.52463956224</v>
      </c>
      <c r="K26" s="83">
        <f>'SCE Orange County'!$C67</f>
        <v>1639421.6194281138</v>
      </c>
      <c r="L26" s="83">
        <f>'VS to VN &amp; Central BESS VS VN '!$C68</f>
        <v>175819.96074063852</v>
      </c>
      <c r="M26" s="83">
        <f>'VS to VN to VST &amp; Cen BESS VS'!$C68</f>
        <v>175819.96074063852</v>
      </c>
      <c r="N26" s="83">
        <f>'SDG&amp;E and Central BESS in VS'!$C67</f>
        <v>1828224.7752703994</v>
      </c>
      <c r="O26" s="83">
        <f>'Valley South to Valley North'!$C68</f>
        <v>175819.96074063852</v>
      </c>
      <c r="P26" s="72"/>
      <c r="Q26" s="10"/>
      <c r="R26" s="72"/>
      <c r="S26" s="72"/>
      <c r="T26" s="72"/>
      <c r="AA26" s="72"/>
      <c r="AB26" s="72"/>
      <c r="AC26" s="72"/>
      <c r="AD26" s="72"/>
      <c r="AE26" s="72"/>
      <c r="AF26" s="72"/>
      <c r="AG26" s="72"/>
      <c r="AH26" s="14" t="s">
        <v>54</v>
      </c>
      <c r="AI26" s="26" t="s">
        <v>24</v>
      </c>
      <c r="AJ26" s="29">
        <f t="shared" si="5"/>
        <v>3</v>
      </c>
      <c r="AK26" s="72" t="str">
        <f t="shared" si="2"/>
        <v>Total Aggregate 3</v>
      </c>
      <c r="AL26" s="34">
        <f>E30</f>
        <v>1355.8361752385742</v>
      </c>
      <c r="AM26" s="15">
        <v>0</v>
      </c>
    </row>
    <row r="27" spans="1:39" x14ac:dyDescent="0.35">
      <c r="A27" s="14" t="s">
        <v>30</v>
      </c>
      <c r="B27" s="26" t="s">
        <v>58</v>
      </c>
      <c r="C27" s="83">
        <f>'Alberhill System Project'!C75</f>
        <v>3649966661.1870899</v>
      </c>
      <c r="D27" s="83">
        <f>'SDG&amp;E'!$C75</f>
        <v>1597648819.9312139</v>
      </c>
      <c r="E27" s="83">
        <f>'Valley S to Valley N to Vista'!$C76</f>
        <v>1061615971.279346</v>
      </c>
      <c r="F27" s="83">
        <f>'Centralized BESS in Valley S'!$C75</f>
        <v>2216490536.0482788</v>
      </c>
      <c r="G27" s="83">
        <f>'MiraLoma &amp; Centralized BESS VS'!$C75</f>
        <v>2362810199.71207</v>
      </c>
      <c r="H27" s="83">
        <f>'VS to VN &amp; Distributed BESS VS'!$C76</f>
        <v>1061615971.279346</v>
      </c>
      <c r="I27" s="83">
        <f>Menifee!$C75</f>
        <v>1061615971.279346</v>
      </c>
      <c r="J27" s="83">
        <f>'Mira Loma'!$C75</f>
        <v>2289858231.7733064</v>
      </c>
      <c r="K27" s="83">
        <f>'SCE Orange County'!$C75</f>
        <v>3092624203.4170194</v>
      </c>
      <c r="L27" s="83">
        <f>'VS to VN &amp; Central BESS VS VN '!$C76</f>
        <v>1061615971.279346</v>
      </c>
      <c r="M27" s="83">
        <f>'VS to VN to VST &amp; Cen BESS VS'!$C76</f>
        <v>1061615971.279346</v>
      </c>
      <c r="N27" s="83">
        <f>'SDG&amp;E and Central BESS in VS'!$C75</f>
        <v>1956625091.4149036</v>
      </c>
      <c r="O27" s="83">
        <f>'Valley South to Valley North'!$C76</f>
        <v>1061615971.279346</v>
      </c>
      <c r="P27" s="72"/>
      <c r="Q27" s="10"/>
      <c r="R27" s="72"/>
      <c r="S27" s="72"/>
      <c r="T27" s="72"/>
      <c r="AA27" s="72"/>
      <c r="AB27" s="72"/>
      <c r="AC27" s="72"/>
      <c r="AD27" s="72"/>
      <c r="AE27" s="72"/>
      <c r="AF27" s="72"/>
      <c r="AG27" s="72"/>
      <c r="AH27" s="14" t="s">
        <v>39</v>
      </c>
      <c r="AI27" s="26" t="s">
        <v>31</v>
      </c>
      <c r="AJ27" s="32">
        <f t="shared" ref="AJ27:AJ33" si="7">$F$23</f>
        <v>4</v>
      </c>
      <c r="AK27" s="33" t="str">
        <f t="shared" si="2"/>
        <v>N-0 EENS 4</v>
      </c>
      <c r="AL27" s="34">
        <f t="shared" ref="AL27:AL32" si="8">F24/1000000</f>
        <v>135.93935088108452</v>
      </c>
      <c r="AM27" s="15">
        <v>0</v>
      </c>
    </row>
    <row r="28" spans="1:39" x14ac:dyDescent="0.35">
      <c r="A28" s="14" t="s">
        <v>30</v>
      </c>
      <c r="B28" s="26" t="s">
        <v>59</v>
      </c>
      <c r="C28" s="83">
        <f>'Alberhill System Project'!C79</f>
        <v>410617949.05237371</v>
      </c>
      <c r="D28" s="83">
        <f>'SDG&amp;E'!$C79</f>
        <v>294522289.23551047</v>
      </c>
      <c r="E28" s="83">
        <f>'Valley S to Valley N to Vista'!$C80</f>
        <v>0</v>
      </c>
      <c r="F28" s="83">
        <f>'Centralized BESS in Valley S'!$C79</f>
        <v>342.73649365289066</v>
      </c>
      <c r="G28" s="83">
        <f>'MiraLoma &amp; Centralized BESS VS'!$C79</f>
        <v>115622912.2425272</v>
      </c>
      <c r="H28" s="83">
        <f>'VS to VN &amp; Distributed BESS VS'!$C80</f>
        <v>0</v>
      </c>
      <c r="I28" s="83">
        <f>Menifee!$C79</f>
        <v>262111066.87558335</v>
      </c>
      <c r="J28" s="83">
        <f>'Mira Loma'!$C79</f>
        <v>115622912.2425272</v>
      </c>
      <c r="K28" s="83">
        <f>'SCE Orange County'!$C79</f>
        <v>300079046.64666921</v>
      </c>
      <c r="L28" s="83">
        <f>'VS to VN &amp; Central BESS VS VN '!$C80</f>
        <v>0</v>
      </c>
      <c r="M28" s="83">
        <f>'VS to VN to VST &amp; Cen BESS VS'!$C80</f>
        <v>0</v>
      </c>
      <c r="N28" s="83">
        <f>'SDG&amp;E and Central BESS in VS'!$C79</f>
        <v>294522289.23551047</v>
      </c>
      <c r="O28" s="83">
        <f>'Valley South to Valley North'!$C80</f>
        <v>0</v>
      </c>
      <c r="P28" s="72"/>
      <c r="Q28" s="10"/>
      <c r="R28" s="72"/>
      <c r="S28" s="72"/>
      <c r="T28" s="72"/>
      <c r="AA28" s="72"/>
      <c r="AB28" s="72"/>
      <c r="AC28" s="72"/>
      <c r="AD28" s="72"/>
      <c r="AE28" s="72"/>
      <c r="AF28" s="72"/>
      <c r="AG28" s="72"/>
      <c r="AH28" s="14" t="s">
        <v>39</v>
      </c>
      <c r="AI28" s="26" t="s">
        <v>50</v>
      </c>
      <c r="AJ28" s="29">
        <f t="shared" si="7"/>
        <v>4</v>
      </c>
      <c r="AK28" s="72" t="str">
        <f t="shared" si="2"/>
        <v>N-0 Losses 4</v>
      </c>
      <c r="AL28" s="34">
        <f t="shared" si="8"/>
        <v>0.80617854192307137</v>
      </c>
      <c r="AM28" s="15">
        <v>0</v>
      </c>
    </row>
    <row r="29" spans="1:39" x14ac:dyDescent="0.35">
      <c r="A29" s="14" t="s">
        <v>30</v>
      </c>
      <c r="B29" s="26" t="s">
        <v>60</v>
      </c>
      <c r="C29" s="83">
        <f>'Alberhill System Project'!C81</f>
        <v>241639286.0361051</v>
      </c>
      <c r="D29" s="83">
        <f>'SDG&amp;E'!$C81</f>
        <v>175851094.61246035</v>
      </c>
      <c r="E29" s="83">
        <f>'Valley S to Valley N to Vista'!$C82</f>
        <v>158850774.45155588</v>
      </c>
      <c r="F29" s="83">
        <f>'Centralized BESS in Valley S'!$C81</f>
        <v>1267956.9556291802</v>
      </c>
      <c r="G29" s="83">
        <f>'MiraLoma &amp; Centralized BESS VS'!$C81</f>
        <v>149022625.44354364</v>
      </c>
      <c r="H29" s="83">
        <f>'VS to VN &amp; Distributed BESS VS'!$C82</f>
        <v>158850774.45155588</v>
      </c>
      <c r="I29" s="83">
        <f>Menifee!$C81</f>
        <v>158850774.45155588</v>
      </c>
      <c r="J29" s="83">
        <f>'Mira Loma'!$C81</f>
        <v>149022625.44354364</v>
      </c>
      <c r="K29" s="83">
        <f>'SCE Orange County'!$C81</f>
        <v>186936510.0182313</v>
      </c>
      <c r="L29" s="83">
        <f>'VS to VN &amp; Central BESS VS VN '!$C82</f>
        <v>158850774.45155588</v>
      </c>
      <c r="M29" s="83">
        <f>'VS to VN to VST &amp; Cen BESS VS'!$C82</f>
        <v>158850774.45155588</v>
      </c>
      <c r="N29" s="83">
        <f>'SDG&amp;E and Central BESS in VS'!$C81</f>
        <v>175851094.61246035</v>
      </c>
      <c r="O29" s="83">
        <f>'Valley South to Valley North'!$C82</f>
        <v>158850774.45155588</v>
      </c>
      <c r="P29" s="72"/>
      <c r="Q29" s="72"/>
      <c r="R29" s="72"/>
      <c r="S29" s="72"/>
      <c r="T29" s="72"/>
      <c r="AA29" s="72"/>
      <c r="AB29" s="72"/>
      <c r="AC29" s="72"/>
      <c r="AD29" s="72"/>
      <c r="AE29" s="72"/>
      <c r="AF29" s="72"/>
      <c r="AG29" s="72"/>
      <c r="AH29" s="14" t="s">
        <v>30</v>
      </c>
      <c r="AI29" s="26" t="s">
        <v>31</v>
      </c>
      <c r="AJ29" s="29">
        <f t="shared" si="7"/>
        <v>4</v>
      </c>
      <c r="AK29" s="72" t="str">
        <f t="shared" si="2"/>
        <v>N-1 EENS 4</v>
      </c>
      <c r="AL29" s="34">
        <f t="shared" si="8"/>
        <v>1.8282247752703995</v>
      </c>
      <c r="AM29" s="15">
        <v>0</v>
      </c>
    </row>
    <row r="30" spans="1:39" x14ac:dyDescent="0.35">
      <c r="A30" s="14" t="s">
        <v>54</v>
      </c>
      <c r="B30" s="26" t="s">
        <v>61</v>
      </c>
      <c r="C30" s="25">
        <f>'Alberhill System Project'!C83</f>
        <v>4439.9833236066906</v>
      </c>
      <c r="D30" s="25">
        <f>'SDG&amp;E'!$C83</f>
        <v>2205.767531364485</v>
      </c>
      <c r="E30" s="25">
        <f>'Valley S to Valley N to Vista'!$C84</f>
        <v>1355.8361752385742</v>
      </c>
      <c r="F30" s="25">
        <f>'Centralized BESS in Valley S'!$C83</f>
        <v>2355.5264113967564</v>
      </c>
      <c r="G30" s="25">
        <f>'MiraLoma &amp; Centralized BESS VS'!$C83</f>
        <v>2764.7650419015026</v>
      </c>
      <c r="H30" s="25">
        <f>'VS to VN &amp; Distributed BESS VS'!$C84</f>
        <v>1345.1805628603049</v>
      </c>
      <c r="I30" s="25">
        <f>Menifee!$C83</f>
        <v>1618.6458564631419</v>
      </c>
      <c r="J30" s="25">
        <f>'Mira Loma'!$C83</f>
        <v>2673.0525536340688</v>
      </c>
      <c r="K30" s="25">
        <f>'SCE Orange County'!$C83</f>
        <v>3717.2185325824321</v>
      </c>
      <c r="L30" s="25">
        <f>'VS to VN &amp; Central BESS VS VN '!$C84</f>
        <v>1356.5819165727269</v>
      </c>
      <c r="M30" s="25">
        <f>'VS to VN to VST &amp; Cen BESS VS'!$C84</f>
        <v>1355.8361752385742</v>
      </c>
      <c r="N30" s="25">
        <f>'SDG&amp;E and Central BESS in VS'!$C83</f>
        <v>2564.7660509192283</v>
      </c>
      <c r="O30" s="25">
        <f>'Valley South to Valley North'!$C84</f>
        <v>1345.1805628603049</v>
      </c>
      <c r="P30" s="72"/>
      <c r="Q30" s="72"/>
      <c r="R30" s="72"/>
      <c r="S30" s="72"/>
      <c r="T30" s="72"/>
      <c r="AA30" s="72"/>
      <c r="AB30" s="72"/>
      <c r="AC30" s="72"/>
      <c r="AD30" s="72"/>
      <c r="AE30" s="72"/>
      <c r="AF30" s="72"/>
      <c r="AG30" s="72"/>
      <c r="AH30" s="14" t="s">
        <v>30</v>
      </c>
      <c r="AI30" s="26" t="s">
        <v>51</v>
      </c>
      <c r="AJ30" s="29">
        <f t="shared" si="7"/>
        <v>4</v>
      </c>
      <c r="AK30" s="72" t="str">
        <f t="shared" si="2"/>
        <v>N-1 Flexibility-1 4</v>
      </c>
      <c r="AL30" s="34">
        <f t="shared" si="8"/>
        <v>2216.490536048279</v>
      </c>
      <c r="AM30" s="15">
        <v>0</v>
      </c>
    </row>
    <row r="31" spans="1:39" x14ac:dyDescent="0.35">
      <c r="A31" s="76"/>
      <c r="B31" s="77"/>
      <c r="C31" s="78"/>
      <c r="D31" s="78"/>
      <c r="E31" s="78"/>
      <c r="F31" s="78"/>
      <c r="G31" s="78"/>
      <c r="H31" s="78"/>
      <c r="I31" s="78"/>
      <c r="J31" s="78"/>
      <c r="K31" s="78"/>
      <c r="L31" s="78"/>
      <c r="M31" s="78"/>
      <c r="N31" s="78"/>
      <c r="O31" s="78"/>
      <c r="P31" s="72"/>
      <c r="Q31" s="72"/>
      <c r="R31" s="72"/>
      <c r="S31" s="72"/>
      <c r="T31" s="72"/>
      <c r="AA31" s="72"/>
      <c r="AB31" s="72"/>
      <c r="AC31" s="72"/>
      <c r="AD31" s="72"/>
      <c r="AE31" s="72"/>
      <c r="AF31" s="72"/>
      <c r="AG31" s="72"/>
      <c r="AH31" s="14" t="s">
        <v>30</v>
      </c>
      <c r="AI31" s="26" t="s">
        <v>52</v>
      </c>
      <c r="AJ31" s="29">
        <f t="shared" si="7"/>
        <v>4</v>
      </c>
      <c r="AK31" s="72" t="str">
        <f t="shared" si="2"/>
        <v>N-1 Flexibility-2-1 4</v>
      </c>
      <c r="AL31" s="34">
        <f t="shared" si="8"/>
        <v>3.4273649365289065E-4</v>
      </c>
      <c r="AM31" s="15">
        <v>0</v>
      </c>
    </row>
    <row r="32" spans="1:39" hidden="1" x14ac:dyDescent="0.35">
      <c r="A32" s="64"/>
      <c r="B32" s="65"/>
      <c r="C32" s="72"/>
      <c r="D32" s="72"/>
      <c r="E32" s="72"/>
      <c r="F32" s="72"/>
      <c r="G32" s="72"/>
      <c r="H32" s="72"/>
      <c r="I32" s="72"/>
      <c r="J32" s="72"/>
      <c r="K32" s="72"/>
      <c r="L32" s="72"/>
      <c r="M32" s="72"/>
      <c r="N32" s="72"/>
      <c r="O32" s="72"/>
      <c r="P32" s="72"/>
      <c r="Q32" s="72"/>
      <c r="R32" s="72"/>
      <c r="S32" s="72"/>
      <c r="T32" s="72"/>
      <c r="AA32" s="72"/>
      <c r="AB32" s="72"/>
      <c r="AC32" s="72"/>
      <c r="AD32" s="72"/>
      <c r="AE32" s="72"/>
      <c r="AF32" s="72"/>
      <c r="AG32" s="72"/>
      <c r="AH32" s="14" t="s">
        <v>30</v>
      </c>
      <c r="AI32" s="26" t="s">
        <v>53</v>
      </c>
      <c r="AJ32" s="29">
        <f t="shared" si="7"/>
        <v>4</v>
      </c>
      <c r="AK32" s="72" t="str">
        <f t="shared" si="2"/>
        <v>N-1 Flexibility-2-2 4</v>
      </c>
      <c r="AL32" s="34">
        <f t="shared" si="8"/>
        <v>1.2679569556291801</v>
      </c>
      <c r="AM32" s="15">
        <v>0</v>
      </c>
    </row>
    <row r="33" spans="1:39" ht="20" hidden="1" thickBot="1" x14ac:dyDescent="0.5">
      <c r="A33" s="134" t="s">
        <v>41</v>
      </c>
      <c r="B33" s="134"/>
      <c r="C33" s="134"/>
      <c r="D33" s="134"/>
      <c r="E33" s="134"/>
      <c r="F33" s="134"/>
      <c r="G33" s="134"/>
      <c r="H33" s="134"/>
      <c r="I33" s="134"/>
      <c r="J33" s="134"/>
      <c r="K33" s="134"/>
      <c r="L33" s="134"/>
      <c r="M33" s="134"/>
      <c r="N33" s="134"/>
      <c r="O33" s="134"/>
      <c r="P33" s="134"/>
      <c r="Q33" s="72"/>
      <c r="R33" s="72"/>
      <c r="S33" s="72"/>
      <c r="T33" s="72"/>
      <c r="AA33" s="72"/>
      <c r="AB33" s="72"/>
      <c r="AC33" s="72"/>
      <c r="AD33" s="72"/>
      <c r="AE33" s="72"/>
      <c r="AF33" s="72"/>
      <c r="AG33" s="72"/>
      <c r="AH33" s="14" t="s">
        <v>54</v>
      </c>
      <c r="AI33" s="26" t="s">
        <v>24</v>
      </c>
      <c r="AJ33" s="29">
        <f t="shared" si="7"/>
        <v>4</v>
      </c>
      <c r="AK33" s="72" t="str">
        <f t="shared" si="2"/>
        <v>Total Aggregate 4</v>
      </c>
      <c r="AL33" s="34">
        <f>F30</f>
        <v>2355.5264113967564</v>
      </c>
      <c r="AM33" s="15">
        <v>0</v>
      </c>
    </row>
    <row r="34" spans="1:39" ht="18" hidden="1" thickTop="1" thickBot="1" x14ac:dyDescent="0.45">
      <c r="A34" s="160"/>
      <c r="B34" s="160"/>
      <c r="C34" s="160"/>
      <c r="D34" s="160"/>
      <c r="E34" s="160"/>
      <c r="F34" s="160"/>
      <c r="G34" s="160"/>
      <c r="H34" s="72"/>
      <c r="I34" s="72"/>
      <c r="J34" s="72"/>
      <c r="K34" s="72"/>
      <c r="L34" s="72"/>
      <c r="M34" s="72"/>
      <c r="N34" s="72"/>
      <c r="O34" s="72"/>
      <c r="P34" s="72"/>
      <c r="Q34" s="72"/>
      <c r="R34" s="72"/>
      <c r="S34" s="72"/>
      <c r="T34" s="72"/>
      <c r="AA34" s="72"/>
      <c r="AB34" s="72"/>
      <c r="AC34" s="72"/>
      <c r="AD34" s="72"/>
      <c r="AE34" s="72"/>
      <c r="AF34" s="72"/>
      <c r="AG34" s="72"/>
      <c r="AH34" s="14" t="s">
        <v>39</v>
      </c>
      <c r="AI34" s="26" t="s">
        <v>31</v>
      </c>
      <c r="AJ34" s="32">
        <f t="shared" ref="AJ34:AJ40" si="9">$G$23</f>
        <v>5</v>
      </c>
      <c r="AK34" s="33" t="str">
        <f t="shared" si="2"/>
        <v>N-0 EENS 5</v>
      </c>
      <c r="AL34" s="34">
        <f t="shared" ref="AL34:AL39" si="10">G24/1000000</f>
        <v>135.93935088108452</v>
      </c>
      <c r="AM34" s="15">
        <v>0</v>
      </c>
    </row>
    <row r="35" spans="1:39" hidden="1" x14ac:dyDescent="0.35">
      <c r="A35" s="161" t="str">
        <f>A23</f>
        <v>Category</v>
      </c>
      <c r="B35" s="161"/>
      <c r="C35" s="118">
        <f>A5</f>
        <v>0</v>
      </c>
      <c r="D35" s="118">
        <f>A6</f>
        <v>6</v>
      </c>
      <c r="E35" s="118">
        <f>A7</f>
        <v>13</v>
      </c>
      <c r="F35" s="118">
        <f>A8</f>
        <v>10</v>
      </c>
      <c r="G35" s="118">
        <f>A9</f>
        <v>3</v>
      </c>
      <c r="H35" s="118">
        <f>A10</f>
        <v>11</v>
      </c>
      <c r="I35" s="118">
        <f>A11</f>
        <v>8</v>
      </c>
      <c r="J35" s="118">
        <f>A12</f>
        <v>7</v>
      </c>
      <c r="K35" s="118">
        <f>A13</f>
        <v>4</v>
      </c>
      <c r="L35" s="118">
        <f>A14</f>
        <v>5</v>
      </c>
      <c r="M35" s="118">
        <f>A15</f>
        <v>2</v>
      </c>
      <c r="N35" s="118">
        <f>A16</f>
        <v>12</v>
      </c>
      <c r="O35" s="118">
        <f>A17</f>
        <v>1</v>
      </c>
      <c r="P35" s="118">
        <f>A18</f>
        <v>9</v>
      </c>
      <c r="Q35" s="72"/>
      <c r="R35" s="72"/>
      <c r="S35" s="72"/>
      <c r="T35" s="72"/>
      <c r="AA35" s="72"/>
      <c r="AB35" s="72"/>
      <c r="AC35" s="72"/>
      <c r="AD35" s="72"/>
      <c r="AE35" s="72"/>
      <c r="AF35" s="72"/>
      <c r="AG35" s="72"/>
      <c r="AH35" s="14" t="s">
        <v>39</v>
      </c>
      <c r="AI35" s="26" t="s">
        <v>50</v>
      </c>
      <c r="AJ35" s="29">
        <f t="shared" si="9"/>
        <v>5</v>
      </c>
      <c r="AK35" s="72" t="str">
        <f t="shared" si="2"/>
        <v>N-0 Losses 5</v>
      </c>
      <c r="AL35" s="34">
        <f t="shared" si="10"/>
        <v>0.78206682292392615</v>
      </c>
      <c r="AM35" s="15">
        <v>0</v>
      </c>
    </row>
    <row r="36" spans="1:39" x14ac:dyDescent="0.35">
      <c r="A36" s="72"/>
      <c r="B36" s="72"/>
      <c r="C36" s="72"/>
      <c r="D36" s="72"/>
      <c r="E36" s="72"/>
      <c r="F36" s="72"/>
      <c r="G36" s="72"/>
      <c r="H36" s="72"/>
      <c r="I36" s="72"/>
      <c r="J36" s="72"/>
      <c r="K36" s="72"/>
      <c r="L36" s="72"/>
      <c r="M36" s="72"/>
      <c r="N36" s="72"/>
      <c r="O36" s="72"/>
      <c r="P36" s="72"/>
      <c r="Q36" s="72"/>
      <c r="R36" s="72"/>
      <c r="S36" s="72"/>
      <c r="T36" s="72"/>
      <c r="AA36" s="72"/>
      <c r="AB36" s="72"/>
      <c r="AC36" s="72"/>
      <c r="AD36" s="72"/>
      <c r="AE36" s="72"/>
      <c r="AF36" s="72"/>
      <c r="AG36" s="72"/>
      <c r="AH36" s="14" t="s">
        <v>30</v>
      </c>
      <c r="AI36" s="26" t="s">
        <v>31</v>
      </c>
      <c r="AJ36" s="29">
        <f t="shared" si="9"/>
        <v>5</v>
      </c>
      <c r="AK36" s="72" t="str">
        <f t="shared" si="2"/>
        <v>N-1 EENS 5</v>
      </c>
      <c r="AL36" s="34">
        <f t="shared" si="10"/>
        <v>1.3699536222771536</v>
      </c>
      <c r="AM36" s="15">
        <v>0</v>
      </c>
    </row>
    <row r="37" spans="1:39" x14ac:dyDescent="0.35">
      <c r="A37" s="72"/>
      <c r="B37" s="72"/>
      <c r="C37" s="72"/>
      <c r="D37" s="72"/>
      <c r="E37" s="72"/>
      <c r="F37" s="72"/>
      <c r="G37" s="72"/>
      <c r="H37" s="72"/>
      <c r="I37" s="72"/>
      <c r="J37" s="72"/>
      <c r="K37" s="72"/>
      <c r="L37" s="72"/>
      <c r="M37" s="72"/>
      <c r="N37" s="72"/>
      <c r="O37" s="72"/>
      <c r="P37" s="72"/>
      <c r="Q37" s="72"/>
      <c r="R37" s="72"/>
      <c r="S37" s="72"/>
      <c r="T37" s="72"/>
      <c r="AA37" s="72"/>
      <c r="AB37" s="72"/>
      <c r="AC37" s="72"/>
      <c r="AD37" s="72"/>
      <c r="AE37" s="72"/>
      <c r="AF37" s="72"/>
      <c r="AG37" s="72"/>
      <c r="AH37" s="14" t="s">
        <v>30</v>
      </c>
      <c r="AI37" s="26" t="s">
        <v>51</v>
      </c>
      <c r="AJ37" s="29">
        <f t="shared" si="9"/>
        <v>5</v>
      </c>
      <c r="AK37" s="72" t="str">
        <f t="shared" si="2"/>
        <v>N-1 Flexibility-1 5</v>
      </c>
      <c r="AL37" s="34">
        <f t="shared" si="10"/>
        <v>2362.8101997120698</v>
      </c>
      <c r="AM37" s="15">
        <v>0</v>
      </c>
    </row>
    <row r="38" spans="1:39" ht="19.5" x14ac:dyDescent="0.45">
      <c r="A38" s="139" t="s">
        <v>27</v>
      </c>
      <c r="B38" s="139"/>
      <c r="C38" s="138" t="s">
        <v>42</v>
      </c>
      <c r="D38" s="138"/>
      <c r="E38" s="138"/>
      <c r="F38" s="138"/>
      <c r="G38" s="138"/>
      <c r="H38" s="138"/>
      <c r="I38" s="138"/>
      <c r="J38" s="138"/>
      <c r="K38" s="138"/>
      <c r="L38" s="138"/>
      <c r="M38" s="138"/>
      <c r="N38" s="138"/>
      <c r="O38" s="138"/>
      <c r="P38" s="138"/>
      <c r="Q38" s="138"/>
      <c r="R38" s="138"/>
      <c r="S38" s="138"/>
      <c r="T38" s="138"/>
      <c r="U38" s="114"/>
      <c r="V38" s="114"/>
      <c r="W38" s="114"/>
      <c r="X38" s="114"/>
      <c r="Y38" s="114"/>
      <c r="Z38" s="114"/>
      <c r="AA38" s="114"/>
      <c r="AB38" s="114"/>
      <c r="AC38" s="158" t="s">
        <v>43</v>
      </c>
      <c r="AD38" s="72"/>
      <c r="AE38" s="72"/>
      <c r="AF38" s="72"/>
      <c r="AG38" s="72"/>
      <c r="AH38" s="14" t="s">
        <v>30</v>
      </c>
      <c r="AI38" s="26" t="s">
        <v>52</v>
      </c>
      <c r="AJ38" s="29">
        <f t="shared" si="9"/>
        <v>5</v>
      </c>
      <c r="AK38" s="72" t="str">
        <f t="shared" si="2"/>
        <v>N-1 Flexibility-2-1 5</v>
      </c>
      <c r="AL38" s="34">
        <f t="shared" si="10"/>
        <v>115.62291224252721</v>
      </c>
      <c r="AM38" s="15">
        <v>0</v>
      </c>
    </row>
    <row r="39" spans="1:39" x14ac:dyDescent="0.35">
      <c r="A39" s="139"/>
      <c r="B39" s="139"/>
      <c r="C39" s="151" t="str">
        <f>$C$40&amp;" --&gt; "&amp;$D$40</f>
        <v>0 --&gt; 6</v>
      </c>
      <c r="D39" s="151"/>
      <c r="E39" s="151" t="str">
        <f>$E$40&amp;" --&gt; "&amp;$F$40</f>
        <v>6 --&gt; 13</v>
      </c>
      <c r="F39" s="151"/>
      <c r="G39" s="151" t="str">
        <f>$G$40&amp;" --&gt; "&amp;$H$40</f>
        <v>6 --&gt; 10</v>
      </c>
      <c r="H39" s="151"/>
      <c r="I39" s="151" t="str">
        <f>$I$40&amp;" --&gt; "&amp;$J$40</f>
        <v>10 --&gt; 3</v>
      </c>
      <c r="J39" s="151"/>
      <c r="K39" s="151" t="str">
        <f>$K$40&amp;" --&gt; "&amp;$L$40</f>
        <v>10 --&gt; 11</v>
      </c>
      <c r="L39" s="151"/>
      <c r="M39" s="151" t="str">
        <f>$M$40&amp;" --&gt; "&amp;$N$40</f>
        <v>10 --&gt; 8</v>
      </c>
      <c r="N39" s="151"/>
      <c r="O39" s="151" t="str">
        <f>$O$40&amp;" --&gt; "&amp;$P$40</f>
        <v>8 --&gt; 7</v>
      </c>
      <c r="P39" s="151"/>
      <c r="Q39" s="151" t="str">
        <f>$Q$40&amp;" --&gt; "&amp;$R$40</f>
        <v>8 --&gt; 4</v>
      </c>
      <c r="R39" s="151"/>
      <c r="S39" s="151" t="str">
        <f>$S$40&amp;" --&gt; "&amp;$T$40</f>
        <v>8 --&gt; 5</v>
      </c>
      <c r="T39" s="151"/>
      <c r="U39" s="151" t="str">
        <f>$U$40&amp;" --&gt; "&amp;$V$40</f>
        <v>8 --&gt; 2</v>
      </c>
      <c r="V39" s="151"/>
      <c r="W39" s="124" t="str">
        <f>$W$40&amp;" --&gt; "&amp;$X$40</f>
        <v>8 --&gt; 12</v>
      </c>
      <c r="X39" s="125"/>
      <c r="Y39" s="124" t="str">
        <f>$Y$40&amp;" --&gt; "&amp;$Z$40</f>
        <v>12 --&gt; 1</v>
      </c>
      <c r="Z39" s="125"/>
      <c r="AA39" s="124" t="str">
        <f>$AA$40&amp;" --&gt; "&amp;$AB$40</f>
        <v>1 --&gt; 9</v>
      </c>
      <c r="AB39" s="125"/>
      <c r="AC39" s="158"/>
      <c r="AD39" s="72"/>
      <c r="AE39" s="72"/>
      <c r="AF39" s="72"/>
      <c r="AG39" s="72"/>
      <c r="AH39" s="14" t="s">
        <v>30</v>
      </c>
      <c r="AI39" s="26" t="s">
        <v>53</v>
      </c>
      <c r="AJ39" s="29">
        <f t="shared" si="9"/>
        <v>5</v>
      </c>
      <c r="AK39" s="72" t="str">
        <f t="shared" si="2"/>
        <v>N-1 Flexibility-2-2 5</v>
      </c>
      <c r="AL39" s="34">
        <f t="shared" si="10"/>
        <v>149.02262544354363</v>
      </c>
      <c r="AM39" s="15">
        <v>0</v>
      </c>
    </row>
    <row r="40" spans="1:39" x14ac:dyDescent="0.35">
      <c r="A40" s="139"/>
      <c r="B40" s="139"/>
      <c r="C40" s="115">
        <f>$A$5</f>
        <v>0</v>
      </c>
      <c r="D40" s="115">
        <f>$A6</f>
        <v>6</v>
      </c>
      <c r="E40" s="115">
        <f>IF(C48="Y",$D$40,$C$40)</f>
        <v>6</v>
      </c>
      <c r="F40" s="115">
        <f>IF(C48="Y",$A$7,$A$7)</f>
        <v>13</v>
      </c>
      <c r="G40" s="115">
        <f>IF(E48="Y",$F$40,$E$40)</f>
        <v>6</v>
      </c>
      <c r="H40" s="115">
        <f>IF(E48="Y",$A$8,$A$8)</f>
        <v>10</v>
      </c>
      <c r="I40" s="115">
        <f>IF(G48="Y",$H$40,$G$40)</f>
        <v>10</v>
      </c>
      <c r="J40" s="115">
        <f>IF(G48="Y",$A$9,$A$9)</f>
        <v>3</v>
      </c>
      <c r="K40" s="115">
        <f>IF(I48="Y",$J$40,$I$40)</f>
        <v>10</v>
      </c>
      <c r="L40" s="115">
        <f>IF(I48="Y",$A$10,$A$10)</f>
        <v>11</v>
      </c>
      <c r="M40" s="115">
        <f>IF(K48="Y",$L$40,$K$40)</f>
        <v>10</v>
      </c>
      <c r="N40" s="115">
        <f>IF(K48="Y",$A$11,$A$11)</f>
        <v>8</v>
      </c>
      <c r="O40" s="115">
        <f>IF(M48="Y",$N$40,$M$40)</f>
        <v>8</v>
      </c>
      <c r="P40" s="115">
        <f>IF(M48="Y",$A$12,$A$12)</f>
        <v>7</v>
      </c>
      <c r="Q40" s="115">
        <f>IF(O48="Y",$P$40,$O$40)</f>
        <v>8</v>
      </c>
      <c r="R40" s="115">
        <f>IF(O48="Y",$A$13,$A$13)</f>
        <v>4</v>
      </c>
      <c r="S40" s="115">
        <f>IF(Q48="Y",$R$40,$Q$40)</f>
        <v>8</v>
      </c>
      <c r="T40" s="115">
        <f>IF(Q48="Y",$A$14,$A$14)</f>
        <v>5</v>
      </c>
      <c r="U40" s="115">
        <f>IF(S48="Y",$T$40,$S$40)</f>
        <v>8</v>
      </c>
      <c r="V40" s="115">
        <f>IF(S48="Y",$A$15,$A$15)</f>
        <v>2</v>
      </c>
      <c r="W40" s="115">
        <f>IF(U48="Y",$V$40,$U$40)</f>
        <v>8</v>
      </c>
      <c r="X40" s="115">
        <f>IF(U48="Y",$A$16,$A$16)</f>
        <v>12</v>
      </c>
      <c r="Y40" s="115">
        <f>IF(W48="Y",$X$40,$W$40)</f>
        <v>12</v>
      </c>
      <c r="Z40" s="115">
        <f>IF(W48="Y",$A$17,$A$17)</f>
        <v>1</v>
      </c>
      <c r="AA40" s="115">
        <f>IF(Y48="Y",$Z$40,$Y$40)</f>
        <v>1</v>
      </c>
      <c r="AB40" s="115">
        <f>IF(Y48="Y",$A$18,$A$18)</f>
        <v>9</v>
      </c>
      <c r="AC40" s="158"/>
      <c r="AD40" s="72"/>
      <c r="AE40" s="72"/>
      <c r="AF40" s="72"/>
      <c r="AG40" s="72"/>
      <c r="AH40" s="14" t="s">
        <v>54</v>
      </c>
      <c r="AI40" s="26" t="s">
        <v>24</v>
      </c>
      <c r="AJ40" s="29">
        <f t="shared" si="9"/>
        <v>5</v>
      </c>
      <c r="AK40" s="72" t="str">
        <f t="shared" si="2"/>
        <v>Total Aggregate 5</v>
      </c>
      <c r="AL40" s="34">
        <f>G30</f>
        <v>2764.7650419015026</v>
      </c>
      <c r="AM40" s="15">
        <v>0</v>
      </c>
    </row>
    <row r="41" spans="1:39" ht="15.65" customHeight="1" x14ac:dyDescent="0.35">
      <c r="A41" s="14" t="s">
        <v>39</v>
      </c>
      <c r="B41" s="26" t="s">
        <v>31</v>
      </c>
      <c r="C41" s="126">
        <f t="shared" ref="C41:C47" si="11">(VLOOKUP(CONCATENATE($A41," ",$B41," ",$D$40),AK:AM,2,FALSE)-VLOOKUP(CONCATENATE($A41," ",$B41," ",$C$40),AK:AM,2,FALSE))/(VLOOKUP($D$40,$A$4:$D$18,3,FALSE)-(VLOOKUP($C$40,$A$4:$D$18,3,FALSE)))</f>
        <v>0.67317836307385148</v>
      </c>
      <c r="D41" s="126"/>
      <c r="E41" s="126">
        <f t="shared" ref="E41:E47" si="12">(VLOOKUP(CONCATENATE($A41," ",$B41," ",$F$40),$AK:$AM,2,FALSE)-VLOOKUP(CONCATENATE($A41," ",$B41," ",$E$40),$AK:$AM,2,FALSE))/(VLOOKUP($F$40,$A$4:$D$18,3,FALSE)-(VLOOKUP($E$40,$A$4:$D$18,3,FALSE)))</f>
        <v>0</v>
      </c>
      <c r="F41" s="126"/>
      <c r="G41" s="126">
        <f t="shared" ref="G41:G47" si="13">(VLOOKUP(CONCATENATE($A41," ",$B41," ",$H$40),$AK:$AM,2,FALSE)-VLOOKUP(CONCATENATE($A41," ",$B41," ",$G$40),$AK:$AM,2,FALSE))/(VLOOKUP($H$40,$A$4:$D$18,3,FALSE)-(VLOOKUP($G$40,$A$4:$D$18,3,FALSE)))</f>
        <v>0.21113617985966654</v>
      </c>
      <c r="H41" s="126"/>
      <c r="I41" s="126">
        <f t="shared" ref="I41:I47" si="14">(VLOOKUP(CONCATENATE($A41," ",$B41," ",$J$40),$AK:$AM,2,FALSE)-VLOOKUP(CONCATENATE($A41," ",$B41," ",$I$40),$AK:$AM,2,FALSE))/(VLOOKUP($J$40,$A$4:$D$18,3,FALSE)-(VLOOKUP($I$40,$A$4:$D$18,3,FALSE)))</f>
        <v>-2.4056172069445058E-2</v>
      </c>
      <c r="J41" s="126"/>
      <c r="K41" s="126">
        <f t="shared" ref="K41:K47" si="15">(VLOOKUP(CONCATENATE($A41," ",$B41," ",$L$40),$AK:$AM,2,FALSE)-VLOOKUP(CONCATENATE($A41," ",$B41," ",$K$40),$AK:$AM,2,FALSE))/(VLOOKUP($L$40,$A$4:$D$18,3,FALSE)-(VLOOKUP($K$40,$A$4:$D$18,3,FALSE)))</f>
        <v>-2.4056172069445058E-2</v>
      </c>
      <c r="L41" s="126"/>
      <c r="M41" s="126">
        <f t="shared" ref="M41:M47" si="16">(VLOOKUP(CONCATENATE($A41," ",$B41," ",$N$40),$AK:$AM,2,FALSE)-VLOOKUP(CONCATENATE($A41," ",$B41," ",$M$40),$AK:$AM,2,FALSE))/(VLOOKUP($N$40,$A$4:$D$18,3,FALSE)-(VLOOKUP($M$40,$A$4:$D$18,3,FALSE)))</f>
        <v>-0.35230076923592407</v>
      </c>
      <c r="N41" s="126"/>
      <c r="O41" s="126">
        <f t="shared" ref="O41:O47" si="17">(VLOOKUP(CONCATENATE($A41," ",$B41," ",$P$40),$AK:$AM,2,FALSE)-VLOOKUP(CONCATENATE($A41," ",$B41," ",$O$40),$AK:$AM,2,FALSE))/(VLOOKUP($P$40,$A$4:$D$18,3,FALSE)-(VLOOKUP($O$40,$A$4:$D$18,3,FALSE)))</f>
        <v>0.71869356924128514</v>
      </c>
      <c r="P41" s="126"/>
      <c r="Q41" s="126">
        <f t="shared" ref="Q41:Q47" si="18">(VLOOKUP(CONCATENATE($A41," ",$B41," ",$R$40),$AK:$AM,2,FALSE)-VLOOKUP(CONCATENATE($A41," ",$B41," ",$Q$40),$AK:$AM,2,FALSE))/(VLOOKUP($R$40,$A$4:$D$18,3,FALSE)-(VLOOKUP($Q$40,$A$4:$D$18,3,FALSE)))</f>
        <v>0.14147511205537108</v>
      </c>
      <c r="R41" s="126"/>
      <c r="S41" s="126">
        <f t="shared" ref="S41:S47" si="19">(VLOOKUP(CONCATENATE($A41," ",$B41," ",$T$40),$AK:$AM,2,FALSE)-VLOOKUP(CONCATENATE($A41," ",$B41," ",$S$40),$AK:$AM,2,FALSE))/(VLOOKUP($T$40,$A$4:$D$18,3,FALSE)-(VLOOKUP($S$40,$A$4:$D$18,3,FALSE)))</f>
        <v>0.12926143331677789</v>
      </c>
      <c r="T41" s="126"/>
      <c r="U41" s="126">
        <f t="shared" ref="U41:U47" si="20">(VLOOKUP(CONCATENATE($A41," ",$B41," ",$V$40),$AK:$AM,2,FALSE)-VLOOKUP(CONCATENATE($A41," ",$B41," ",$U$40),$AK:$AM,2,FALSE))/(VLOOKUP($V$40,$A$4:$D$18,3,FALSE)-(VLOOKUP($U$40,$A$4:$D$18,3,FALSE)))</f>
        <v>0.10025190592166182</v>
      </c>
      <c r="V41" s="126"/>
      <c r="W41" s="129">
        <f t="shared" ref="W41:W47" si="21">(VLOOKUP(CONCATENATE($A41," ",$B41," ",$X$40),$AK:$AM,2,FALSE)-VLOOKUP(CONCATENATE($A41," ",$B41," ",$W$40),$AK:$AM,2,FALSE))/(VLOOKUP($X$40,$A$4:$D$18,3,FALSE)-(VLOOKUP($W$40,$A$4:$D$18,3,FALSE)))</f>
        <v>8.3959529116972562E-2</v>
      </c>
      <c r="X41" s="130"/>
      <c r="Y41" s="129">
        <f>(VLOOKUP(CONCATENATE($A41," ",$B41," ",$Z$40),$AK:$AM,2,FALSE)-VLOOKUP(CONCATENATE($A41," ",$B41," ",$Y$40),$AK:$AM,2,FALSE))/(VLOOKUP($Z$40,$A$4:$D$18,3,FALSE)-(VLOOKUP($Y$40,$A$4:$D$18,3,FALSE)))</f>
        <v>0</v>
      </c>
      <c r="Z41" s="130"/>
      <c r="AA41" s="129">
        <f>(VLOOKUP(CONCATENATE($A41," ",$B41," ",$AB$40),$AK:$AM,2,FALSE)-VLOOKUP(CONCATENATE($A41," ",$B41," ",$AA$40),$AK:$AM,2,FALSE))/(VLOOKUP($AB$40,$A$4:$D$18,3,FALSE)-(VLOOKUP($AA$40,$A$4:$D$18,3,FALSE)))</f>
        <v>0</v>
      </c>
      <c r="AB41" s="130"/>
      <c r="AC41" s="5" t="s">
        <v>62</v>
      </c>
      <c r="AD41" s="72"/>
      <c r="AE41" s="72"/>
      <c r="AF41" s="72"/>
      <c r="AG41" s="72"/>
      <c r="AH41" s="14" t="s">
        <v>39</v>
      </c>
      <c r="AI41" s="26" t="s">
        <v>31</v>
      </c>
      <c r="AJ41" s="32">
        <v>0</v>
      </c>
      <c r="AK41" s="35" t="str">
        <f t="shared" si="2"/>
        <v>N-0 EENS 0</v>
      </c>
      <c r="AL41" s="25">
        <v>0</v>
      </c>
      <c r="AM41" s="15">
        <v>0</v>
      </c>
    </row>
    <row r="42" spans="1:39" ht="14.5" customHeight="1" x14ac:dyDescent="0.35">
      <c r="A42" s="14" t="s">
        <v>39</v>
      </c>
      <c r="B42" s="26" t="s">
        <v>50</v>
      </c>
      <c r="C42" s="126">
        <f t="shared" si="11"/>
        <v>2.0928089900243353E-3</v>
      </c>
      <c r="D42" s="126"/>
      <c r="E42" s="126">
        <f t="shared" si="12"/>
        <v>0</v>
      </c>
      <c r="F42" s="126"/>
      <c r="G42" s="126">
        <f t="shared" si="13"/>
        <v>0</v>
      </c>
      <c r="H42" s="126"/>
      <c r="I42" s="126">
        <f t="shared" si="14"/>
        <v>0</v>
      </c>
      <c r="J42" s="126"/>
      <c r="K42" s="126">
        <f t="shared" si="15"/>
        <v>0</v>
      </c>
      <c r="L42" s="126"/>
      <c r="M42" s="126">
        <f t="shared" si="16"/>
        <v>7.5264279757947848E-3</v>
      </c>
      <c r="N42" s="126"/>
      <c r="O42" s="126">
        <f t="shared" si="17"/>
        <v>-6.2439544438364749E-3</v>
      </c>
      <c r="P42" s="126"/>
      <c r="Q42" s="126">
        <f t="shared" si="18"/>
        <v>2.7685867718925449E-4</v>
      </c>
      <c r="R42" s="126"/>
      <c r="S42" s="126">
        <f t="shared" si="19"/>
        <v>7.9491604344533132E-5</v>
      </c>
      <c r="T42" s="126"/>
      <c r="U42" s="126">
        <f t="shared" si="20"/>
        <v>1.353527010115109E-2</v>
      </c>
      <c r="V42" s="126"/>
      <c r="W42" s="129">
        <f t="shared" si="21"/>
        <v>1.0620641139966915E-2</v>
      </c>
      <c r="X42" s="130"/>
      <c r="Y42" s="129">
        <f t="shared" ref="Y42:Y47" si="22">(VLOOKUP(CONCATENATE($A42," ",$B42," ",$Z$40),$AK:$AM,2,FALSE)-VLOOKUP(CONCATENATE($A42," ",$B42," ",$Y$40),$AK:$AM,2,FALSE))/(VLOOKUP($Z$40,$A$4:$D$18,3,FALSE)-(VLOOKUP($Y$40,$A$4:$D$18,3,FALSE)))</f>
        <v>3.5686056564850126E-2</v>
      </c>
      <c r="Z42" s="130"/>
      <c r="AA42" s="129">
        <f t="shared" ref="AA42:AA47" si="23">(VLOOKUP(CONCATENATE($A42," ",$B42," ",$AB$40),$AK:$AM,2,FALSE)-VLOOKUP(CONCATENATE($A42," ",$B42," ",$AA$40),$AK:$AM,2,FALSE))/(VLOOKUP($AB$40,$A$4:$D$18,3,FALSE)-(VLOOKUP($AA$40,$A$4:$D$18,3,FALSE)))</f>
        <v>-5.0513421927400829E-3</v>
      </c>
      <c r="AB42" s="130"/>
      <c r="AC42" s="5" t="s">
        <v>62</v>
      </c>
      <c r="AD42" s="72"/>
      <c r="AE42" s="72"/>
      <c r="AF42" s="72"/>
      <c r="AG42" s="72"/>
      <c r="AH42" s="14" t="s">
        <v>39</v>
      </c>
      <c r="AI42" s="26" t="s">
        <v>50</v>
      </c>
      <c r="AJ42" s="29">
        <v>0</v>
      </c>
      <c r="AK42" s="30" t="str">
        <f t="shared" si="2"/>
        <v>N-0 Losses 0</v>
      </c>
      <c r="AL42" s="25">
        <v>0</v>
      </c>
      <c r="AM42" s="15">
        <v>0</v>
      </c>
    </row>
    <row r="43" spans="1:39" x14ac:dyDescent="0.35">
      <c r="A43" s="14" t="s">
        <v>30</v>
      </c>
      <c r="B43" s="26" t="s">
        <v>31</v>
      </c>
      <c r="C43" s="126">
        <f t="shared" si="11"/>
        <v>9.5037816616561359E-4</v>
      </c>
      <c r="D43" s="126"/>
      <c r="E43" s="126">
        <f t="shared" si="12"/>
        <v>0</v>
      </c>
      <c r="F43" s="126"/>
      <c r="G43" s="126">
        <f t="shared" si="13"/>
        <v>0</v>
      </c>
      <c r="H43" s="126"/>
      <c r="I43" s="126">
        <f t="shared" si="14"/>
        <v>0</v>
      </c>
      <c r="J43" s="126"/>
      <c r="K43" s="126">
        <f t="shared" si="15"/>
        <v>0</v>
      </c>
      <c r="L43" s="126"/>
      <c r="M43" s="126">
        <f t="shared" si="16"/>
        <v>7.8618149784102677E-3</v>
      </c>
      <c r="N43" s="126"/>
      <c r="O43" s="126">
        <f t="shared" si="17"/>
        <v>-1.7923181962679686E-2</v>
      </c>
      <c r="P43" s="126"/>
      <c r="Q43" s="126">
        <f t="shared" si="18"/>
        <v>9.8539547293766735E-3</v>
      </c>
      <c r="R43" s="126"/>
      <c r="S43" s="126">
        <f t="shared" si="19"/>
        <v>5.7063388319251174E-3</v>
      </c>
      <c r="T43" s="126"/>
      <c r="U43" s="126">
        <f t="shared" si="20"/>
        <v>6.9913533554795387E-3</v>
      </c>
      <c r="V43" s="126"/>
      <c r="W43" s="129">
        <f t="shared" si="21"/>
        <v>5.847907713228212E-3</v>
      </c>
      <c r="X43" s="130"/>
      <c r="Y43" s="129">
        <f t="shared" si="22"/>
        <v>-1.9873963985895507E-4</v>
      </c>
      <c r="Z43" s="130"/>
      <c r="AA43" s="129">
        <f>(VLOOKUP(CONCATENATE($A43," ",$B43," ",$AB$40),$AK:$AM,2,FALSE)-VLOOKUP(CONCATENATE($A43," ",$B43," ",$AA$40),$AK:$AM,2,FALSE))/(VLOOKUP($AB$40,$A$4:$D$18,3,FALSE)-(VLOOKUP($AA$40,$A$4:$D$18,3,FALSE)))</f>
        <v>-6.9216410194662312E-4</v>
      </c>
      <c r="AB43" s="130"/>
      <c r="AC43" s="5" t="s">
        <v>62</v>
      </c>
      <c r="AD43" s="72"/>
      <c r="AE43" s="72"/>
      <c r="AF43" s="72"/>
      <c r="AG43" s="72"/>
      <c r="AH43" s="14" t="s">
        <v>30</v>
      </c>
      <c r="AI43" s="26" t="s">
        <v>31</v>
      </c>
      <c r="AJ43" s="29">
        <v>0</v>
      </c>
      <c r="AK43" s="30" t="str">
        <f t="shared" si="2"/>
        <v>N-1 EENS 0</v>
      </c>
      <c r="AL43" s="119">
        <v>0</v>
      </c>
      <c r="AM43" s="15">
        <v>0</v>
      </c>
    </row>
    <row r="44" spans="1:39" ht="16.5" customHeight="1" x14ac:dyDescent="0.35">
      <c r="A44" s="14" t="s">
        <v>30</v>
      </c>
      <c r="B44" s="26" t="s">
        <v>51</v>
      </c>
      <c r="C44" s="126">
        <f t="shared" si="11"/>
        <v>5.7384647096180865</v>
      </c>
      <c r="D44" s="126"/>
      <c r="E44" s="126">
        <f t="shared" si="12"/>
        <v>0</v>
      </c>
      <c r="F44" s="126"/>
      <c r="G44" s="126">
        <f t="shared" si="13"/>
        <v>0</v>
      </c>
      <c r="H44" s="126"/>
      <c r="I44" s="126">
        <f t="shared" si="14"/>
        <v>0</v>
      </c>
      <c r="J44" s="126"/>
      <c r="K44" s="126">
        <f t="shared" si="15"/>
        <v>0</v>
      </c>
      <c r="L44" s="126"/>
      <c r="M44" s="126">
        <f t="shared" si="16"/>
        <v>24.083181578312946</v>
      </c>
      <c r="N44" s="126"/>
      <c r="O44" s="126">
        <f t="shared" si="17"/>
        <v>-49.129690419758411</v>
      </c>
      <c r="P44" s="126"/>
      <c r="Q44" s="126">
        <f t="shared" si="18"/>
        <v>-0.57769839153564773</v>
      </c>
      <c r="R44" s="126"/>
      <c r="S44" s="126">
        <f t="shared" si="19"/>
        <v>0.52483430171772349</v>
      </c>
      <c r="T44" s="126"/>
      <c r="U44" s="126">
        <f t="shared" si="20"/>
        <v>-3.8670916862686724</v>
      </c>
      <c r="V44" s="126"/>
      <c r="W44" s="129">
        <f t="shared" si="21"/>
        <v>-1.5571642072822551</v>
      </c>
      <c r="X44" s="130"/>
      <c r="Y44" s="129">
        <f t="shared" si="22"/>
        <v>41.301013896882587</v>
      </c>
      <c r="Z44" s="130"/>
      <c r="AA44" s="129">
        <f t="shared" si="23"/>
        <v>-2.135411715594139</v>
      </c>
      <c r="AB44" s="130"/>
      <c r="AC44" s="5" t="s">
        <v>62</v>
      </c>
      <c r="AD44" s="72"/>
      <c r="AE44" s="72"/>
      <c r="AF44" s="72"/>
      <c r="AG44" s="72"/>
      <c r="AH44" s="14" t="s">
        <v>30</v>
      </c>
      <c r="AI44" s="26" t="s">
        <v>51</v>
      </c>
      <c r="AJ44" s="29">
        <v>0</v>
      </c>
      <c r="AK44" s="30" t="str">
        <f t="shared" si="2"/>
        <v>N-1 Flexibility-1 0</v>
      </c>
      <c r="AL44" s="25">
        <v>0</v>
      </c>
      <c r="AM44" s="15">
        <v>0</v>
      </c>
    </row>
    <row r="45" spans="1:39" x14ac:dyDescent="0.35">
      <c r="A45" s="14" t="s">
        <v>30</v>
      </c>
      <c r="B45" s="26" t="s">
        <v>52</v>
      </c>
      <c r="C45" s="126">
        <f t="shared" si="11"/>
        <v>0</v>
      </c>
      <c r="D45" s="126"/>
      <c r="E45" s="126">
        <f t="shared" si="12"/>
        <v>0</v>
      </c>
      <c r="F45" s="126"/>
      <c r="G45" s="126">
        <f t="shared" si="13"/>
        <v>0</v>
      </c>
      <c r="H45" s="126"/>
      <c r="I45" s="126">
        <f t="shared" si="14"/>
        <v>0</v>
      </c>
      <c r="J45" s="126"/>
      <c r="K45" s="126">
        <f t="shared" si="15"/>
        <v>0</v>
      </c>
      <c r="L45" s="126"/>
      <c r="M45" s="126">
        <f t="shared" si="16"/>
        <v>2.2671159263240628</v>
      </c>
      <c r="N45" s="126"/>
      <c r="O45" s="126">
        <f t="shared" si="17"/>
        <v>5.8595261853222453</v>
      </c>
      <c r="P45" s="126"/>
      <c r="Q45" s="126">
        <f t="shared" si="18"/>
        <v>-0.91041393311837449</v>
      </c>
      <c r="R45" s="126"/>
      <c r="S45" s="126">
        <f t="shared" si="19"/>
        <v>0</v>
      </c>
      <c r="T45" s="126"/>
      <c r="U45" s="126">
        <f t="shared" si="20"/>
        <v>0.99943786029599591</v>
      </c>
      <c r="V45" s="126"/>
      <c r="W45" s="129">
        <f t="shared" si="21"/>
        <v>0.83597839716347322</v>
      </c>
      <c r="X45" s="130"/>
      <c r="Y45" s="129">
        <f t="shared" si="22"/>
        <v>2.8316014589478842</v>
      </c>
      <c r="Z45" s="130"/>
      <c r="AA45" s="129">
        <f>(VLOOKUP(CONCATENATE($A45," ",$B45," ",$AB$40),$AK:$AM,2,FALSE)-VLOOKUP(CONCATENATE($A45," ",$B45," ",$AA$40),$AK:$AM,2,FALSE))/(VLOOKUP($AB$40,$A$4:$D$18,3,FALSE)-(VLOOKUP($AA$40,$A$4:$D$18,3,FALSE)))</f>
        <v>-0.42352069887243105</v>
      </c>
      <c r="AB45" s="130"/>
      <c r="AC45" s="5" t="s">
        <v>62</v>
      </c>
      <c r="AD45" s="72"/>
      <c r="AE45" s="72"/>
      <c r="AF45" s="72"/>
      <c r="AG45" s="72"/>
      <c r="AH45" s="14" t="s">
        <v>30</v>
      </c>
      <c r="AI45" s="26" t="s">
        <v>52</v>
      </c>
      <c r="AJ45" s="29">
        <v>0</v>
      </c>
      <c r="AK45" s="30" t="str">
        <f t="shared" si="2"/>
        <v>N-1 Flexibility-2-1 0</v>
      </c>
      <c r="AL45" s="25">
        <v>0</v>
      </c>
      <c r="AM45" s="15">
        <v>0</v>
      </c>
    </row>
    <row r="46" spans="1:39" x14ac:dyDescent="0.35">
      <c r="A46" s="14" t="s">
        <v>30</v>
      </c>
      <c r="B46" s="26" t="s">
        <v>53</v>
      </c>
      <c r="C46" s="126">
        <f t="shared" si="11"/>
        <v>0.85865283487327504</v>
      </c>
      <c r="D46" s="126"/>
      <c r="E46" s="126">
        <f t="shared" si="12"/>
        <v>0</v>
      </c>
      <c r="F46" s="126"/>
      <c r="G46" s="126">
        <f t="shared" si="13"/>
        <v>0</v>
      </c>
      <c r="H46" s="126"/>
      <c r="I46" s="126">
        <f t="shared" si="14"/>
        <v>0</v>
      </c>
      <c r="J46" s="126"/>
      <c r="K46" s="126">
        <f t="shared" si="15"/>
        <v>0</v>
      </c>
      <c r="L46" s="126"/>
      <c r="M46" s="126">
        <f t="shared" si="16"/>
        <v>-0.1927088040786715</v>
      </c>
      <c r="N46" s="126"/>
      <c r="O46" s="126">
        <f t="shared" si="17"/>
        <v>0.39312596032048985</v>
      </c>
      <c r="P46" s="126"/>
      <c r="Q46" s="126">
        <f t="shared" si="18"/>
        <v>-1.1634225865190113</v>
      </c>
      <c r="R46" s="126"/>
      <c r="S46" s="126">
        <f t="shared" si="19"/>
        <v>0</v>
      </c>
      <c r="T46" s="126"/>
      <c r="U46" s="126">
        <f t="shared" si="20"/>
        <v>0.14987971602746766</v>
      </c>
      <c r="V46" s="126"/>
      <c r="W46" s="129">
        <f t="shared" si="21"/>
        <v>0.12536667835942389</v>
      </c>
      <c r="X46" s="130"/>
      <c r="Y46" s="129">
        <f t="shared" si="22"/>
        <v>1.6045900347230426</v>
      </c>
      <c r="Z46" s="130"/>
      <c r="AA46" s="129">
        <f t="shared" si="23"/>
        <v>-0.2095891801451103</v>
      </c>
      <c r="AB46" s="130"/>
      <c r="AC46" s="5" t="s">
        <v>62</v>
      </c>
      <c r="AD46" s="72"/>
      <c r="AE46" s="72"/>
      <c r="AF46" s="72"/>
      <c r="AG46" s="72"/>
      <c r="AH46" s="14" t="s">
        <v>30</v>
      </c>
      <c r="AI46" s="26" t="s">
        <v>53</v>
      </c>
      <c r="AJ46" s="29">
        <v>0</v>
      </c>
      <c r="AK46" s="30" t="str">
        <f t="shared" ref="AK46:AK82" si="24">CONCATENATE(AH46," ",AI46," ",AJ46)</f>
        <v>N-1 Flexibility-2-2 0</v>
      </c>
      <c r="AL46" s="25">
        <v>0</v>
      </c>
      <c r="AM46" s="15">
        <v>0</v>
      </c>
    </row>
    <row r="47" spans="1:39" x14ac:dyDescent="0.35">
      <c r="A47" s="14" t="s">
        <v>54</v>
      </c>
      <c r="B47" s="26" t="s">
        <v>24</v>
      </c>
      <c r="C47" s="126">
        <f t="shared" si="11"/>
        <v>7.2712462857313778</v>
      </c>
      <c r="D47" s="126"/>
      <c r="E47" s="126">
        <f t="shared" si="12"/>
        <v>0</v>
      </c>
      <c r="F47" s="126"/>
      <c r="G47" s="126">
        <f t="shared" si="13"/>
        <v>0.21113617985966576</v>
      </c>
      <c r="H47" s="126"/>
      <c r="I47" s="126">
        <f t="shared" si="14"/>
        <v>-2.4056172069439555E-2</v>
      </c>
      <c r="J47" s="126"/>
      <c r="K47" s="126">
        <f t="shared" si="15"/>
        <v>-2.4056172069439555E-2</v>
      </c>
      <c r="L47" s="126"/>
      <c r="M47" s="126">
        <f t="shared" si="16"/>
        <v>25.813149746300823</v>
      </c>
      <c r="N47" s="126"/>
      <c r="O47" s="126">
        <f t="shared" si="17"/>
        <v>-42.176267886837074</v>
      </c>
      <c r="P47" s="126"/>
      <c r="Q47" s="126">
        <f t="shared" si="18"/>
        <v>-2.5002058443882862</v>
      </c>
      <c r="R47" s="126"/>
      <c r="S47" s="126">
        <f t="shared" si="19"/>
        <v>0.65980207386643064</v>
      </c>
      <c r="T47" s="126"/>
      <c r="U47" s="126">
        <f t="shared" si="20"/>
        <v>-2.610530850668066</v>
      </c>
      <c r="V47" s="126"/>
      <c r="W47" s="129">
        <f t="shared" si="21"/>
        <v>-0.50601169492916109</v>
      </c>
      <c r="X47" s="130"/>
      <c r="Y47" s="129">
        <f t="shared" si="22"/>
        <v>45.737006650913713</v>
      </c>
      <c r="Z47" s="130"/>
      <c r="AA47" s="129">
        <f t="shared" si="23"/>
        <v>-2.7692137587136343</v>
      </c>
      <c r="AB47" s="130"/>
      <c r="AC47" s="5" t="s">
        <v>62</v>
      </c>
      <c r="AD47" s="72"/>
      <c r="AE47" s="72"/>
      <c r="AF47" s="72"/>
      <c r="AG47" s="72"/>
      <c r="AH47" s="14" t="s">
        <v>54</v>
      </c>
      <c r="AI47" s="26" t="s">
        <v>24</v>
      </c>
      <c r="AJ47" s="29">
        <v>0</v>
      </c>
      <c r="AK47" s="30" t="str">
        <f t="shared" si="24"/>
        <v>Total Aggregate 0</v>
      </c>
      <c r="AL47" s="25">
        <v>0</v>
      </c>
      <c r="AM47" s="15">
        <v>0</v>
      </c>
    </row>
    <row r="48" spans="1:39" ht="17" x14ac:dyDescent="0.4">
      <c r="A48" s="131" t="s">
        <v>45</v>
      </c>
      <c r="B48" s="131"/>
      <c r="C48" s="123" t="s">
        <v>46</v>
      </c>
      <c r="D48" s="123"/>
      <c r="E48" s="123" t="s">
        <v>47</v>
      </c>
      <c r="F48" s="123"/>
      <c r="G48" s="123" t="s">
        <v>46</v>
      </c>
      <c r="H48" s="123"/>
      <c r="I48" s="123" t="s">
        <v>47</v>
      </c>
      <c r="J48" s="123"/>
      <c r="K48" s="123" t="s">
        <v>47</v>
      </c>
      <c r="L48" s="123"/>
      <c r="M48" s="123" t="s">
        <v>46</v>
      </c>
      <c r="N48" s="123"/>
      <c r="O48" s="123" t="s">
        <v>47</v>
      </c>
      <c r="P48" s="123"/>
      <c r="Q48" s="123" t="s">
        <v>47</v>
      </c>
      <c r="R48" s="123"/>
      <c r="S48" s="123" t="s">
        <v>47</v>
      </c>
      <c r="T48" s="123"/>
      <c r="U48" s="123" t="s">
        <v>47</v>
      </c>
      <c r="V48" s="123"/>
      <c r="W48" s="152" t="s">
        <v>46</v>
      </c>
      <c r="X48" s="153"/>
      <c r="Y48" s="152" t="s">
        <v>46</v>
      </c>
      <c r="Z48" s="153"/>
      <c r="AA48" s="152" t="s">
        <v>47</v>
      </c>
      <c r="AB48" s="153"/>
      <c r="AC48" s="82"/>
      <c r="AD48" s="72"/>
      <c r="AE48" s="72"/>
      <c r="AF48" s="72"/>
      <c r="AG48" s="72"/>
      <c r="AH48" s="14" t="s">
        <v>39</v>
      </c>
      <c r="AI48" s="26" t="s">
        <v>31</v>
      </c>
      <c r="AJ48" s="118">
        <v>6</v>
      </c>
      <c r="AK48" s="42" t="str">
        <f t="shared" si="24"/>
        <v>N-0 EENS 6</v>
      </c>
      <c r="AL48" s="25">
        <f t="shared" ref="AL48:AL53" si="25">H24/1000000</f>
        <v>124.53799716866253</v>
      </c>
      <c r="AM48" s="15">
        <v>0</v>
      </c>
    </row>
    <row r="49" spans="9:39" x14ac:dyDescent="0.35">
      <c r="I49" s="72"/>
      <c r="J49" s="72"/>
      <c r="K49" s="72"/>
      <c r="L49" s="72"/>
      <c r="M49" s="72"/>
      <c r="N49" s="72"/>
      <c r="O49" s="72"/>
      <c r="P49" s="72"/>
      <c r="Q49" s="72"/>
      <c r="R49" s="72"/>
      <c r="S49" s="72"/>
      <c r="T49" s="72"/>
      <c r="AA49" s="72"/>
      <c r="AB49" s="72"/>
      <c r="AC49" s="72"/>
      <c r="AD49" s="72"/>
      <c r="AE49" s="72"/>
      <c r="AF49" s="72"/>
      <c r="AG49" s="72"/>
      <c r="AH49" s="14" t="s">
        <v>39</v>
      </c>
      <c r="AI49" s="26" t="s">
        <v>50</v>
      </c>
      <c r="AJ49" s="118">
        <v>6</v>
      </c>
      <c r="AK49" s="41" t="str">
        <f t="shared" si="24"/>
        <v>N-0 Losses 6</v>
      </c>
      <c r="AL49" s="25">
        <f t="shared" si="25"/>
        <v>0.38716966315450202</v>
      </c>
      <c r="AM49" s="15">
        <v>0</v>
      </c>
    </row>
    <row r="50" spans="9:39" x14ac:dyDescent="0.35">
      <c r="I50" s="72"/>
      <c r="J50" s="72"/>
      <c r="K50" s="72"/>
      <c r="L50" s="72"/>
      <c r="M50" s="72"/>
      <c r="N50" s="72"/>
      <c r="O50" s="72"/>
      <c r="P50" s="72"/>
      <c r="Q50" s="72"/>
      <c r="R50" s="72"/>
      <c r="S50" s="72"/>
      <c r="T50" s="72"/>
      <c r="AA50" s="72"/>
      <c r="AB50" s="72"/>
      <c r="AC50" s="72"/>
      <c r="AD50" s="72"/>
      <c r="AE50" s="72"/>
      <c r="AF50" s="72"/>
      <c r="AG50" s="72"/>
      <c r="AH50" s="14" t="s">
        <v>30</v>
      </c>
      <c r="AI50" s="26" t="s">
        <v>31</v>
      </c>
      <c r="AJ50" s="118">
        <v>6</v>
      </c>
      <c r="AK50" s="41" t="str">
        <f t="shared" si="24"/>
        <v>N-1 EENS 6</v>
      </c>
      <c r="AL50" s="25">
        <f t="shared" si="25"/>
        <v>0.17581996074063852</v>
      </c>
      <c r="AM50" s="15">
        <v>0</v>
      </c>
    </row>
    <row r="51" spans="9:39" x14ac:dyDescent="0.35">
      <c r="I51" s="72"/>
      <c r="J51" s="72"/>
      <c r="K51" s="72"/>
      <c r="L51" s="72"/>
      <c r="M51" s="72"/>
      <c r="N51" s="72"/>
      <c r="O51" s="72"/>
      <c r="P51" s="72"/>
      <c r="Q51" s="72"/>
      <c r="R51" s="72"/>
      <c r="S51" s="72"/>
      <c r="T51" s="72"/>
      <c r="AA51" s="72"/>
      <c r="AB51" s="72"/>
      <c r="AC51" s="72"/>
      <c r="AD51" s="72"/>
      <c r="AE51" s="72"/>
      <c r="AF51" s="72"/>
      <c r="AG51" s="72"/>
      <c r="AH51" s="14" t="s">
        <v>30</v>
      </c>
      <c r="AI51" s="26" t="s">
        <v>51</v>
      </c>
      <c r="AJ51" s="118">
        <v>6</v>
      </c>
      <c r="AK51" s="41" t="str">
        <f t="shared" si="24"/>
        <v>N-1 Flexibility-1 6</v>
      </c>
      <c r="AL51" s="25">
        <f t="shared" si="25"/>
        <v>1061.615971279346</v>
      </c>
      <c r="AM51" s="15">
        <v>0</v>
      </c>
    </row>
    <row r="52" spans="9:39" x14ac:dyDescent="0.35">
      <c r="I52" s="72"/>
      <c r="J52" s="72"/>
      <c r="K52" s="72"/>
      <c r="L52" s="72"/>
      <c r="M52" s="72"/>
      <c r="N52" s="72"/>
      <c r="O52" s="72"/>
      <c r="P52" s="72"/>
      <c r="Q52" s="72"/>
      <c r="R52" s="72"/>
      <c r="S52" s="72"/>
      <c r="T52" s="72"/>
      <c r="AA52" s="72"/>
      <c r="AB52" s="72"/>
      <c r="AC52" s="72"/>
      <c r="AD52" s="72"/>
      <c r="AE52" s="72"/>
      <c r="AF52" s="72"/>
      <c r="AG52" s="72"/>
      <c r="AH52" s="14" t="s">
        <v>30</v>
      </c>
      <c r="AI52" s="26" t="s">
        <v>52</v>
      </c>
      <c r="AJ52" s="118">
        <v>6</v>
      </c>
      <c r="AK52" s="41" t="str">
        <f t="shared" si="24"/>
        <v>N-1 Flexibility-2-1 6</v>
      </c>
      <c r="AL52" s="25">
        <f t="shared" si="25"/>
        <v>0</v>
      </c>
      <c r="AM52" s="15">
        <v>0</v>
      </c>
    </row>
    <row r="53" spans="9:39" x14ac:dyDescent="0.35">
      <c r="I53" s="72"/>
      <c r="J53" s="72"/>
      <c r="K53" s="72"/>
      <c r="L53" s="72"/>
      <c r="M53" s="72"/>
      <c r="N53" s="72"/>
      <c r="O53" s="72"/>
      <c r="P53" s="72"/>
      <c r="Q53" s="72"/>
      <c r="R53" s="72"/>
      <c r="S53" s="72"/>
      <c r="T53" s="72"/>
      <c r="AA53" s="72"/>
      <c r="AB53" s="72"/>
      <c r="AC53" s="72"/>
      <c r="AD53" s="72"/>
      <c r="AE53" s="72"/>
      <c r="AF53" s="72"/>
      <c r="AG53" s="72"/>
      <c r="AH53" s="14" t="s">
        <v>30</v>
      </c>
      <c r="AI53" s="26" t="s">
        <v>53</v>
      </c>
      <c r="AJ53" s="118">
        <v>6</v>
      </c>
      <c r="AK53" s="41" t="str">
        <f t="shared" si="24"/>
        <v>N-1 Flexibility-2-2 6</v>
      </c>
      <c r="AL53" s="25">
        <f t="shared" si="25"/>
        <v>158.85077445155588</v>
      </c>
      <c r="AM53" s="15">
        <v>0</v>
      </c>
    </row>
    <row r="54" spans="9:39" x14ac:dyDescent="0.35">
      <c r="I54" s="72"/>
      <c r="J54" s="72"/>
      <c r="K54" s="72"/>
      <c r="L54" s="72"/>
      <c r="M54" s="72"/>
      <c r="N54" s="72"/>
      <c r="O54" s="72"/>
      <c r="P54" s="72"/>
      <c r="Q54" s="72"/>
      <c r="R54" s="72"/>
      <c r="S54" s="72"/>
      <c r="T54" s="72"/>
      <c r="AA54" s="72"/>
      <c r="AB54" s="72"/>
      <c r="AC54" s="72"/>
      <c r="AD54" s="72"/>
      <c r="AE54" s="72"/>
      <c r="AF54" s="72"/>
      <c r="AG54" s="72"/>
      <c r="AH54" s="14" t="s">
        <v>54</v>
      </c>
      <c r="AI54" s="26" t="s">
        <v>24</v>
      </c>
      <c r="AJ54" s="118">
        <v>6</v>
      </c>
      <c r="AK54" s="41" t="str">
        <f t="shared" si="24"/>
        <v>Total Aggregate 6</v>
      </c>
      <c r="AL54" s="25">
        <f>H30</f>
        <v>1345.1805628603049</v>
      </c>
      <c r="AM54" s="15">
        <v>0</v>
      </c>
    </row>
    <row r="55" spans="9:39" x14ac:dyDescent="0.35">
      <c r="I55" s="72"/>
      <c r="J55" s="72"/>
      <c r="K55" s="72"/>
      <c r="L55" s="72"/>
      <c r="M55" s="72"/>
      <c r="N55" s="72"/>
      <c r="O55" s="72"/>
      <c r="P55" s="72"/>
      <c r="Q55" s="72"/>
      <c r="R55" s="72"/>
      <c r="S55" s="72"/>
      <c r="T55" s="72"/>
      <c r="AA55" s="72"/>
      <c r="AB55" s="72"/>
      <c r="AC55" s="72"/>
      <c r="AD55" s="72"/>
      <c r="AE55" s="72"/>
      <c r="AF55" s="72"/>
      <c r="AG55" s="72"/>
      <c r="AH55" s="14" t="s">
        <v>39</v>
      </c>
      <c r="AI55" s="26" t="s">
        <v>31</v>
      </c>
      <c r="AJ55" s="118">
        <v>7</v>
      </c>
      <c r="AK55" s="41" t="str">
        <f t="shared" si="24"/>
        <v>N-0 EENS 7</v>
      </c>
      <c r="AL55" s="25">
        <f t="shared" ref="AL55:AL60" si="26">I24/1000000</f>
        <v>135.93935088108452</v>
      </c>
      <c r="AM55" s="15">
        <v>0</v>
      </c>
    </row>
    <row r="56" spans="9:39" x14ac:dyDescent="0.35">
      <c r="I56" s="72"/>
      <c r="J56" s="72"/>
      <c r="K56" s="72"/>
      <c r="L56" s="72"/>
      <c r="M56" s="72"/>
      <c r="N56" s="72"/>
      <c r="O56" s="72"/>
      <c r="P56" s="72"/>
      <c r="Q56" s="72"/>
      <c r="R56" s="72"/>
      <c r="S56" s="72"/>
      <c r="T56" s="72"/>
      <c r="AA56" s="72"/>
      <c r="AB56" s="72"/>
      <c r="AC56" s="72"/>
      <c r="AD56" s="72"/>
      <c r="AE56" s="72"/>
      <c r="AF56" s="72"/>
      <c r="AG56" s="72"/>
      <c r="AH56" s="14" t="s">
        <v>39</v>
      </c>
      <c r="AI56" s="26" t="s">
        <v>50</v>
      </c>
      <c r="AJ56" s="118">
        <v>7</v>
      </c>
      <c r="AK56" s="41" t="str">
        <f t="shared" si="24"/>
        <v>N-0 Losses 7</v>
      </c>
      <c r="AL56" s="25">
        <f t="shared" si="26"/>
        <v>0.61491862882412418</v>
      </c>
      <c r="AM56" s="15">
        <v>0</v>
      </c>
    </row>
    <row r="57" spans="9:39" x14ac:dyDescent="0.35">
      <c r="I57" s="72"/>
      <c r="J57" s="72"/>
      <c r="K57" s="72"/>
      <c r="L57" s="72"/>
      <c r="M57" s="72"/>
      <c r="N57" s="72"/>
      <c r="O57" s="72"/>
      <c r="P57" s="72"/>
      <c r="Q57" s="72"/>
      <c r="R57" s="72"/>
      <c r="S57" s="72"/>
      <c r="T57" s="72"/>
      <c r="AA57" s="72"/>
      <c r="AB57" s="72"/>
      <c r="AC57" s="72"/>
      <c r="AD57" s="72"/>
      <c r="AE57" s="72"/>
      <c r="AF57" s="72"/>
      <c r="AG57" s="72"/>
      <c r="AH57" s="14" t="s">
        <v>30</v>
      </c>
      <c r="AI57" s="26" t="s">
        <v>31</v>
      </c>
      <c r="AJ57" s="118">
        <v>7</v>
      </c>
      <c r="AK57" s="41" t="str">
        <f t="shared" si="24"/>
        <v>N-1 EENS 7</v>
      </c>
      <c r="AL57" s="25">
        <f t="shared" si="26"/>
        <v>0.12869297557257003</v>
      </c>
      <c r="AM57" s="15">
        <v>0</v>
      </c>
    </row>
    <row r="58" spans="9:39" x14ac:dyDescent="0.35">
      <c r="I58" s="56"/>
      <c r="J58" s="56"/>
      <c r="K58" s="56"/>
      <c r="L58" s="56"/>
      <c r="M58" s="72"/>
      <c r="N58" s="72"/>
      <c r="O58" s="72"/>
      <c r="P58" s="72"/>
      <c r="Q58" s="72"/>
      <c r="R58" s="72"/>
      <c r="S58" s="72"/>
      <c r="T58" s="72"/>
      <c r="AA58" s="72"/>
      <c r="AB58" s="72"/>
      <c r="AC58" s="72"/>
      <c r="AD58" s="72"/>
      <c r="AE58" s="72"/>
      <c r="AF58" s="72"/>
      <c r="AG58" s="72"/>
      <c r="AH58" s="14" t="s">
        <v>30</v>
      </c>
      <c r="AI58" s="26" t="s">
        <v>51</v>
      </c>
      <c r="AJ58" s="118">
        <v>7</v>
      </c>
      <c r="AK58" s="41" t="str">
        <f t="shared" si="24"/>
        <v>N-1 Flexibility-1 7</v>
      </c>
      <c r="AL58" s="25">
        <f t="shared" si="26"/>
        <v>1061.615971279346</v>
      </c>
      <c r="AM58" s="15">
        <v>0</v>
      </c>
    </row>
    <row r="59" spans="9:39" x14ac:dyDescent="0.35">
      <c r="I59" s="72"/>
      <c r="J59" s="72"/>
      <c r="K59" s="72"/>
      <c r="L59" s="72"/>
      <c r="M59" s="72"/>
      <c r="N59" s="72"/>
      <c r="O59" s="72"/>
      <c r="P59" s="72"/>
      <c r="Q59" s="72"/>
      <c r="R59" s="72"/>
      <c r="S59" s="72"/>
      <c r="T59" s="72"/>
      <c r="AA59" s="72"/>
      <c r="AB59" s="72"/>
      <c r="AC59" s="72"/>
      <c r="AD59" s="72"/>
      <c r="AE59" s="72"/>
      <c r="AF59" s="72"/>
      <c r="AG59" s="72"/>
      <c r="AH59" s="14" t="s">
        <v>30</v>
      </c>
      <c r="AI59" s="26" t="s">
        <v>52</v>
      </c>
      <c r="AJ59" s="118">
        <v>7</v>
      </c>
      <c r="AK59" s="41" t="str">
        <f t="shared" si="24"/>
        <v>N-1 Flexibility-2-1 7</v>
      </c>
      <c r="AL59" s="25">
        <f t="shared" si="26"/>
        <v>262.11106687558333</v>
      </c>
      <c r="AM59" s="15">
        <v>0</v>
      </c>
    </row>
    <row r="60" spans="9:39" x14ac:dyDescent="0.35">
      <c r="I60" s="72"/>
      <c r="J60" s="72"/>
      <c r="K60" s="72"/>
      <c r="L60" s="72"/>
      <c r="M60" s="72"/>
      <c r="N60" s="72"/>
      <c r="O60" s="72"/>
      <c r="P60" s="72"/>
      <c r="Q60" s="72"/>
      <c r="R60" s="72"/>
      <c r="S60" s="72"/>
      <c r="T60" s="72"/>
      <c r="AA60" s="72"/>
      <c r="AB60" s="72"/>
      <c r="AC60" s="72"/>
      <c r="AD60" s="72"/>
      <c r="AE60" s="72"/>
      <c r="AF60" s="72"/>
      <c r="AG60" s="72"/>
      <c r="AH60" s="14" t="s">
        <v>30</v>
      </c>
      <c r="AI60" s="26" t="s">
        <v>53</v>
      </c>
      <c r="AJ60" s="118">
        <v>7</v>
      </c>
      <c r="AK60" s="41" t="str">
        <f t="shared" si="24"/>
        <v>N-1 Flexibility-2-2 7</v>
      </c>
      <c r="AL60" s="25">
        <f t="shared" si="26"/>
        <v>158.85077445155588</v>
      </c>
      <c r="AM60" s="15">
        <v>0</v>
      </c>
    </row>
    <row r="61" spans="9:39" x14ac:dyDescent="0.35">
      <c r="I61" s="72"/>
      <c r="J61" s="72"/>
      <c r="K61" s="72"/>
      <c r="L61" s="72"/>
      <c r="M61" s="72"/>
      <c r="N61" s="72"/>
      <c r="O61" s="72"/>
      <c r="P61" s="72"/>
      <c r="Q61" s="72"/>
      <c r="R61" s="72"/>
      <c r="S61" s="72"/>
      <c r="T61" s="72"/>
      <c r="AA61" s="72"/>
      <c r="AB61" s="72"/>
      <c r="AC61" s="72"/>
      <c r="AD61" s="72"/>
      <c r="AE61" s="72"/>
      <c r="AF61" s="72"/>
      <c r="AG61" s="72"/>
      <c r="AH61" s="14" t="s">
        <v>54</v>
      </c>
      <c r="AI61" s="26" t="s">
        <v>24</v>
      </c>
      <c r="AJ61" s="118">
        <v>7</v>
      </c>
      <c r="AK61" s="41" t="str">
        <f t="shared" si="24"/>
        <v>Total Aggregate 7</v>
      </c>
      <c r="AL61" s="25">
        <f>I30</f>
        <v>1618.6458564631419</v>
      </c>
      <c r="AM61" s="15">
        <v>0</v>
      </c>
    </row>
    <row r="62" spans="9:39" x14ac:dyDescent="0.35">
      <c r="I62" s="72"/>
      <c r="J62" s="72"/>
      <c r="K62" s="72"/>
      <c r="L62" s="72"/>
      <c r="M62" s="72"/>
      <c r="N62" s="72"/>
      <c r="O62" s="72"/>
      <c r="P62" s="72"/>
      <c r="Q62" s="72"/>
      <c r="R62" s="72"/>
      <c r="S62" s="72"/>
      <c r="T62" s="72"/>
      <c r="AA62" s="72"/>
      <c r="AB62" s="72"/>
      <c r="AC62" s="72"/>
      <c r="AD62" s="72"/>
      <c r="AE62" s="72"/>
      <c r="AF62" s="72"/>
      <c r="AG62" s="72"/>
      <c r="AH62" s="14" t="s">
        <v>39</v>
      </c>
      <c r="AI62" s="26" t="s">
        <v>31</v>
      </c>
      <c r="AJ62" s="118">
        <v>8</v>
      </c>
      <c r="AK62" s="41" t="str">
        <f t="shared" si="24"/>
        <v>N-0 EENS 8</v>
      </c>
      <c r="AL62" s="15">
        <f t="shared" ref="AL62:AL67" si="27">J24/1000000</f>
        <v>117.97201165005239</v>
      </c>
      <c r="AM62" s="15">
        <v>0</v>
      </c>
    </row>
    <row r="63" spans="9:39" x14ac:dyDescent="0.35">
      <c r="I63" s="72"/>
      <c r="J63" s="72"/>
      <c r="K63" s="72"/>
      <c r="L63" s="72"/>
      <c r="M63" s="72"/>
      <c r="N63" s="72"/>
      <c r="O63" s="72"/>
      <c r="P63" s="72"/>
      <c r="Q63" s="72"/>
      <c r="R63" s="72"/>
      <c r="S63" s="72"/>
      <c r="T63" s="72"/>
      <c r="AA63" s="72"/>
      <c r="AB63" s="72"/>
      <c r="AC63" s="72"/>
      <c r="AD63" s="72"/>
      <c r="AE63" s="72"/>
      <c r="AF63" s="72"/>
      <c r="AG63" s="72"/>
      <c r="AH63" s="14" t="s">
        <v>39</v>
      </c>
      <c r="AI63" s="26" t="s">
        <v>50</v>
      </c>
      <c r="AJ63" s="118">
        <v>8</v>
      </c>
      <c r="AK63" s="41" t="str">
        <f t="shared" si="24"/>
        <v>N-0 Losses 8</v>
      </c>
      <c r="AL63" s="15">
        <f t="shared" si="27"/>
        <v>0.77101748992003605</v>
      </c>
      <c r="AM63" s="15">
        <v>0</v>
      </c>
    </row>
    <row r="64" spans="9:39" x14ac:dyDescent="0.35">
      <c r="I64" s="72"/>
      <c r="J64" s="72"/>
      <c r="K64" s="72"/>
      <c r="L64" s="72"/>
      <c r="M64" s="72"/>
      <c r="N64" s="72"/>
      <c r="O64" s="72"/>
      <c r="P64" s="72"/>
      <c r="Q64" s="72"/>
      <c r="R64" s="72"/>
      <c r="S64" s="72"/>
      <c r="T64" s="72"/>
      <c r="AA64" s="72"/>
      <c r="AB64" s="72"/>
      <c r="AC64" s="72"/>
      <c r="AD64" s="72"/>
      <c r="AE64" s="72"/>
      <c r="AF64" s="72"/>
      <c r="AG64" s="72"/>
      <c r="AH64" s="14" t="s">
        <v>30</v>
      </c>
      <c r="AI64" s="26" t="s">
        <v>31</v>
      </c>
      <c r="AJ64" s="118">
        <v>8</v>
      </c>
      <c r="AK64" s="41" t="str">
        <f t="shared" si="24"/>
        <v>N-1 EENS 8</v>
      </c>
      <c r="AL64" s="15">
        <f t="shared" si="27"/>
        <v>0.57677252463956219</v>
      </c>
      <c r="AM64" s="15">
        <v>0</v>
      </c>
    </row>
    <row r="65" spans="34:39" x14ac:dyDescent="0.35">
      <c r="AH65" s="14" t="s">
        <v>30</v>
      </c>
      <c r="AI65" s="26" t="s">
        <v>51</v>
      </c>
      <c r="AJ65" s="118">
        <v>8</v>
      </c>
      <c r="AK65" s="41" t="str">
        <f t="shared" si="24"/>
        <v>N-1 Flexibility-1 8</v>
      </c>
      <c r="AL65" s="15">
        <f t="shared" si="27"/>
        <v>2289.8582317733062</v>
      </c>
      <c r="AM65" s="15">
        <v>0</v>
      </c>
    </row>
    <row r="66" spans="34:39" x14ac:dyDescent="0.35">
      <c r="AH66" s="14" t="s">
        <v>30</v>
      </c>
      <c r="AI66" s="26" t="s">
        <v>52</v>
      </c>
      <c r="AJ66" s="118">
        <v>8</v>
      </c>
      <c r="AK66" s="41" t="str">
        <f t="shared" si="24"/>
        <v>N-1 Flexibility-2-1 8</v>
      </c>
      <c r="AL66" s="15">
        <f t="shared" si="27"/>
        <v>115.62291224252721</v>
      </c>
      <c r="AM66" s="15">
        <v>0</v>
      </c>
    </row>
    <row r="67" spans="34:39" x14ac:dyDescent="0.35">
      <c r="AH67" s="14" t="s">
        <v>30</v>
      </c>
      <c r="AI67" s="26" t="s">
        <v>53</v>
      </c>
      <c r="AJ67" s="118">
        <v>8</v>
      </c>
      <c r="AK67" s="41" t="str">
        <f t="shared" si="24"/>
        <v>N-1 Flexibility-2-2 8</v>
      </c>
      <c r="AL67" s="15">
        <f t="shared" si="27"/>
        <v>149.02262544354363</v>
      </c>
      <c r="AM67" s="15">
        <v>0</v>
      </c>
    </row>
    <row r="68" spans="34:39" x14ac:dyDescent="0.35">
      <c r="AH68" s="14" t="s">
        <v>54</v>
      </c>
      <c r="AI68" s="26" t="s">
        <v>24</v>
      </c>
      <c r="AJ68" s="118">
        <v>8</v>
      </c>
      <c r="AK68" s="41" t="str">
        <f t="shared" si="24"/>
        <v>Total Aggregate 8</v>
      </c>
      <c r="AL68" s="15">
        <f>J30</f>
        <v>2673.0525536340688</v>
      </c>
      <c r="AM68" s="15">
        <v>0</v>
      </c>
    </row>
    <row r="69" spans="34:39" x14ac:dyDescent="0.35">
      <c r="AH69" s="14" t="s">
        <v>39</v>
      </c>
      <c r="AI69" s="26" t="s">
        <v>31</v>
      </c>
      <c r="AJ69" s="118">
        <v>9</v>
      </c>
      <c r="AK69" s="41" t="str">
        <f t="shared" si="24"/>
        <v>N-0 EENS 9</v>
      </c>
      <c r="AL69" s="15">
        <f t="shared" ref="AL69:AL74" si="28">K24/1000000</f>
        <v>135.93935088108452</v>
      </c>
      <c r="AM69" s="15">
        <v>0</v>
      </c>
    </row>
    <row r="70" spans="34:39" x14ac:dyDescent="0.35">
      <c r="AH70" s="14" t="s">
        <v>39</v>
      </c>
      <c r="AI70" s="26" t="s">
        <v>50</v>
      </c>
      <c r="AJ70" s="118">
        <v>9</v>
      </c>
      <c r="AK70" s="41" t="str">
        <f t="shared" si="24"/>
        <v>N-0 Losses 9</v>
      </c>
      <c r="AL70" s="15">
        <f t="shared" si="28"/>
        <v>3.1885627007266493</v>
      </c>
      <c r="AM70" s="15">
        <v>0</v>
      </c>
    </row>
    <row r="71" spans="34:39" x14ac:dyDescent="0.35">
      <c r="AH71" s="14" t="s">
        <v>30</v>
      </c>
      <c r="AI71" s="26" t="s">
        <v>31</v>
      </c>
      <c r="AJ71" s="118">
        <v>9</v>
      </c>
      <c r="AK71" s="41" t="str">
        <f t="shared" si="24"/>
        <v>N-1 EENS 9</v>
      </c>
      <c r="AL71" s="15">
        <f t="shared" si="28"/>
        <v>1.6394216194281137</v>
      </c>
      <c r="AM71" s="15">
        <v>0</v>
      </c>
    </row>
    <row r="72" spans="34:39" x14ac:dyDescent="0.35">
      <c r="AH72" s="14" t="s">
        <v>30</v>
      </c>
      <c r="AI72" s="26" t="s">
        <v>51</v>
      </c>
      <c r="AJ72" s="118">
        <v>9</v>
      </c>
      <c r="AK72" s="41" t="str">
        <f t="shared" si="24"/>
        <v>N-1 Flexibility-1 9</v>
      </c>
      <c r="AL72" s="15">
        <f t="shared" si="28"/>
        <v>3092.6242034170195</v>
      </c>
      <c r="AM72" s="15">
        <v>0</v>
      </c>
    </row>
    <row r="73" spans="34:39" x14ac:dyDescent="0.35">
      <c r="AH73" s="14" t="s">
        <v>30</v>
      </c>
      <c r="AI73" s="26" t="s">
        <v>52</v>
      </c>
      <c r="AJ73" s="118">
        <v>9</v>
      </c>
      <c r="AK73" s="41" t="str">
        <f t="shared" si="24"/>
        <v>N-1 Flexibility-2-1 9</v>
      </c>
      <c r="AL73" s="15">
        <f t="shared" si="28"/>
        <v>300.07904664666921</v>
      </c>
      <c r="AM73" s="15">
        <v>0</v>
      </c>
    </row>
    <row r="74" spans="34:39" x14ac:dyDescent="0.35">
      <c r="AH74" s="14" t="s">
        <v>30</v>
      </c>
      <c r="AI74" s="26" t="s">
        <v>53</v>
      </c>
      <c r="AJ74" s="118">
        <v>9</v>
      </c>
      <c r="AK74" s="41" t="str">
        <f t="shared" si="24"/>
        <v>N-1 Flexibility-2-2 9</v>
      </c>
      <c r="AL74" s="15">
        <f t="shared" si="28"/>
        <v>186.9365100182313</v>
      </c>
      <c r="AM74" s="15">
        <v>0</v>
      </c>
    </row>
    <row r="75" spans="34:39" x14ac:dyDescent="0.35">
      <c r="AH75" s="14" t="s">
        <v>54</v>
      </c>
      <c r="AI75" s="26" t="s">
        <v>24</v>
      </c>
      <c r="AJ75" s="118">
        <v>9</v>
      </c>
      <c r="AK75" s="41" t="str">
        <f t="shared" si="24"/>
        <v>Total Aggregate 9</v>
      </c>
      <c r="AL75" s="15">
        <f>K30</f>
        <v>3717.2185325824321</v>
      </c>
      <c r="AM75" s="15">
        <v>0</v>
      </c>
    </row>
    <row r="76" spans="34:39" x14ac:dyDescent="0.35">
      <c r="AH76" s="14" t="s">
        <v>39</v>
      </c>
      <c r="AI76" s="26" t="s">
        <v>31</v>
      </c>
      <c r="AJ76" s="118">
        <v>10</v>
      </c>
      <c r="AK76" s="41" t="str">
        <f t="shared" si="24"/>
        <v>N-0 EENS 10</v>
      </c>
      <c r="AL76" s="15">
        <f t="shared" ref="AL76:AL81" si="29">L24/1000000</f>
        <v>135.93935088108452</v>
      </c>
      <c r="AM76" s="15">
        <v>0</v>
      </c>
    </row>
    <row r="77" spans="34:39" x14ac:dyDescent="0.35">
      <c r="AH77" s="14" t="s">
        <v>39</v>
      </c>
      <c r="AI77" s="26" t="s">
        <v>50</v>
      </c>
      <c r="AJ77" s="118">
        <v>10</v>
      </c>
      <c r="AK77" s="41" t="str">
        <f t="shared" si="24"/>
        <v>N-0 Losses 10</v>
      </c>
      <c r="AL77" s="15">
        <f t="shared" si="29"/>
        <v>0.38716966315450202</v>
      </c>
      <c r="AM77" s="15">
        <v>0</v>
      </c>
    </row>
    <row r="78" spans="34:39" x14ac:dyDescent="0.35">
      <c r="AH78" s="14" t="s">
        <v>30</v>
      </c>
      <c r="AI78" s="26" t="s">
        <v>31</v>
      </c>
      <c r="AJ78" s="118">
        <v>10</v>
      </c>
      <c r="AK78" s="41" t="str">
        <f t="shared" si="24"/>
        <v>N-1 EENS 10</v>
      </c>
      <c r="AL78" s="15">
        <f t="shared" si="29"/>
        <v>0.17581996074063852</v>
      </c>
      <c r="AM78" s="15">
        <v>0</v>
      </c>
    </row>
    <row r="79" spans="34:39" x14ac:dyDescent="0.35">
      <c r="AH79" s="14" t="s">
        <v>30</v>
      </c>
      <c r="AI79" s="26" t="s">
        <v>51</v>
      </c>
      <c r="AJ79" s="118">
        <v>10</v>
      </c>
      <c r="AK79" s="41" t="str">
        <f t="shared" si="24"/>
        <v>N-1 Flexibility-1 10</v>
      </c>
      <c r="AL79" s="15">
        <f t="shared" si="29"/>
        <v>1061.615971279346</v>
      </c>
      <c r="AM79" s="15">
        <v>0</v>
      </c>
    </row>
    <row r="80" spans="34:39" x14ac:dyDescent="0.35">
      <c r="AH80" s="14" t="s">
        <v>30</v>
      </c>
      <c r="AI80" s="26" t="s">
        <v>52</v>
      </c>
      <c r="AJ80" s="118">
        <v>10</v>
      </c>
      <c r="AK80" s="41" t="str">
        <f t="shared" si="24"/>
        <v>N-1 Flexibility-2-1 10</v>
      </c>
      <c r="AL80" s="15">
        <f t="shared" si="29"/>
        <v>0</v>
      </c>
      <c r="AM80" s="15">
        <v>0</v>
      </c>
    </row>
    <row r="81" spans="34:39" x14ac:dyDescent="0.35">
      <c r="AH81" s="14" t="s">
        <v>30</v>
      </c>
      <c r="AI81" s="26" t="s">
        <v>53</v>
      </c>
      <c r="AJ81" s="118">
        <v>10</v>
      </c>
      <c r="AK81" s="41" t="str">
        <f t="shared" si="24"/>
        <v>N-1 Flexibility-2-2 10</v>
      </c>
      <c r="AL81" s="15">
        <f t="shared" si="29"/>
        <v>158.85077445155588</v>
      </c>
      <c r="AM81" s="15">
        <v>0</v>
      </c>
    </row>
    <row r="82" spans="34:39" x14ac:dyDescent="0.35">
      <c r="AH82" s="14" t="s">
        <v>54</v>
      </c>
      <c r="AI82" s="26" t="s">
        <v>24</v>
      </c>
      <c r="AJ82" s="118">
        <v>10</v>
      </c>
      <c r="AK82" s="41" t="str">
        <f t="shared" si="24"/>
        <v>Total Aggregate 10</v>
      </c>
      <c r="AL82" s="15">
        <f>L30</f>
        <v>1356.5819165727269</v>
      </c>
      <c r="AM82" s="15">
        <v>0</v>
      </c>
    </row>
    <row r="83" spans="34:39" x14ac:dyDescent="0.35">
      <c r="AH83" s="14" t="s">
        <v>39</v>
      </c>
      <c r="AI83" s="26" t="s">
        <v>31</v>
      </c>
      <c r="AJ83" s="118">
        <v>11</v>
      </c>
      <c r="AK83" s="41" t="str">
        <f t="shared" ref="AK83:AK103" si="30">CONCATENATE(AH83," ",AI83," ",AJ83)</f>
        <v>N-0 EENS 11</v>
      </c>
      <c r="AL83" s="15">
        <f>M24/1000000</f>
        <v>135.19360954693173</v>
      </c>
      <c r="AM83" s="15">
        <v>0</v>
      </c>
    </row>
    <row r="84" spans="34:39" x14ac:dyDescent="0.35">
      <c r="AH84" s="14" t="s">
        <v>39</v>
      </c>
      <c r="AI84" s="26" t="s">
        <v>50</v>
      </c>
      <c r="AJ84" s="118">
        <v>11</v>
      </c>
      <c r="AK84" s="41" t="str">
        <f t="shared" si="30"/>
        <v>N-0 Losses 11</v>
      </c>
      <c r="AL84" s="15">
        <f t="shared" ref="AL84:AL88" si="31">M25/1000000</f>
        <v>0.38716966315450202</v>
      </c>
      <c r="AM84" s="15">
        <v>0</v>
      </c>
    </row>
    <row r="85" spans="34:39" x14ac:dyDescent="0.35">
      <c r="AH85" s="14" t="s">
        <v>30</v>
      </c>
      <c r="AI85" s="26" t="s">
        <v>31</v>
      </c>
      <c r="AJ85" s="118">
        <v>11</v>
      </c>
      <c r="AK85" s="41" t="str">
        <f t="shared" si="30"/>
        <v>N-1 EENS 11</v>
      </c>
      <c r="AL85" s="15">
        <f t="shared" si="31"/>
        <v>0.17581996074063852</v>
      </c>
      <c r="AM85" s="15">
        <v>0</v>
      </c>
    </row>
    <row r="86" spans="34:39" x14ac:dyDescent="0.35">
      <c r="AH86" s="14" t="s">
        <v>30</v>
      </c>
      <c r="AI86" s="26" t="s">
        <v>51</v>
      </c>
      <c r="AJ86" s="118">
        <v>11</v>
      </c>
      <c r="AK86" s="41" t="str">
        <f t="shared" si="30"/>
        <v>N-1 Flexibility-1 11</v>
      </c>
      <c r="AL86" s="15">
        <f t="shared" si="31"/>
        <v>1061.615971279346</v>
      </c>
      <c r="AM86" s="15">
        <v>0</v>
      </c>
    </row>
    <row r="87" spans="34:39" x14ac:dyDescent="0.35">
      <c r="AH87" s="14" t="s">
        <v>30</v>
      </c>
      <c r="AI87" s="26" t="s">
        <v>52</v>
      </c>
      <c r="AJ87" s="118">
        <v>11</v>
      </c>
      <c r="AK87" s="41" t="str">
        <f t="shared" si="30"/>
        <v>N-1 Flexibility-2-1 11</v>
      </c>
      <c r="AL87" s="15">
        <f t="shared" si="31"/>
        <v>0</v>
      </c>
      <c r="AM87" s="15">
        <v>0</v>
      </c>
    </row>
    <row r="88" spans="34:39" x14ac:dyDescent="0.35">
      <c r="AH88" s="14" t="s">
        <v>30</v>
      </c>
      <c r="AI88" s="26" t="s">
        <v>53</v>
      </c>
      <c r="AJ88" s="118">
        <v>11</v>
      </c>
      <c r="AK88" s="41" t="str">
        <f t="shared" si="30"/>
        <v>N-1 Flexibility-2-2 11</v>
      </c>
      <c r="AL88" s="15">
        <f t="shared" si="31"/>
        <v>158.85077445155588</v>
      </c>
      <c r="AM88" s="15">
        <v>0</v>
      </c>
    </row>
    <row r="89" spans="34:39" x14ac:dyDescent="0.35">
      <c r="AH89" s="14" t="s">
        <v>54</v>
      </c>
      <c r="AI89" s="26" t="s">
        <v>24</v>
      </c>
      <c r="AJ89" s="118">
        <v>11</v>
      </c>
      <c r="AK89" s="41" t="str">
        <f t="shared" si="30"/>
        <v>Total Aggregate 11</v>
      </c>
      <c r="AL89" s="15">
        <f>M30</f>
        <v>1355.8361752385742</v>
      </c>
      <c r="AM89" s="15">
        <v>0</v>
      </c>
    </row>
    <row r="90" spans="34:39" x14ac:dyDescent="0.35">
      <c r="AH90" s="14" t="s">
        <v>39</v>
      </c>
      <c r="AI90" s="26" t="s">
        <v>31</v>
      </c>
      <c r="AJ90" s="118">
        <v>12</v>
      </c>
      <c r="AK90" s="41" t="str">
        <f t="shared" si="30"/>
        <v>N-0 EENS 12</v>
      </c>
      <c r="AL90" s="15">
        <f>N24/1000000</f>
        <v>135.93935088108452</v>
      </c>
      <c r="AM90" s="15">
        <v>0</v>
      </c>
    </row>
    <row r="91" spans="34:39" x14ac:dyDescent="0.35">
      <c r="AH91" s="14" t="s">
        <v>39</v>
      </c>
      <c r="AI91" s="26" t="s">
        <v>50</v>
      </c>
      <c r="AJ91" s="118">
        <v>12</v>
      </c>
      <c r="AK91" s="41" t="str">
        <f t="shared" si="30"/>
        <v>N-0 Losses 12</v>
      </c>
      <c r="AL91" s="15">
        <f t="shared" ref="AL91:AL95" si="32">N25/1000000</f>
        <v>3.0438346938729559</v>
      </c>
      <c r="AM91" s="15">
        <v>0</v>
      </c>
    </row>
    <row r="92" spans="34:39" x14ac:dyDescent="0.35">
      <c r="AH92" s="14" t="s">
        <v>30</v>
      </c>
      <c r="AI92" s="26" t="s">
        <v>31</v>
      </c>
      <c r="AJ92" s="118">
        <v>12</v>
      </c>
      <c r="AK92" s="41" t="str">
        <f t="shared" si="30"/>
        <v>N-1 EENS 12</v>
      </c>
      <c r="AL92" s="15">
        <f t="shared" si="32"/>
        <v>1.8282247752703995</v>
      </c>
      <c r="AM92" s="15">
        <v>0</v>
      </c>
    </row>
    <row r="93" spans="34:39" x14ac:dyDescent="0.35">
      <c r="AH93" s="14" t="s">
        <v>30</v>
      </c>
      <c r="AI93" s="26" t="s">
        <v>51</v>
      </c>
      <c r="AJ93" s="118">
        <v>12</v>
      </c>
      <c r="AK93" s="41" t="str">
        <f t="shared" si="30"/>
        <v>N-1 Flexibility-1 12</v>
      </c>
      <c r="AL93" s="15">
        <f t="shared" si="32"/>
        <v>1956.6250914149036</v>
      </c>
      <c r="AM93" s="15">
        <v>0</v>
      </c>
    </row>
    <row r="94" spans="34:39" x14ac:dyDescent="0.35">
      <c r="AH94" s="14" t="s">
        <v>30</v>
      </c>
      <c r="AI94" s="26" t="s">
        <v>52</v>
      </c>
      <c r="AJ94" s="118">
        <v>12</v>
      </c>
      <c r="AK94" s="41" t="str">
        <f t="shared" si="30"/>
        <v>N-1 Flexibility-2-1 12</v>
      </c>
      <c r="AL94" s="15">
        <f t="shared" si="32"/>
        <v>294.52228923551047</v>
      </c>
      <c r="AM94" s="15">
        <v>0</v>
      </c>
    </row>
    <row r="95" spans="34:39" x14ac:dyDescent="0.35">
      <c r="AH95" s="14" t="s">
        <v>30</v>
      </c>
      <c r="AI95" s="26" t="s">
        <v>53</v>
      </c>
      <c r="AJ95" s="118">
        <v>12</v>
      </c>
      <c r="AK95" s="41" t="str">
        <f t="shared" si="30"/>
        <v>N-1 Flexibility-2-2 12</v>
      </c>
      <c r="AL95" s="15">
        <f t="shared" si="32"/>
        <v>175.85109461246034</v>
      </c>
      <c r="AM95" s="15">
        <v>0</v>
      </c>
    </row>
    <row r="96" spans="34:39" x14ac:dyDescent="0.35">
      <c r="AH96" s="14" t="s">
        <v>54</v>
      </c>
      <c r="AI96" s="26" t="s">
        <v>24</v>
      </c>
      <c r="AJ96" s="118">
        <v>12</v>
      </c>
      <c r="AK96" s="41" t="str">
        <f t="shared" si="30"/>
        <v>Total Aggregate 12</v>
      </c>
      <c r="AL96" s="15">
        <f t="shared" ref="AL96" si="33">N30</f>
        <v>2564.7660509192283</v>
      </c>
      <c r="AM96" s="15">
        <v>0</v>
      </c>
    </row>
    <row r="97" spans="34:39" x14ac:dyDescent="0.35">
      <c r="AH97" s="14" t="s">
        <v>39</v>
      </c>
      <c r="AI97" s="26" t="s">
        <v>31</v>
      </c>
      <c r="AJ97" s="59">
        <v>13</v>
      </c>
      <c r="AK97" s="60" t="str">
        <f t="shared" si="30"/>
        <v>N-0 EENS 13</v>
      </c>
      <c r="AL97" s="15">
        <f>O24/1000000</f>
        <v>124.53799716866253</v>
      </c>
      <c r="AM97" s="15">
        <v>0</v>
      </c>
    </row>
    <row r="98" spans="34:39" x14ac:dyDescent="0.35">
      <c r="AH98" s="14" t="s">
        <v>39</v>
      </c>
      <c r="AI98" s="26" t="s">
        <v>50</v>
      </c>
      <c r="AJ98" s="59">
        <v>13</v>
      </c>
      <c r="AK98" s="60" t="str">
        <f t="shared" si="30"/>
        <v>N-0 Losses 13</v>
      </c>
      <c r="AL98" s="15">
        <f t="shared" ref="AL98:AL102" si="34">O25/1000000</f>
        <v>0.38716966315450202</v>
      </c>
      <c r="AM98" s="15">
        <v>0</v>
      </c>
    </row>
    <row r="99" spans="34:39" x14ac:dyDescent="0.35">
      <c r="AH99" s="14" t="s">
        <v>30</v>
      </c>
      <c r="AI99" s="26" t="s">
        <v>31</v>
      </c>
      <c r="AJ99" s="59">
        <v>13</v>
      </c>
      <c r="AK99" s="60" t="str">
        <f t="shared" si="30"/>
        <v>N-1 EENS 13</v>
      </c>
      <c r="AL99" s="15">
        <f t="shared" si="34"/>
        <v>0.17581996074063852</v>
      </c>
      <c r="AM99" s="15">
        <v>0</v>
      </c>
    </row>
    <row r="100" spans="34:39" x14ac:dyDescent="0.35">
      <c r="AH100" s="14" t="s">
        <v>30</v>
      </c>
      <c r="AI100" s="26" t="s">
        <v>51</v>
      </c>
      <c r="AJ100" s="59">
        <v>13</v>
      </c>
      <c r="AK100" s="60" t="str">
        <f t="shared" si="30"/>
        <v>N-1 Flexibility-1 13</v>
      </c>
      <c r="AL100" s="15">
        <f t="shared" si="34"/>
        <v>1061.615971279346</v>
      </c>
      <c r="AM100" s="15">
        <v>0</v>
      </c>
    </row>
    <row r="101" spans="34:39" x14ac:dyDescent="0.35">
      <c r="AH101" s="14" t="s">
        <v>30</v>
      </c>
      <c r="AI101" s="26" t="s">
        <v>52</v>
      </c>
      <c r="AJ101" s="59">
        <v>13</v>
      </c>
      <c r="AK101" s="60" t="str">
        <f t="shared" si="30"/>
        <v>N-1 Flexibility-2-1 13</v>
      </c>
      <c r="AL101" s="15">
        <f t="shared" si="34"/>
        <v>0</v>
      </c>
      <c r="AM101" s="15">
        <v>0</v>
      </c>
    </row>
    <row r="102" spans="34:39" x14ac:dyDescent="0.35">
      <c r="AH102" s="14" t="s">
        <v>30</v>
      </c>
      <c r="AI102" s="26" t="s">
        <v>53</v>
      </c>
      <c r="AJ102" s="59">
        <v>13</v>
      </c>
      <c r="AK102" s="60" t="str">
        <f t="shared" si="30"/>
        <v>N-1 Flexibility-2-2 13</v>
      </c>
      <c r="AL102" s="15">
        <f t="shared" si="34"/>
        <v>158.85077445155588</v>
      </c>
      <c r="AM102" s="15">
        <v>0</v>
      </c>
    </row>
    <row r="103" spans="34:39" x14ac:dyDescent="0.35">
      <c r="AH103" s="14" t="s">
        <v>54</v>
      </c>
      <c r="AI103" s="26" t="s">
        <v>24</v>
      </c>
      <c r="AJ103" s="59">
        <v>13</v>
      </c>
      <c r="AK103" s="60" t="str">
        <f t="shared" si="30"/>
        <v>Total Aggregate 13</v>
      </c>
      <c r="AL103" s="15">
        <f t="shared" ref="AL103" si="35">O30</f>
        <v>1345.1805628603049</v>
      </c>
      <c r="AM103" s="15">
        <v>0</v>
      </c>
    </row>
    <row r="104" spans="34:39" x14ac:dyDescent="0.35">
      <c r="AH104" s="72"/>
      <c r="AI104" s="72"/>
      <c r="AJ104" s="72"/>
      <c r="AK104" s="72"/>
      <c r="AL104" s="72"/>
      <c r="AM104" s="72"/>
    </row>
    <row r="105" spans="34:39" x14ac:dyDescent="0.35">
      <c r="AH105" s="72"/>
      <c r="AI105" s="72"/>
      <c r="AJ105" s="72"/>
      <c r="AK105" s="72"/>
      <c r="AL105" s="72"/>
      <c r="AM105" s="72"/>
    </row>
    <row r="106" spans="34:39" x14ac:dyDescent="0.35">
      <c r="AH106" s="72"/>
      <c r="AI106" s="72"/>
      <c r="AJ106" s="72"/>
      <c r="AK106" s="72"/>
      <c r="AL106" s="72"/>
      <c r="AM106" s="72"/>
    </row>
    <row r="107" spans="34:39" x14ac:dyDescent="0.35">
      <c r="AH107" s="72"/>
      <c r="AI107" s="72"/>
      <c r="AJ107" s="72"/>
      <c r="AK107" s="72"/>
      <c r="AL107" s="72"/>
      <c r="AM107" s="72"/>
    </row>
    <row r="108" spans="34:39" x14ac:dyDescent="0.35">
      <c r="AH108" s="72"/>
      <c r="AI108" s="72"/>
      <c r="AJ108" s="72"/>
      <c r="AK108" s="72"/>
      <c r="AL108" s="72"/>
      <c r="AM108" s="72"/>
    </row>
    <row r="109" spans="34:39" x14ac:dyDescent="0.35">
      <c r="AH109" s="72"/>
      <c r="AI109" s="72"/>
      <c r="AJ109" s="72"/>
      <c r="AK109" s="72"/>
      <c r="AL109" s="72"/>
      <c r="AM109" s="72"/>
    </row>
    <row r="110" spans="34:39" x14ac:dyDescent="0.35">
      <c r="AH110" s="72"/>
      <c r="AI110" s="72"/>
      <c r="AJ110" s="72"/>
      <c r="AK110" s="72"/>
      <c r="AL110" s="72"/>
      <c r="AM110" s="72"/>
    </row>
    <row r="111" spans="34:39" x14ac:dyDescent="0.35">
      <c r="AH111" s="72"/>
      <c r="AI111" s="72"/>
      <c r="AJ111" s="72"/>
      <c r="AK111" s="72"/>
      <c r="AL111" s="72"/>
      <c r="AM111" s="72"/>
    </row>
    <row r="112" spans="34:39" x14ac:dyDescent="0.35">
      <c r="AH112" s="72"/>
      <c r="AI112" s="72"/>
      <c r="AJ112" s="72"/>
      <c r="AK112" s="72"/>
      <c r="AL112" s="72"/>
      <c r="AM112" s="72"/>
    </row>
    <row r="113" spans="36:38" x14ac:dyDescent="0.35">
      <c r="AJ113" s="72"/>
      <c r="AK113" s="72"/>
      <c r="AL113" s="72"/>
    </row>
    <row r="114" spans="36:38" x14ac:dyDescent="0.35">
      <c r="AJ114" s="72"/>
      <c r="AK114" s="72"/>
      <c r="AL114" s="72"/>
    </row>
    <row r="115" spans="36:38" x14ac:dyDescent="0.35">
      <c r="AJ115" s="72"/>
      <c r="AK115" s="72"/>
      <c r="AL115" s="72"/>
    </row>
    <row r="116" spans="36:38" x14ac:dyDescent="0.35">
      <c r="AJ116" s="72"/>
      <c r="AK116" s="72"/>
      <c r="AL116" s="72"/>
    </row>
    <row r="117" spans="36:38" x14ac:dyDescent="0.35">
      <c r="AJ117" s="72"/>
      <c r="AK117" s="72"/>
      <c r="AL117" s="72"/>
    </row>
    <row r="118" spans="36:38" x14ac:dyDescent="0.35">
      <c r="AJ118" s="72"/>
      <c r="AK118" s="72"/>
      <c r="AL118" s="72"/>
    </row>
    <row r="119" spans="36:38" x14ac:dyDescent="0.35">
      <c r="AJ119" s="72"/>
      <c r="AK119" s="72"/>
      <c r="AL119" s="72"/>
    </row>
    <row r="120" spans="36:38" x14ac:dyDescent="0.35">
      <c r="AJ120" s="72"/>
      <c r="AK120" s="72"/>
      <c r="AL120" s="72"/>
    </row>
    <row r="121" spans="36:38" x14ac:dyDescent="0.35">
      <c r="AJ121" s="72"/>
      <c r="AK121" s="72"/>
      <c r="AL121" s="72"/>
    </row>
    <row r="122" spans="36:38" x14ac:dyDescent="0.35">
      <c r="AJ122" s="72"/>
      <c r="AK122" s="72"/>
      <c r="AL122" s="72"/>
    </row>
    <row r="123" spans="36:38" x14ac:dyDescent="0.35">
      <c r="AJ123" s="72"/>
      <c r="AK123" s="72"/>
      <c r="AL123" s="72"/>
    </row>
    <row r="124" spans="36:38" x14ac:dyDescent="0.35">
      <c r="AJ124" s="72"/>
      <c r="AK124" s="72"/>
      <c r="AL124" s="72"/>
    </row>
    <row r="125" spans="36:38" x14ac:dyDescent="0.35">
      <c r="AJ125" s="72"/>
      <c r="AK125" s="72"/>
      <c r="AL125" s="72"/>
    </row>
    <row r="126" spans="36:38" x14ac:dyDescent="0.35">
      <c r="AJ126" s="72"/>
      <c r="AK126" s="72"/>
      <c r="AL126" s="72"/>
    </row>
    <row r="127" spans="36:38" x14ac:dyDescent="0.35">
      <c r="AJ127" s="72"/>
      <c r="AK127" s="72"/>
      <c r="AL127" s="72"/>
    </row>
    <row r="128" spans="36:38" x14ac:dyDescent="0.35">
      <c r="AJ128" s="72"/>
      <c r="AK128" s="72"/>
      <c r="AL128" s="72"/>
    </row>
    <row r="129" spans="36:38" x14ac:dyDescent="0.35">
      <c r="AJ129" s="72"/>
      <c r="AK129" s="72"/>
      <c r="AL129" s="72"/>
    </row>
    <row r="130" spans="36:38" x14ac:dyDescent="0.35">
      <c r="AJ130" s="72"/>
      <c r="AK130" s="72"/>
      <c r="AL130" s="72"/>
    </row>
    <row r="131" spans="36:38" x14ac:dyDescent="0.35">
      <c r="AJ131" s="72"/>
      <c r="AK131" s="72"/>
      <c r="AL131" s="72"/>
    </row>
    <row r="132" spans="36:38" x14ac:dyDescent="0.35">
      <c r="AJ132" s="72"/>
      <c r="AK132" s="72"/>
      <c r="AL132" s="72"/>
    </row>
  </sheetData>
  <autoFilter ref="A4:D11" xr:uid="{00000000-0009-0000-0000-000002000000}">
    <sortState xmlns:xlrd2="http://schemas.microsoft.com/office/spreadsheetml/2017/richdata2" ref="A5:D18">
      <sortCondition ref="C4:C11"/>
    </sortState>
  </autoFilter>
  <mergeCells count="129">
    <mergeCell ref="AA43:AB43"/>
    <mergeCell ref="AA44:AB44"/>
    <mergeCell ref="AA45:AB45"/>
    <mergeCell ref="AA46:AB46"/>
    <mergeCell ref="AA47:AB47"/>
    <mergeCell ref="AA48:AB48"/>
    <mergeCell ref="Y45:Z45"/>
    <mergeCell ref="Y46:Z46"/>
    <mergeCell ref="Y47:Z47"/>
    <mergeCell ref="Y48:Z48"/>
    <mergeCell ref="Y42:Z42"/>
    <mergeCell ref="Y43:Z43"/>
    <mergeCell ref="Y44:Z44"/>
    <mergeCell ref="U45:V45"/>
    <mergeCell ref="U46:V46"/>
    <mergeCell ref="U47:V47"/>
    <mergeCell ref="U48:V48"/>
    <mergeCell ref="W39:X39"/>
    <mergeCell ref="W41:X41"/>
    <mergeCell ref="W42:X42"/>
    <mergeCell ref="W43:X43"/>
    <mergeCell ref="W44:X44"/>
    <mergeCell ref="W45:X45"/>
    <mergeCell ref="W46:X46"/>
    <mergeCell ref="W47:X47"/>
    <mergeCell ref="W48:X48"/>
    <mergeCell ref="U39:V39"/>
    <mergeCell ref="U41:V41"/>
    <mergeCell ref="U42:V42"/>
    <mergeCell ref="U43:V43"/>
    <mergeCell ref="U44:V44"/>
    <mergeCell ref="AH5:AI5"/>
    <mergeCell ref="A23:B23"/>
    <mergeCell ref="A33:P33"/>
    <mergeCell ref="A34:G34"/>
    <mergeCell ref="A35:B35"/>
    <mergeCell ref="A21:O21"/>
    <mergeCell ref="A38:B40"/>
    <mergeCell ref="C39:D39"/>
    <mergeCell ref="E39:F39"/>
    <mergeCell ref="G39:H39"/>
    <mergeCell ref="I39:J39"/>
    <mergeCell ref="C38:T38"/>
    <mergeCell ref="Q39:R39"/>
    <mergeCell ref="K39:L39"/>
    <mergeCell ref="M39:N39"/>
    <mergeCell ref="A22:B22"/>
    <mergeCell ref="AA39:AB39"/>
    <mergeCell ref="Y39:Z39"/>
    <mergeCell ref="C41:D41"/>
    <mergeCell ref="E41:F41"/>
    <mergeCell ref="G41:H41"/>
    <mergeCell ref="I41:J41"/>
    <mergeCell ref="K41:L41"/>
    <mergeCell ref="S41:T41"/>
    <mergeCell ref="AC38:AC40"/>
    <mergeCell ref="C42:D42"/>
    <mergeCell ref="E42:F42"/>
    <mergeCell ref="G42:H42"/>
    <mergeCell ref="I42:J42"/>
    <mergeCell ref="K42:L42"/>
    <mergeCell ref="M42:N42"/>
    <mergeCell ref="O42:P42"/>
    <mergeCell ref="Q42:R42"/>
    <mergeCell ref="S42:T42"/>
    <mergeCell ref="O39:P39"/>
    <mergeCell ref="S39:T39"/>
    <mergeCell ref="M41:N41"/>
    <mergeCell ref="O41:P41"/>
    <mergeCell ref="Q41:R41"/>
    <mergeCell ref="AA41:AB41"/>
    <mergeCell ref="AA42:AB42"/>
    <mergeCell ref="Y41:Z41"/>
    <mergeCell ref="S43:T43"/>
    <mergeCell ref="C44:D44"/>
    <mergeCell ref="E44:F44"/>
    <mergeCell ref="G44:H44"/>
    <mergeCell ref="I44:J44"/>
    <mergeCell ref="K44:L44"/>
    <mergeCell ref="C43:D43"/>
    <mergeCell ref="E43:F43"/>
    <mergeCell ref="G43:H43"/>
    <mergeCell ref="I43:J43"/>
    <mergeCell ref="S44:T44"/>
    <mergeCell ref="K43:L43"/>
    <mergeCell ref="M43:N43"/>
    <mergeCell ref="O43:P43"/>
    <mergeCell ref="Q43:R43"/>
    <mergeCell ref="S48:T48"/>
    <mergeCell ref="O47:P47"/>
    <mergeCell ref="Q47:R47"/>
    <mergeCell ref="M47:N47"/>
    <mergeCell ref="Q48:R48"/>
    <mergeCell ref="S47:T47"/>
    <mergeCell ref="K46:L46"/>
    <mergeCell ref="C45:D45"/>
    <mergeCell ref="E45:F45"/>
    <mergeCell ref="G45:H45"/>
    <mergeCell ref="I45:J45"/>
    <mergeCell ref="K45:L45"/>
    <mergeCell ref="C47:D47"/>
    <mergeCell ref="E47:F47"/>
    <mergeCell ref="G47:H47"/>
    <mergeCell ref="I47:J47"/>
    <mergeCell ref="K47:L47"/>
    <mergeCell ref="A48:B48"/>
    <mergeCell ref="C48:D48"/>
    <mergeCell ref="E48:F48"/>
    <mergeCell ref="G48:H48"/>
    <mergeCell ref="I48:J48"/>
    <mergeCell ref="B2:O2"/>
    <mergeCell ref="S45:T45"/>
    <mergeCell ref="M44:N44"/>
    <mergeCell ref="O44:P44"/>
    <mergeCell ref="M46:N46"/>
    <mergeCell ref="O46:P46"/>
    <mergeCell ref="Q46:R46"/>
    <mergeCell ref="S46:T46"/>
    <mergeCell ref="Q44:R44"/>
    <mergeCell ref="M45:N45"/>
    <mergeCell ref="O45:P45"/>
    <mergeCell ref="Q45:R45"/>
    <mergeCell ref="C46:D46"/>
    <mergeCell ref="E46:F46"/>
    <mergeCell ref="G46:H46"/>
    <mergeCell ref="I46:J46"/>
    <mergeCell ref="K48:L48"/>
    <mergeCell ref="M48:N48"/>
    <mergeCell ref="O48:P48"/>
  </mergeCells>
  <conditionalFormatting sqref="O41:R41">
    <cfRule type="colorScale" priority="106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41">
    <cfRule type="colorScale" priority="107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41 G41 I41 K41">
    <cfRule type="colorScale" priority="107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41:L41">
    <cfRule type="colorScale" priority="108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41:D41">
    <cfRule type="colorScale" priority="108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M41">
    <cfRule type="colorScale" priority="108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M41:N41">
    <cfRule type="colorScale" priority="108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41 O41">
    <cfRule type="colorScale" priority="108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41:R41">
    <cfRule type="colorScale" priority="40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S41">
    <cfRule type="colorScale" priority="35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U41:V41">
    <cfRule type="colorScale" priority="25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U41">
    <cfRule type="colorScale" priority="25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U41:V41">
    <cfRule type="colorScale" priority="25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41:V41">
    <cfRule type="colorScale" priority="24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W41:X41">
    <cfRule type="colorScale" priority="22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41">
    <cfRule type="colorScale" priority="22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41:X41">
    <cfRule type="colorScale" priority="22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W41:X41">
    <cfRule type="colorScale" priority="22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Y41:Z41">
    <cfRule type="colorScale" priority="19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Y41">
    <cfRule type="colorScale" priority="19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Y41:Z41">
    <cfRule type="colorScale" priority="19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Y41:Z41">
    <cfRule type="colorScale" priority="19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S41:T41">
    <cfRule type="colorScale" priority="109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41:T41">
    <cfRule type="colorScale" priority="109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41:T41">
    <cfRule type="colorScale" priority="109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41:Z41">
    <cfRule type="colorScale" priority="19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42:R42">
    <cfRule type="colorScale" priority="18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42">
    <cfRule type="colorScale" priority="18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42 G42 I42 K42">
    <cfRule type="colorScale" priority="18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42:L42">
    <cfRule type="colorScale" priority="18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42:D42">
    <cfRule type="colorScale" priority="18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M42">
    <cfRule type="colorScale" priority="18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M42:N42">
    <cfRule type="colorScale" priority="18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42 O42">
    <cfRule type="colorScale" priority="18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42:R42">
    <cfRule type="colorScale" priority="18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S42">
    <cfRule type="colorScale" priority="17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U42:V42">
    <cfRule type="colorScale" priority="17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U42">
    <cfRule type="colorScale" priority="17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U42:V42">
    <cfRule type="colorScale" priority="17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42:V42">
    <cfRule type="colorScale" priority="17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W42:X42">
    <cfRule type="colorScale" priority="17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42">
    <cfRule type="colorScale" priority="17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42:X42">
    <cfRule type="colorScale" priority="17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W42:X42">
    <cfRule type="colorScale" priority="17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Y42:Z42">
    <cfRule type="colorScale" priority="16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Y42">
    <cfRule type="colorScale" priority="17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Y42:Z42">
    <cfRule type="colorScale" priority="16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Y42:Z42">
    <cfRule type="colorScale" priority="16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S42:T42">
    <cfRule type="colorScale" priority="18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42:T42">
    <cfRule type="colorScale" priority="19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42:T42">
    <cfRule type="colorScale" priority="19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42:Z42">
    <cfRule type="colorScale" priority="16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43:R43">
    <cfRule type="colorScale" priority="15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43">
    <cfRule type="colorScale" priority="15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43 E43 I43 K43">
    <cfRule type="colorScale" priority="15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43:L43">
    <cfRule type="colorScale" priority="15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43:D43">
    <cfRule type="colorScale" priority="15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M43">
    <cfRule type="colorScale" priority="16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M43:N43">
    <cfRule type="colorScale" priority="16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43 O43">
    <cfRule type="colorScale" priority="16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43:R43">
    <cfRule type="colorScale" priority="15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S43">
    <cfRule type="colorScale" priority="15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U43:V43">
    <cfRule type="colorScale" priority="15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U43">
    <cfRule type="colorScale" priority="15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U43:V43">
    <cfRule type="colorScale" priority="15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43:V43">
    <cfRule type="colorScale" priority="14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W43:X43">
    <cfRule type="colorScale" priority="14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43">
    <cfRule type="colorScale" priority="14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43:X43">
    <cfRule type="colorScale" priority="14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W43:X43">
    <cfRule type="colorScale" priority="14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Y43:Z43">
    <cfRule type="colorScale" priority="14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Y43">
    <cfRule type="colorScale" priority="14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Y43:Z43">
    <cfRule type="colorScale" priority="14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Y43:Z43">
    <cfRule type="colorScale" priority="14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S43:T43">
    <cfRule type="colorScale" priority="16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43:T43">
    <cfRule type="colorScale" priority="16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43:T43">
    <cfRule type="colorScale" priority="16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43:Z43">
    <cfRule type="colorScale" priority="14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44:R44">
    <cfRule type="colorScale" priority="12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44">
    <cfRule type="colorScale" priority="13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44 E44 I44 K44">
    <cfRule type="colorScale" priority="13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44:L44">
    <cfRule type="colorScale" priority="13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44:D44">
    <cfRule type="colorScale" priority="13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M44">
    <cfRule type="colorScale" priority="13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M44:N44">
    <cfRule type="colorScale" priority="13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O44 Q44">
    <cfRule type="colorScale" priority="13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44:R44">
    <cfRule type="colorScale" priority="12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S44">
    <cfRule type="colorScale" priority="12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U44:V44">
    <cfRule type="colorScale" priority="12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U44">
    <cfRule type="colorScale" priority="12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U44:V44">
    <cfRule type="colorScale" priority="12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44:V44">
    <cfRule type="colorScale" priority="12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W44:X44">
    <cfRule type="colorScale" priority="12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44">
    <cfRule type="colorScale" priority="12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44:X44">
    <cfRule type="colorScale" priority="12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W44:X44">
    <cfRule type="colorScale" priority="11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Y44:Z44">
    <cfRule type="colorScale" priority="11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Y44">
    <cfRule type="colorScale" priority="11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Y44:Z44">
    <cfRule type="colorScale" priority="11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Y44:Z44">
    <cfRule type="colorScale" priority="11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S44:T44">
    <cfRule type="colorScale" priority="13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44:T44">
    <cfRule type="colorScale" priority="13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44:T44">
    <cfRule type="colorScale" priority="13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44:Z44">
    <cfRule type="colorScale" priority="1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45:R45">
    <cfRule type="colorScale" priority="10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45">
    <cfRule type="colorScale" priority="10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45 G45 I45 K45">
    <cfRule type="colorScale" priority="10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45:L45">
    <cfRule type="colorScale" priority="10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45:D45">
    <cfRule type="colorScale" priority="10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M45">
    <cfRule type="colorScale" priority="10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M45:N45">
    <cfRule type="colorScale" priority="10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O45 Q45">
    <cfRule type="colorScale" priority="11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45:R45">
    <cfRule type="colorScale" priority="10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S45">
    <cfRule type="colorScale" priority="10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U45:V45">
    <cfRule type="colorScale" priority="9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U45">
    <cfRule type="colorScale" priority="10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U45:V45">
    <cfRule type="colorScale" priority="9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45:V45">
    <cfRule type="colorScale" priority="9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W45:X45">
    <cfRule type="colorScale" priority="9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45">
    <cfRule type="colorScale" priority="9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45:X45">
    <cfRule type="colorScale" priority="9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W45:X45">
    <cfRule type="colorScale" priority="9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Y45:Z45">
    <cfRule type="colorScale" priority="9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Y45">
    <cfRule type="colorScale" priority="9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Y45:Z45">
    <cfRule type="colorScale" priority="9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Y45:Z45">
    <cfRule type="colorScale" priority="8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S45:T45">
    <cfRule type="colorScale" priority="11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45:T45">
    <cfRule type="colorScale" priority="1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45:T45">
    <cfRule type="colorScale" priority="11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45:Z45">
    <cfRule type="colorScale" priority="8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46:R46">
    <cfRule type="colorScale" priority="7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46">
    <cfRule type="colorScale" priority="7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46 G46 I46 K46">
    <cfRule type="colorScale" priority="7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46:L46">
    <cfRule type="colorScale" priority="8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46:D46">
    <cfRule type="colorScale" priority="8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M46">
    <cfRule type="colorScale" priority="8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M46:N46">
    <cfRule type="colorScale" priority="8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O46 Q46">
    <cfRule type="colorScale" priority="8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46:R46">
    <cfRule type="colorScale" priority="7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S46">
    <cfRule type="colorScale" priority="7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U46:V46">
    <cfRule type="colorScale" priority="7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U46">
    <cfRule type="colorScale" priority="7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U46:V46">
    <cfRule type="colorScale" priority="7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46:V46">
    <cfRule type="colorScale" priority="7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W46:X46">
    <cfRule type="colorScale" priority="6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46">
    <cfRule type="colorScale" priority="7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46:X46">
    <cfRule type="colorScale" priority="6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W46:X46">
    <cfRule type="colorScale" priority="6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Y46:Z46">
    <cfRule type="colorScale" priority="6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Y46">
    <cfRule type="colorScale" priority="6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Y46:Z46">
    <cfRule type="colorScale" priority="6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Y46:Z46">
    <cfRule type="colorScale" priority="6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S46:T46">
    <cfRule type="colorScale" priority="8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46:T46">
    <cfRule type="colorScale" priority="8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46:T46">
    <cfRule type="colorScale" priority="8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46:Z46">
    <cfRule type="colorScale" priority="6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47:R47">
    <cfRule type="colorScale" priority="5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47">
    <cfRule type="colorScale" priority="5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47 G47 I47 K47">
    <cfRule type="colorScale" priority="5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47:L47">
    <cfRule type="colorScale" priority="5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47:D47">
    <cfRule type="colorScale" priority="5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M47">
    <cfRule type="colorScale" priority="5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M47:N47">
    <cfRule type="colorScale" priority="5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O47 Q47">
    <cfRule type="colorScale" priority="5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47:R47">
    <cfRule type="colorScale" priority="5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S47">
    <cfRule type="colorScale" priority="4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U47:V47">
    <cfRule type="colorScale" priority="4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U47">
    <cfRule type="colorScale" priority="4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U47:V47">
    <cfRule type="colorScale" priority="4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47:V47">
    <cfRule type="colorScale" priority="4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W47:X47">
    <cfRule type="colorScale" priority="4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47">
    <cfRule type="colorScale" priority="4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47:X47">
    <cfRule type="colorScale" priority="4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W47:X47">
    <cfRule type="colorScale" priority="4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Y47:Z47">
    <cfRule type="colorScale" priority="3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Y47">
    <cfRule type="colorScale" priority="4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Y47:Z47">
    <cfRule type="colorScale" priority="3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Y47:Z47">
    <cfRule type="colorScale" priority="3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S47:T47">
    <cfRule type="colorScale" priority="5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47:T47">
    <cfRule type="colorScale" priority="6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47:T47">
    <cfRule type="colorScale" priority="6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47:Z47">
    <cfRule type="colorScale" priority="3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A41:AB47">
    <cfRule type="colorScale" priority="3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A41:AA47">
    <cfRule type="colorScale" priority="3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A41:AB47">
    <cfRule type="colorScale" priority="3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A41:AB47">
    <cfRule type="colorScale" priority="3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A41:AB47">
    <cfRule type="colorScale" priority="3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34"/>
  <sheetViews>
    <sheetView workbookViewId="0"/>
  </sheetViews>
  <sheetFormatPr defaultRowHeight="14.5" x14ac:dyDescent="0.35"/>
  <cols>
    <col min="2" max="2" width="18.54296875" bestFit="1" customWidth="1"/>
    <col min="3" max="3" width="13.453125" customWidth="1"/>
  </cols>
  <sheetData>
    <row r="1" spans="1:18" s="72" customFormat="1" x14ac:dyDescent="0.35"/>
    <row r="2" spans="1:18" ht="15.5" x14ac:dyDescent="0.35">
      <c r="A2" s="72"/>
      <c r="B2" s="164" t="s">
        <v>63</v>
      </c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72"/>
      <c r="Q2" s="72"/>
      <c r="R2" s="72"/>
    </row>
    <row r="3" spans="1:18" ht="17" x14ac:dyDescent="0.35">
      <c r="A3" s="121"/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67" t="s">
        <v>64</v>
      </c>
      <c r="Q3" s="167"/>
      <c r="R3" s="167"/>
    </row>
    <row r="4" spans="1:18" ht="17" x14ac:dyDescent="0.35">
      <c r="A4" s="57"/>
      <c r="B4" s="55"/>
      <c r="C4" s="166" t="s">
        <v>65</v>
      </c>
      <c r="D4" s="166"/>
      <c r="E4" s="166"/>
      <c r="F4" s="166"/>
      <c r="G4" s="166"/>
      <c r="H4" s="166"/>
      <c r="I4" s="166"/>
      <c r="J4" s="166"/>
      <c r="K4" s="166"/>
      <c r="L4" s="166"/>
      <c r="M4" s="166"/>
      <c r="N4" s="166"/>
      <c r="O4" s="166"/>
      <c r="P4" s="166"/>
      <c r="Q4" s="166"/>
      <c r="R4" s="166"/>
    </row>
    <row r="5" spans="1:18" s="72" customFormat="1" ht="174" x14ac:dyDescent="0.35">
      <c r="A5" s="169"/>
      <c r="B5" s="170"/>
      <c r="C5" s="103" t="s">
        <v>9</v>
      </c>
      <c r="D5" s="103" t="s">
        <v>11</v>
      </c>
      <c r="E5" s="103" t="s">
        <v>12</v>
      </c>
      <c r="F5" s="103" t="s">
        <v>14</v>
      </c>
      <c r="G5" s="103" t="s">
        <v>16</v>
      </c>
      <c r="H5" s="103" t="s">
        <v>13</v>
      </c>
      <c r="I5" s="103" t="s">
        <v>18</v>
      </c>
      <c r="J5" s="103" t="s">
        <v>10</v>
      </c>
      <c r="K5" s="103" t="s">
        <v>20</v>
      </c>
      <c r="L5" s="103" t="s">
        <v>17</v>
      </c>
      <c r="M5" s="103" t="s">
        <v>21</v>
      </c>
      <c r="N5" s="103" t="s">
        <v>19</v>
      </c>
      <c r="O5" s="103" t="s">
        <v>15</v>
      </c>
      <c r="P5" s="171"/>
      <c r="Q5" s="172"/>
      <c r="R5" s="173"/>
    </row>
    <row r="6" spans="1:18" x14ac:dyDescent="0.35">
      <c r="A6" s="165" t="s">
        <v>66</v>
      </c>
      <c r="B6" s="165"/>
      <c r="C6" s="120">
        <v>1</v>
      </c>
      <c r="D6" s="120">
        <v>2</v>
      </c>
      <c r="E6" s="120">
        <v>3</v>
      </c>
      <c r="F6" s="120">
        <v>4</v>
      </c>
      <c r="G6" s="120">
        <v>5</v>
      </c>
      <c r="H6" s="120">
        <v>6</v>
      </c>
      <c r="I6" s="120">
        <v>7</v>
      </c>
      <c r="J6" s="120">
        <v>8</v>
      </c>
      <c r="K6" s="120">
        <v>9</v>
      </c>
      <c r="L6" s="120">
        <v>10</v>
      </c>
      <c r="M6" s="120">
        <v>11</v>
      </c>
      <c r="N6" s="120">
        <v>12</v>
      </c>
      <c r="O6" s="120">
        <v>13</v>
      </c>
      <c r="P6" s="120" t="s">
        <v>67</v>
      </c>
      <c r="Q6" s="120" t="s">
        <v>68</v>
      </c>
      <c r="R6" s="120" t="s">
        <v>69</v>
      </c>
    </row>
    <row r="7" spans="1:18" x14ac:dyDescent="0.35">
      <c r="A7" s="120" t="s">
        <v>30</v>
      </c>
      <c r="B7" s="104" t="s">
        <v>70</v>
      </c>
      <c r="C7" s="103">
        <f>Summary!$D$7/'Alberhill System Project'!$B44</f>
        <v>0.54472972666965369</v>
      </c>
      <c r="D7" s="103">
        <f>Summary!$D$8/'SDG&amp;E'!$B44</f>
        <v>0.46484906453625813</v>
      </c>
      <c r="E7" s="103">
        <f>Summary!$D$9/'Valley S to Valley N to Vista'!$B45</f>
        <v>2.3595391650729356</v>
      </c>
      <c r="F7" s="103">
        <f>Summary!$D$10/'Centralized BESS in Valley S'!$B44</f>
        <v>0.41330929618682227</v>
      </c>
      <c r="G7" s="103">
        <f>Summary!$D$11/'MiraLoma &amp; Centralized BESS VS'!$B44</f>
        <v>0.56923688558714813</v>
      </c>
      <c r="H7" s="103">
        <f>Summary!$D$12/'VS to VN &amp; Distributed BESS VS'!$B45</f>
        <v>1.6167212797721964</v>
      </c>
      <c r="I7" s="103">
        <f>Summary!$D$13/Menifee!$B44</f>
        <v>2.7527956925850914</v>
      </c>
      <c r="J7" s="103">
        <f>Summary!$D$14/'Mira Loma'!$B44</f>
        <v>0.57572152553155609</v>
      </c>
      <c r="K7" s="103">
        <f>Summary!$D$15/'SCE Orange County'!$B44</f>
        <v>0.96091059974452508</v>
      </c>
      <c r="L7" s="103">
        <f>Summary!$D$16/'VS to VN &amp; Central BESS VS VN '!$B45</f>
        <v>2.0886291127867835</v>
      </c>
      <c r="M7" s="103">
        <f>Summary!$D$17/'VS to VN to VST &amp; Cen BESS VS'!$B45</f>
        <v>2.3595391650729356</v>
      </c>
      <c r="N7" s="103">
        <f>Summary!$D$18/'SDG&amp;E and Central BESS in VS'!$B44</f>
        <v>0.49953929323299384</v>
      </c>
      <c r="O7" s="103">
        <f>Summary!$D$19/'Valley South to Valley North'!$B45</f>
        <v>1.6167212797721964</v>
      </c>
      <c r="P7" s="120">
        <f>INDEX($C$6:$O$6,1,MATCH(SMALL($C7:$O7,1),$C7:$O7,0))</f>
        <v>4</v>
      </c>
      <c r="Q7" s="120">
        <f>INDEX($C$6:$O$6,1,MATCH(SMALL($C7:$O7,2),$C7:$O7,0))</f>
        <v>2</v>
      </c>
      <c r="R7" s="120">
        <f>INDEX($C$6:$O$6,1,MATCH(SMALL($C7:$O7,3),$C7:$O7,0))</f>
        <v>12</v>
      </c>
    </row>
    <row r="8" spans="1:18" x14ac:dyDescent="0.35">
      <c r="A8" s="120" t="s">
        <v>30</v>
      </c>
      <c r="B8" s="104" t="s">
        <v>71</v>
      </c>
      <c r="C8" s="103">
        <f>Summary!$D$7/'Alberhill System Project'!$B45</f>
        <v>5.6407050152616227</v>
      </c>
      <c r="D8" s="103">
        <f>Summary!$D$8/'SDG&amp;E'!$B45</f>
        <v>4.6820090712347175</v>
      </c>
      <c r="E8" s="103">
        <f>ABS(Summary!$D$9/'Valley S to Valley N to Vista'!$B46)</f>
        <v>8.8778928825525796</v>
      </c>
      <c r="F8" s="103">
        <f>Summary!$D$10/'Centralized BESS in Valley S'!$B45</f>
        <v>4.1628950590722331</v>
      </c>
      <c r="G8" s="103">
        <f>Summary!$D$11/'MiraLoma &amp; Centralized BESS VS'!$B45</f>
        <v>9.8243060676379965</v>
      </c>
      <c r="H8" s="103">
        <f>ABS(Summary!$D$12/'VS to VN &amp; Distributed BESS VS'!$B46)</f>
        <v>6.0830006787860276</v>
      </c>
      <c r="I8" s="103">
        <f>ABS(Summary!$D$13/Menifee!$B45)</f>
        <v>10.357541696311344</v>
      </c>
      <c r="J8" s="103">
        <f>Summary!$D$14/'Mira Loma'!$B45</f>
        <v>11.802884974097864</v>
      </c>
      <c r="K8" s="103">
        <f>Summary!$D$15/'SCE Orange County'!$B45</f>
        <v>10.099744078532447</v>
      </c>
      <c r="L8" s="103">
        <f>ABS(Summary!$D$16/'VS to VN &amp; Central BESS VS VN '!$B46)</f>
        <v>7.8585792552965437</v>
      </c>
      <c r="M8" s="103">
        <f>ABS(Summary!$D$17/'VS to VN to VST &amp; Cen BESS VS'!$B46)</f>
        <v>8.8778928825525796</v>
      </c>
      <c r="N8" s="103">
        <f>Summary!$D$18/'SDG&amp;E and Central BESS in VS'!$B45</f>
        <v>5.0314127332671594</v>
      </c>
      <c r="O8" s="103">
        <f>ABS(Summary!$D$19/'Valley South to Valley North'!$B46)</f>
        <v>6.0830006787860276</v>
      </c>
      <c r="P8" s="120">
        <f>INDEX($C$6:$O$6,1,MATCH(SMALL($C8:$O8,1),$C8:$O8,0))</f>
        <v>4</v>
      </c>
      <c r="Q8" s="120">
        <f>INDEX($C$6:$O$6,1,MATCH(SMALL($C8:$O8,2),$C8:$O8,0))</f>
        <v>2</v>
      </c>
      <c r="R8" s="120">
        <f>INDEX($C$6:$O$6,1,MATCH(SMALL($C8:$O8,3),$C8:$O8,0))</f>
        <v>12</v>
      </c>
    </row>
    <row r="9" spans="1:18" x14ac:dyDescent="0.35">
      <c r="A9" s="120" t="s">
        <v>30</v>
      </c>
      <c r="B9" s="104" t="s">
        <v>72</v>
      </c>
      <c r="C9" s="103">
        <f>Summary!$D$7/'Alberhill System Project'!$B46</f>
        <v>7.4397407484789859</v>
      </c>
      <c r="D9" s="103">
        <f>Summary!$D$8/'SDG&amp;E'!$B46</f>
        <v>6.3951666318043161</v>
      </c>
      <c r="E9" s="103">
        <f>Summary!$D$9/'Valley S to Valley N to Vista'!$B47</f>
        <v>4.9624432993644652</v>
      </c>
      <c r="F9" s="103">
        <f>Summary!$D$10/'Centralized BESS in Valley S'!$B46</f>
        <v>5.6861076449091685</v>
      </c>
      <c r="G9" s="103">
        <f>Summary!$D$11/'MiraLoma &amp; Centralized BESS VS'!$B46</f>
        <v>6.2018771807194932</v>
      </c>
      <c r="H9" s="103">
        <f>Summary!$D$12/'VS to VN &amp; Distributed BESS VS'!$B47</f>
        <v>3.4001926310460227</v>
      </c>
      <c r="I9" s="103">
        <f>Summary!$D$13/Menifee!$B46</f>
        <v>5.7895171825918759</v>
      </c>
      <c r="J9" s="103">
        <f>Summary!$D$14/'Mira Loma'!$B46</f>
        <v>4.5144995620514603</v>
      </c>
      <c r="K9" s="103">
        <f>Summary!$D$15/'SCE Orange County'!$B46</f>
        <v>11.268692730961771</v>
      </c>
      <c r="L9" s="103">
        <f>Summary!$D$16/'VS to VN &amp; Central BESS VS VN '!$B47</f>
        <v>4.3926812909189152</v>
      </c>
      <c r="M9" s="103">
        <f>Summary!$D$17/'VS to VN to VST &amp; Cen BESS VS'!$B47</f>
        <v>4.9624432993644652</v>
      </c>
      <c r="N9" s="103">
        <f>Summary!$D$18/'SDG&amp;E and Central BESS in VS'!$B46</f>
        <v>6.8724178729837426</v>
      </c>
      <c r="O9" s="103">
        <f>Summary!$D$19/'Valley South to Valley North'!$B47</f>
        <v>3.4001926310460227</v>
      </c>
      <c r="P9" s="120">
        <f>INDEX($C$6:$O$6,1,MATCH(SMALL($C9:$O9,1),$C9:$O9,0))</f>
        <v>6</v>
      </c>
      <c r="Q9" s="120">
        <f>INDEX($C$6:$O$6,1,MATCH(SMALL($C9:$O9,2),$C9:$O9,0))</f>
        <v>6</v>
      </c>
      <c r="R9" s="120">
        <f>INDEX($C$6:$O$6,1,MATCH(SMALL($C9:$O9,3),$C9:$O9,0))</f>
        <v>10</v>
      </c>
    </row>
    <row r="10" spans="1:18" x14ac:dyDescent="0.35">
      <c r="A10" s="120" t="s">
        <v>30</v>
      </c>
      <c r="B10" s="104" t="s">
        <v>73</v>
      </c>
      <c r="C10" s="103">
        <f>Summary!$D$7/'Alberhill System Project'!$B47</f>
        <v>375.64477687234267</v>
      </c>
      <c r="D10" s="103">
        <f>Summary!$D$8/'SDG&amp;E'!$B47</f>
        <v>318.57715369439074</v>
      </c>
      <c r="E10" s="103">
        <f>Summary!$D$9/'Valley S to Valley N to Vista'!$B48</f>
        <v>414.71810926096094</v>
      </c>
      <c r="F10" s="103">
        <f>Summary!$D$10/'Centralized BESS in Valley S'!$B47</f>
        <v>283.25516650439437</v>
      </c>
      <c r="G10" s="103">
        <f>Summary!$D$11/'MiraLoma &amp; Centralized BESS VS'!$B47</f>
        <v>354.79296327225461</v>
      </c>
      <c r="H10" s="103">
        <f>Summary!$D$12/'VS to VN &amp; Distributed BESS VS'!$B48</f>
        <v>284.15870449362137</v>
      </c>
      <c r="I10" s="103">
        <f>ABS(Summary!$D$13/Menifee!$B47)</f>
        <v>483.8377941377878</v>
      </c>
      <c r="J10" s="103">
        <f>Summary!$D$14/'Mira Loma'!$B47</f>
        <v>303.03679388590638</v>
      </c>
      <c r="K10" s="103">
        <f>Summary!$D$15/'SCE Orange County'!$B47</f>
        <v>624.95720028154005</v>
      </c>
      <c r="L10" s="103">
        <f>Summary!$D$16/'VS to VN &amp; Central BESS VS VN '!$B48</f>
        <v>367.10232634581359</v>
      </c>
      <c r="M10" s="103">
        <f>Summary!$D$17/'VS to VN to VST &amp; Cen BESS VS'!$B48</f>
        <v>414.71810926096094</v>
      </c>
      <c r="N10" s="103">
        <f>Summary!$D$18/'SDG&amp;E and Central BESS in VS'!$B47</f>
        <v>342.35156814919605</v>
      </c>
      <c r="O10" s="103">
        <f>Summary!$D$19/'Valley South to Valley North'!$B48</f>
        <v>284.15870449362137</v>
      </c>
      <c r="P10" s="120">
        <f>INDEX($C$6:$O$6,1,MATCH(SMALL($C10:$O10,1),$C10:$O10,0))</f>
        <v>4</v>
      </c>
      <c r="Q10" s="120">
        <f>INDEX($C$6:$O$6,1,MATCH(SMALL($C10:$O10,2),$C10:$O10,0))</f>
        <v>6</v>
      </c>
      <c r="R10" s="120">
        <f>INDEX($C$6:$O$6,1,MATCH(SMALL($C10:$O10,3),$C10:$O10,0))</f>
        <v>6</v>
      </c>
    </row>
    <row r="11" spans="1:18" x14ac:dyDescent="0.35">
      <c r="A11" s="120" t="s">
        <v>30</v>
      </c>
      <c r="B11" s="104" t="s">
        <v>74</v>
      </c>
      <c r="C11" s="103">
        <f>Summary!$D$7/'Alberhill System Project'!$B48</f>
        <v>1.7351792711310472</v>
      </c>
      <c r="D11" s="103">
        <f>Summary!$D$8/'SDG&amp;E'!$B48</f>
        <v>1.4843740628461368</v>
      </c>
      <c r="E11" s="103">
        <f>Summary!$D$9/'Valley S to Valley N to Vista'!$B49</f>
        <v>1.1971783607128008</v>
      </c>
      <c r="F11" s="103">
        <f>Summary!$D$10/'Centralized BESS in Valley S'!$B48</f>
        <v>1.3197952754943263</v>
      </c>
      <c r="G11" s="103">
        <f>Summary!$D$11/'MiraLoma &amp; Centralized BESS VS'!$B48</f>
        <v>1.5936828906259686</v>
      </c>
      <c r="H11" s="103">
        <f>Summary!$D$12/'VS to VN &amp; Distributed BESS VS'!$B49</f>
        <v>0.82028887678469697</v>
      </c>
      <c r="I11" s="103">
        <f>Summary!$D$13/Menifee!$B48</f>
        <v>1.3967080874982678</v>
      </c>
      <c r="J11" s="103">
        <f>Summary!$D$14/'Mira Loma'!$B48</f>
        <v>1.0820651681973059</v>
      </c>
      <c r="K11" s="103">
        <f>Summary!$D$15/'SCE Orange County'!$B48</f>
        <v>2.9659057328100729</v>
      </c>
      <c r="L11" s="103">
        <f>Summary!$D$16/'VS to VN &amp; Central BESS VS VN '!$B49</f>
        <v>1.0597245489272571</v>
      </c>
      <c r="M11" s="103">
        <f>Summary!$D$17/'VS to VN to VST &amp; Cen BESS VS'!$B49</f>
        <v>1.1971783607128008</v>
      </c>
      <c r="N11" s="103">
        <f>Summary!$D$18/'SDG&amp;E and Central BESS in VS'!$B48</f>
        <v>1.5951482466406246</v>
      </c>
      <c r="O11" s="103">
        <f>Summary!$D$19/'Valley South to Valley North'!$B49</f>
        <v>0.82028887678469697</v>
      </c>
      <c r="P11" s="120">
        <f>INDEX($C$6:$O$6,1,MATCH(SMALL($C11:$O11,1),$C11:$O11,0))</f>
        <v>6</v>
      </c>
      <c r="Q11" s="120">
        <f>INDEX($C$6:$O$6,1,MATCH(SMALL($C11:$O11,2),$C11:$O11,0))</f>
        <v>6</v>
      </c>
      <c r="R11" s="120">
        <f>INDEX($C$6:$O$6,1,MATCH(SMALL($C11:$O11,3),$C11:$O11,0))</f>
        <v>10</v>
      </c>
    </row>
    <row r="12" spans="1:18" x14ac:dyDescent="0.35">
      <c r="A12" s="120" t="s">
        <v>30</v>
      </c>
      <c r="B12" s="104" t="s">
        <v>75</v>
      </c>
      <c r="C12" s="105">
        <f>Summary!$D$7/'Alberhill System Project'!$B49</f>
        <v>4.0761058728075884E-3</v>
      </c>
      <c r="D12" s="105">
        <f>Summary!$D$8/'SDG&amp;E'!$B49</f>
        <v>7.7901943857082434E-3</v>
      </c>
      <c r="E12" s="105">
        <f>Summary!$D$9/'Valley S to Valley N to Vista'!$B50</f>
        <v>6.8980589836375901E-3</v>
      </c>
      <c r="F12" s="105">
        <f>Summary!$D$10/'Centralized BESS in Valley S'!$B49</f>
        <v>5.0776802675589197E-3</v>
      </c>
      <c r="G12" s="105">
        <f>Summary!$D$11/'MiraLoma &amp; Centralized BESS VS'!$B49</f>
        <v>5.0172951087629428E-3</v>
      </c>
      <c r="H12" s="105">
        <f>Summary!$D$12/'VS to VN &amp; Distributed BESS VS'!$B50</f>
        <v>4.7264478221220527E-3</v>
      </c>
      <c r="I12" s="105">
        <f>Summary!$D$13/Menifee!$B49</f>
        <v>8.0477354809105218E-3</v>
      </c>
      <c r="J12" s="105">
        <f>Summary!$D$14/'Mira Loma'!$B49</f>
        <v>3.4767050989980282E-3</v>
      </c>
      <c r="K12" s="105">
        <f>Summary!$D$15/'SCE Orange County'!$B49</f>
        <v>7.1141038490958926E-3</v>
      </c>
      <c r="L12" s="105">
        <f>Summary!$D$16/'VS to VN &amp; Central BESS VS VN '!$B50</f>
        <v>6.106059618849571E-3</v>
      </c>
      <c r="M12" s="105">
        <f>Summary!$D$17/'VS to VN to VST &amp; Cen BESS VS'!$B50</f>
        <v>6.8980589836375901E-3</v>
      </c>
      <c r="N12" s="105">
        <f>Summary!$D$18/'SDG&amp;E and Central BESS in VS'!$B49</f>
        <v>6.6829935219383969E-3</v>
      </c>
      <c r="O12" s="105">
        <f>Summary!$D$19/'Valley South to Valley North'!$B50</f>
        <v>4.7264478221220527E-3</v>
      </c>
      <c r="P12" s="120">
        <f t="shared" ref="P12:P14" si="0">INDEX($C$6:$O$6,1,MATCH(SMALL($C12:$O12,1),$C12:$O12,0))</f>
        <v>8</v>
      </c>
      <c r="Q12" s="120">
        <f t="shared" ref="Q12:Q14" si="1">INDEX($C$6:$O$6,1,MATCH(SMALL($C12:$O12,2),$C12:$O12,0))</f>
        <v>1</v>
      </c>
      <c r="R12" s="120">
        <f t="shared" ref="R12:R14" si="2">INDEX($C$6:$O$6,1,MATCH(SMALL($C12:$O12,3),$C12:$O12,0))</f>
        <v>6</v>
      </c>
    </row>
    <row r="13" spans="1:18" x14ac:dyDescent="0.35">
      <c r="A13" s="120" t="s">
        <v>30</v>
      </c>
      <c r="B13" s="104" t="s">
        <v>76</v>
      </c>
      <c r="C13" s="105">
        <f>Summary!$D$7/'Alberhill System Project'!$B50</f>
        <v>3.0805059009250723E-4</v>
      </c>
      <c r="D13" s="105">
        <f>Summary!$D$8/'SDG&amp;E'!$B50</f>
        <v>3.685406089551414E-4</v>
      </c>
      <c r="E13" s="106"/>
      <c r="F13" s="106"/>
      <c r="G13" s="105">
        <f>Summary!$D$11/'MiraLoma &amp; Centralized BESS VS'!$B50</f>
        <v>8.5869523576253084E-4</v>
      </c>
      <c r="H13" s="106"/>
      <c r="I13" s="105">
        <f>Summary!$D$13/Menifee!$B50</f>
        <v>2.7806726635231575E-4</v>
      </c>
      <c r="J13" s="105">
        <f>Summary!$D$14/'Mira Loma'!$B50</f>
        <v>5.804699728930861E-4</v>
      </c>
      <c r="K13" s="105">
        <f>Summary!$D$15/'SCE Orange County'!$B50</f>
        <v>6.2175273456585101E-4</v>
      </c>
      <c r="L13" s="106"/>
      <c r="M13" s="106"/>
      <c r="N13" s="105">
        <f>Summary!$D$18/'SDG&amp;E and Central BESS in VS'!$B50</f>
        <v>3.9604363947418183E-4</v>
      </c>
      <c r="O13" s="106"/>
      <c r="P13" s="120">
        <f t="shared" si="0"/>
        <v>7</v>
      </c>
      <c r="Q13" s="120">
        <f t="shared" si="1"/>
        <v>1</v>
      </c>
      <c r="R13" s="120">
        <f t="shared" si="2"/>
        <v>2</v>
      </c>
    </row>
    <row r="14" spans="1:18" s="66" customFormat="1" x14ac:dyDescent="0.35">
      <c r="A14" s="120" t="s">
        <v>30</v>
      </c>
      <c r="B14" s="104" t="s">
        <v>77</v>
      </c>
      <c r="C14" s="105">
        <f>Summary!$D$7/'Alberhill System Project'!$B51</f>
        <v>7.849385466591047E-4</v>
      </c>
      <c r="D14" s="105">
        <f>Summary!$D$8/'SDG&amp;E'!$B51</f>
        <v>8.9051107967807325E-4</v>
      </c>
      <c r="E14" s="105">
        <f>Summary!$D$9/'Valley S to Valley N to Vista'!$B52</f>
        <v>5.6345857717629176E-4</v>
      </c>
      <c r="F14" s="105">
        <f>Summary!$D$10/'Centralized BESS in Valley S'!$B51</f>
        <v>0.1204876957649718</v>
      </c>
      <c r="G14" s="105">
        <f>Summary!$D$11/'MiraLoma &amp; Centralized BESS VS'!$B51</f>
        <v>9.5086390291055441E-4</v>
      </c>
      <c r="H14" s="105">
        <f>Summary!$D$12/'VS to VN &amp; Distributed BESS VS'!$B52</f>
        <v>3.8607346954671847E-4</v>
      </c>
      <c r="I14" s="105">
        <f>Summary!$D$13/Menifee!$B51</f>
        <v>6.5736834003900712E-4</v>
      </c>
      <c r="J14" s="105">
        <f>Summary!$D$14/'Mira Loma'!$B51</f>
        <v>6.4277513250363821E-4</v>
      </c>
      <c r="K14" s="105">
        <f>Summary!$D$15/'SCE Orange County'!$B51</f>
        <v>1.4469970815381139E-3</v>
      </c>
      <c r="L14" s="105">
        <f>Summary!$D$16/'VS to VN &amp; Central BESS VS VN '!$B52</f>
        <v>4.9876518498197676E-4</v>
      </c>
      <c r="M14" s="105">
        <f>Summary!$D$17/'VS to VN to VST &amp; Cen BESS VS'!$B52</f>
        <v>5.6345857717629176E-4</v>
      </c>
      <c r="N14" s="105">
        <f>Summary!$D$18/'SDG&amp;E and Central BESS in VS'!$B51</f>
        <v>9.5696713040031747E-4</v>
      </c>
      <c r="O14" s="105">
        <f>Summary!$D$19/'Valley South to Valley North'!$B52</f>
        <v>3.8607346954671847E-4</v>
      </c>
      <c r="P14" s="120">
        <f t="shared" si="0"/>
        <v>6</v>
      </c>
      <c r="Q14" s="120">
        <f t="shared" si="1"/>
        <v>6</v>
      </c>
      <c r="R14" s="120">
        <f t="shared" si="2"/>
        <v>10</v>
      </c>
    </row>
    <row r="15" spans="1:18" x14ac:dyDescent="0.35">
      <c r="A15" s="120" t="s">
        <v>39</v>
      </c>
      <c r="B15" s="104" t="s">
        <v>70</v>
      </c>
      <c r="C15" s="103">
        <f>Summary!$D$7/'Alberhill System Project'!$B52</f>
        <v>0.14880822704994326</v>
      </c>
      <c r="D15" s="103">
        <f>Summary!$D$8/'SDG&amp;E'!$B52</f>
        <v>0.12806498969965277</v>
      </c>
      <c r="E15" s="103">
        <f>Summary!$D$9/'Valley S to Valley N to Vista'!$B53</f>
        <v>7.3949250123252264E-2</v>
      </c>
      <c r="F15" s="103">
        <f>Summary!$D$10/'Centralized BESS in Valley S'!$B52</f>
        <v>0.11385877188958961</v>
      </c>
      <c r="G15" s="103">
        <f>Summary!$D$11/'MiraLoma &amp; Centralized BESS VS'!$B52</f>
        <v>0.11713528331087276</v>
      </c>
      <c r="H15" s="103">
        <f>Summary!$D$12/'VS to VN &amp; Distributed BESS VS'!$B53</f>
        <v>5.4059889427989984E-2</v>
      </c>
      <c r="I15" s="103">
        <f>Summary!$D$13/Menifee!$B52</f>
        <v>8.6008424808682801E-2</v>
      </c>
      <c r="J15" s="103">
        <f>Summary!$D$14/'Mira Loma'!$B52</f>
        <v>9.1853016742996313E-2</v>
      </c>
      <c r="K15" s="103">
        <f>Summary!$D$15/'SCE Orange County'!$B52</f>
        <v>0.22007235046285187</v>
      </c>
      <c r="L15" s="103">
        <f>Summary!$D$16/'VS to VN &amp; Central BESS VS VN '!$B53</f>
        <v>6.5257185807222826E-2</v>
      </c>
      <c r="M15" s="103">
        <f>Summary!$D$17/'VS to VN to VST &amp; Cen BESS VS'!$B53</f>
        <v>7.3949250123252264E-2</v>
      </c>
      <c r="N15" s="103">
        <f>Summary!$D$18/'SDG&amp;E and Central BESS in VS'!$B52</f>
        <v>0.13761347969389248</v>
      </c>
      <c r="O15" s="103">
        <f>Summary!$D$19/'Valley South to Valley North'!$B53</f>
        <v>5.4059889427989984E-2</v>
      </c>
      <c r="P15" s="120">
        <f>INDEX($C$6:$O$6,1,MATCH(SMALL($C15:$O15,1),$C15:$O15,0))</f>
        <v>6</v>
      </c>
      <c r="Q15" s="120">
        <f>INDEX($C$6:$O$6,1,MATCH(SMALL($C15:$O15,2),$C15:$O15,0))</f>
        <v>6</v>
      </c>
      <c r="R15" s="120">
        <f>INDEX($C$6:$O$6,1,MATCH(SMALL($C15:$O15,3),$C15:$O15,0))</f>
        <v>10</v>
      </c>
    </row>
    <row r="16" spans="1:18" x14ac:dyDescent="0.35">
      <c r="A16" s="120" t="s">
        <v>39</v>
      </c>
      <c r="B16" s="104" t="s">
        <v>71</v>
      </c>
      <c r="C16" s="103">
        <f>Summary!$D$7/'Alberhill System Project'!$B53</f>
        <v>0.90330932603134573</v>
      </c>
      <c r="D16" s="103">
        <f>Summary!$D$8/'SDG&amp;E'!$B53</f>
        <v>0.77763819668196044</v>
      </c>
      <c r="E16" s="103">
        <f>Summary!$D$9/'Valley S to Valley N to Vista'!$B54</f>
        <v>0.45215317563009683</v>
      </c>
      <c r="F16" s="103">
        <f>Summary!$D$10/'Centralized BESS in Valley S'!$B53</f>
        <v>0.69115594303682781</v>
      </c>
      <c r="G16" s="103">
        <f>Summary!$D$11/'MiraLoma &amp; Centralized BESS VS'!$B53</f>
        <v>0.71104532269256393</v>
      </c>
      <c r="H16" s="103">
        <f>Summary!$D$12/'VS to VN &amp; Distributed BESS VS'!$B54</f>
        <v>0.35083274860453822</v>
      </c>
      <c r="I16" s="103">
        <f>Summary!$D$13/Menifee!$B53</f>
        <v>0.52209621596307143</v>
      </c>
      <c r="J16" s="103">
        <f>Summary!$D$14/'Mira Loma'!$B53</f>
        <v>0.58717445790440814</v>
      </c>
      <c r="K16" s="103">
        <f>Summary!$D$15/'SCE Orange County'!$B53</f>
        <v>1.3359033335436048</v>
      </c>
      <c r="L16" s="103">
        <f>Summary!$D$16/'VS to VN &amp; Central BESS VS VN '!$B54</f>
        <v>0.39613014481007636</v>
      </c>
      <c r="M16" s="103">
        <f>Summary!$D$17/'VS to VN to VST &amp; Cen BESS VS'!$B54</f>
        <v>0.45215317563009683</v>
      </c>
      <c r="N16" s="103">
        <f>Summary!$D$18/'SDG&amp;E and Central BESS in VS'!$B53</f>
        <v>0.83535394554091424</v>
      </c>
      <c r="O16" s="103">
        <f>Summary!$D$19/'Valley South to Valley North'!$B54</f>
        <v>0.35083274860453822</v>
      </c>
      <c r="P16" s="120">
        <f>INDEX($C$6:$O$6,1,MATCH(SMALL($C16:$O16,1),$C16:$O16,0))</f>
        <v>6</v>
      </c>
      <c r="Q16" s="120">
        <f>INDEX($C$6:$O$6,1,MATCH(SMALL($C16:$O16,2),$C16:$O16,0))</f>
        <v>6</v>
      </c>
      <c r="R16" s="120">
        <f>INDEX($C$6:$O$6,1,MATCH(SMALL($C16:$O16,3),$C16:$O16,0))</f>
        <v>10</v>
      </c>
    </row>
    <row r="17" spans="1:18" x14ac:dyDescent="0.35">
      <c r="A17" s="120" t="s">
        <v>39</v>
      </c>
      <c r="B17" s="104" t="s">
        <v>72</v>
      </c>
      <c r="C17" s="103">
        <f>Summary!$D$7/'Alberhill System Project'!$B54</f>
        <v>10.075835722365591</v>
      </c>
      <c r="D17" s="103">
        <f>Summary!$D$8/'SDG&amp;E'!$B54</f>
        <v>8.6707969364894506</v>
      </c>
      <c r="E17" s="103">
        <f>Summary!$D$9/'Valley S to Valley N to Vista'!$B55</f>
        <v>4.9961557064181958</v>
      </c>
      <c r="F17" s="103">
        <f>Summary!$D$10/'Centralized BESS in Valley S'!$B54</f>
        <v>7.7094009105072496</v>
      </c>
      <c r="G17" s="103">
        <f>Summary!$D$11/'MiraLoma &amp; Centralized BESS VS'!$B54</f>
        <v>7.931254174118969</v>
      </c>
      <c r="H17" s="103">
        <f>Summary!$D$12/'VS to VN &amp; Distributed BESS VS'!$B55</f>
        <v>3.7691036765240247</v>
      </c>
      <c r="I17" s="103">
        <f>Summary!$D$13/Menifee!$B54</f>
        <v>5.823648169807635</v>
      </c>
      <c r="J17" s="103">
        <f>Summary!$D$14/'Mira Loma'!$B54</f>
        <v>7.6576550954890612</v>
      </c>
      <c r="K17" s="103">
        <f>Summary!$D$15/'SCE Orange County'!$B54</f>
        <v>14.901144205920488</v>
      </c>
      <c r="L17" s="103">
        <f>Summary!$D$16/'VS to VN &amp; Central BESS VS VN '!$B55</f>
        <v>4.4185775002667453</v>
      </c>
      <c r="M17" s="103">
        <f>Summary!$D$17/'VS to VN to VST &amp; Cen BESS VS'!$B55</f>
        <v>4.9961557064181958</v>
      </c>
      <c r="N17" s="103">
        <f>Summary!$D$18/'SDG&amp;E and Central BESS in VS'!$B54</f>
        <v>9.3178370716922156</v>
      </c>
      <c r="O17" s="103">
        <f>Summary!$D$19/'Valley South to Valley North'!$B55</f>
        <v>3.7691036765240247</v>
      </c>
      <c r="P17" s="120">
        <f>INDEX($C$6:$O$6,1,MATCH(SMALL($C17:$O17,1),$C17:$O17,0))</f>
        <v>6</v>
      </c>
      <c r="Q17" s="120">
        <f>INDEX($C$6:$O$6,1,MATCH(SMALL($C17:$O17,2),$C17:$O17,0))</f>
        <v>6</v>
      </c>
      <c r="R17" s="120">
        <f>INDEX($C$6:$O$6,1,MATCH(SMALL($C17:$O17,3),$C17:$O17,0))</f>
        <v>10</v>
      </c>
    </row>
    <row r="18" spans="1:18" x14ac:dyDescent="0.35">
      <c r="A18" s="120" t="s">
        <v>39</v>
      </c>
      <c r="B18" s="104" t="s">
        <v>73</v>
      </c>
      <c r="C18" s="103">
        <f>Summary!$D$7/'Alberhill System Project'!$B55</f>
        <v>187.42233765990255</v>
      </c>
      <c r="D18" s="103">
        <f>Summary!$D$8/'SDG&amp;E'!$B55</f>
        <v>161.29741122176409</v>
      </c>
      <c r="E18" s="103">
        <f>Summary!$D$9/'Valley S to Valley N to Vista'!$B56</f>
        <v>93.165758439443394</v>
      </c>
      <c r="F18" s="103">
        <f>Summary!$D$10/'Centralized BESS in Valley S'!$B55</f>
        <v>143.40388037464103</v>
      </c>
      <c r="G18" s="103">
        <f>Summary!$D$11/'MiraLoma &amp; Centralized BESS VS'!$B55</f>
        <v>147.53061074513431</v>
      </c>
      <c r="H18" s="103">
        <f>Summary!$D$12/'VS to VN &amp; Distributed BESS VS'!$B56</f>
        <v>70.968521631475696</v>
      </c>
      <c r="I18" s="103">
        <f>Summary!$D$13/Menifee!$B55</f>
        <v>108.32667222544826</v>
      </c>
      <c r="J18" s="103">
        <f>Summary!$D$14/'Mira Loma'!$B55</f>
        <v>131.8430427671444</v>
      </c>
      <c r="K18" s="103">
        <f>Summary!$D$15/'SCE Orange County'!$B55</f>
        <v>277.1787232181311</v>
      </c>
      <c r="L18" s="103">
        <f>Summary!$D$16/'VS to VN &amp; Central BESS VS VN '!$B56</f>
        <v>82.190713212324241</v>
      </c>
      <c r="M18" s="103">
        <f>Summary!$D$17/'VS to VN to VST &amp; Cen BESS VS'!$B56</f>
        <v>93.165758439443394</v>
      </c>
      <c r="N18" s="103">
        <f>Summary!$D$18/'SDG&amp;E and Central BESS in VS'!$B55</f>
        <v>173.32267556071722</v>
      </c>
      <c r="O18" s="103">
        <f>Summary!$D$19/'Valley South to Valley North'!$B56</f>
        <v>70.968521631475696</v>
      </c>
      <c r="P18" s="120">
        <f>INDEX($C$6:$O$6,1,MATCH(SMALL($C18:$O18,1),$C18:$O18,0))</f>
        <v>6</v>
      </c>
      <c r="Q18" s="120">
        <f>INDEX($C$6:$O$6,1,MATCH(SMALL($C18:$O18,2),$C18:$O18,0))</f>
        <v>6</v>
      </c>
      <c r="R18" s="120">
        <f>INDEX($C$6:$O$6,1,MATCH(SMALL($C18:$O18,3),$C18:$O18,0))</f>
        <v>10</v>
      </c>
    </row>
    <row r="19" spans="1:18" x14ac:dyDescent="0.35">
      <c r="A19" s="120" t="s">
        <v>39</v>
      </c>
      <c r="B19" s="104" t="s">
        <v>74</v>
      </c>
      <c r="C19" s="103">
        <f>Summary!$D$7/'Alberhill System Project'!$B56</f>
        <v>6.6482481794982631</v>
      </c>
      <c r="D19" s="103">
        <f>Summary!$D$8/'SDG&amp;E'!$B56</f>
        <v>5.7264814114118785</v>
      </c>
      <c r="E19" s="103">
        <f>Summary!$D$9/'Valley S to Valley N to Vista'!$B57</f>
        <v>3.3345453894576673</v>
      </c>
      <c r="F19" s="103">
        <f>Summary!$D$10/'Centralized BESS in Valley S'!$B56</f>
        <v>5.0868247538546338</v>
      </c>
      <c r="G19" s="103">
        <f>Summary!$D$11/'MiraLoma &amp; Centralized BESS VS'!$B56</f>
        <v>5.2332082000087246</v>
      </c>
      <c r="H19" s="103">
        <f>Summary!$D$12/'VS to VN &amp; Distributed BESS VS'!$B57</f>
        <v>2.5034703271610002</v>
      </c>
      <c r="I19" s="103">
        <f>Summary!$D$13/Menifee!$B56</f>
        <v>3.8425654615448677</v>
      </c>
      <c r="J19" s="103">
        <f>Summary!$D$14/'Mira Loma'!$B56</f>
        <v>3.8808156512487009</v>
      </c>
      <c r="K19" s="103">
        <f>Summary!$D$15/'SCE Orange County'!$B56</f>
        <v>9.8320881333497248</v>
      </c>
      <c r="L19" s="103">
        <f>Summary!$D$16/'VS to VN &amp; Central BESS VS VN '!$B57</f>
        <v>2.9154703025689632</v>
      </c>
      <c r="M19" s="103">
        <f>Summary!$D$17/'VS to VN to VST &amp; Cen BESS VS'!$B57</f>
        <v>3.3345453894576673</v>
      </c>
      <c r="N19" s="103">
        <f>Summary!$D$18/'SDG&amp;E and Central BESS in VS'!$B56</f>
        <v>6.1481047384717886</v>
      </c>
      <c r="O19" s="103">
        <f>Summary!$D$19/'Valley South to Valley North'!$B57</f>
        <v>2.5034703271610002</v>
      </c>
      <c r="P19" s="120">
        <f>INDEX($C$6:$O$6,1,MATCH(SMALL($C19:$O19,1),$C19:$O19,0))</f>
        <v>6</v>
      </c>
      <c r="Q19" s="120">
        <f>INDEX($C$6:$O$6,1,MATCH(SMALL($C19:$O19,2),$C19:$O19,0))</f>
        <v>6</v>
      </c>
      <c r="R19" s="120">
        <f>INDEX($C$6:$O$6,1,MATCH(SMALL($C19:$O19,3),$C19:$O19,0))</f>
        <v>10</v>
      </c>
    </row>
    <row r="20" spans="1:18" x14ac:dyDescent="0.35">
      <c r="A20" s="168" t="s">
        <v>78</v>
      </c>
      <c r="B20" s="168"/>
      <c r="C20" s="107">
        <f t="shared" ref="C20:O20" si="3">COUNTIF($P$7:$P$19,"="&amp;C6)</f>
        <v>0</v>
      </c>
      <c r="D20" s="107">
        <f t="shared" si="3"/>
        <v>0</v>
      </c>
      <c r="E20" s="107">
        <f t="shared" si="3"/>
        <v>0</v>
      </c>
      <c r="F20" s="107">
        <f t="shared" si="3"/>
        <v>3</v>
      </c>
      <c r="G20" s="107">
        <f t="shared" si="3"/>
        <v>0</v>
      </c>
      <c r="H20" s="107">
        <f t="shared" si="3"/>
        <v>8</v>
      </c>
      <c r="I20" s="107">
        <f t="shared" si="3"/>
        <v>1</v>
      </c>
      <c r="J20" s="107">
        <f t="shared" si="3"/>
        <v>1</v>
      </c>
      <c r="K20" s="107">
        <f t="shared" si="3"/>
        <v>0</v>
      </c>
      <c r="L20" s="107">
        <f t="shared" si="3"/>
        <v>0</v>
      </c>
      <c r="M20" s="107">
        <f t="shared" si="3"/>
        <v>0</v>
      </c>
      <c r="N20" s="107">
        <f t="shared" si="3"/>
        <v>0</v>
      </c>
      <c r="O20" s="107">
        <f t="shared" si="3"/>
        <v>0</v>
      </c>
      <c r="P20" s="108"/>
      <c r="Q20" s="108"/>
      <c r="R20" s="108"/>
    </row>
    <row r="23" spans="1:18" ht="15" customHeight="1" x14ac:dyDescent="0.35">
      <c r="A23" s="84"/>
      <c r="B23" s="75"/>
      <c r="C23" s="72"/>
      <c r="D23" s="72"/>
      <c r="E23" s="72"/>
      <c r="F23" s="72"/>
      <c r="G23" s="72"/>
      <c r="H23" s="72"/>
      <c r="I23" s="73"/>
      <c r="J23" s="73"/>
      <c r="K23" s="73"/>
      <c r="L23" s="73"/>
      <c r="M23" s="73"/>
      <c r="N23" s="73"/>
      <c r="O23" s="72"/>
      <c r="P23" s="72"/>
      <c r="Q23" s="72"/>
      <c r="R23" s="72"/>
    </row>
    <row r="24" spans="1:18" ht="21" x14ac:dyDescent="0.35">
      <c r="A24" s="84"/>
      <c r="B24" s="75"/>
      <c r="C24" s="72"/>
      <c r="D24" s="72"/>
      <c r="E24" s="72"/>
      <c r="F24" s="72"/>
      <c r="G24" s="72"/>
      <c r="H24" s="72"/>
      <c r="I24" s="73"/>
      <c r="J24" s="73"/>
      <c r="K24" s="73"/>
      <c r="L24" s="73"/>
      <c r="M24" s="73"/>
      <c r="N24" s="73"/>
      <c r="O24" s="72"/>
      <c r="P24" s="72"/>
      <c r="Q24" s="72"/>
      <c r="R24" s="72"/>
    </row>
    <row r="25" spans="1:18" ht="21" x14ac:dyDescent="0.35">
      <c r="A25" s="84"/>
      <c r="B25" s="75"/>
      <c r="C25" s="72"/>
      <c r="D25" s="72"/>
      <c r="E25" s="72"/>
      <c r="F25" s="72"/>
      <c r="G25" s="72"/>
      <c r="H25" s="72"/>
      <c r="I25" s="73"/>
      <c r="J25" s="73"/>
      <c r="K25" s="73"/>
      <c r="L25" s="73"/>
      <c r="M25" s="73"/>
      <c r="N25" s="73"/>
      <c r="O25" s="72"/>
      <c r="P25" s="72"/>
      <c r="Q25" s="72"/>
      <c r="R25" s="72"/>
    </row>
    <row r="26" spans="1:18" ht="21" x14ac:dyDescent="0.35">
      <c r="A26" s="84"/>
      <c r="B26" s="75"/>
      <c r="C26" s="72"/>
      <c r="D26" s="72"/>
      <c r="E26" s="72"/>
      <c r="F26" s="72"/>
      <c r="G26" s="72"/>
      <c r="H26" s="72"/>
      <c r="I26" s="73"/>
      <c r="J26" s="73"/>
      <c r="K26" s="73"/>
      <c r="L26" s="73"/>
      <c r="M26" s="73"/>
      <c r="N26" s="73"/>
      <c r="O26" s="72"/>
      <c r="P26" s="72"/>
      <c r="Q26" s="72"/>
      <c r="R26" s="72"/>
    </row>
    <row r="27" spans="1:18" ht="21" x14ac:dyDescent="0.35">
      <c r="A27" s="84"/>
      <c r="B27" s="75"/>
      <c r="C27" s="72"/>
      <c r="D27" s="72"/>
      <c r="E27" s="72"/>
      <c r="F27" s="72"/>
      <c r="G27" s="72"/>
      <c r="H27" s="72"/>
      <c r="I27" s="73"/>
      <c r="J27" s="73"/>
      <c r="K27" s="73"/>
      <c r="L27" s="73"/>
      <c r="M27" s="73"/>
      <c r="N27" s="73"/>
      <c r="O27" s="72"/>
      <c r="P27" s="72"/>
      <c r="Q27" s="72"/>
      <c r="R27" s="72"/>
    </row>
    <row r="28" spans="1:18" ht="15" customHeight="1" x14ac:dyDescent="0.35">
      <c r="A28" s="84"/>
      <c r="B28" s="75"/>
      <c r="C28" s="72"/>
      <c r="D28" s="72"/>
      <c r="E28" s="72"/>
      <c r="F28" s="72"/>
      <c r="G28" s="72"/>
      <c r="H28" s="72"/>
      <c r="I28" s="73"/>
      <c r="J28" s="73"/>
      <c r="K28" s="73"/>
      <c r="L28" s="73"/>
      <c r="M28" s="73"/>
      <c r="N28" s="73"/>
      <c r="O28" s="72"/>
      <c r="P28" s="72"/>
      <c r="Q28" s="72"/>
      <c r="R28" s="72"/>
    </row>
    <row r="29" spans="1:18" ht="15" customHeight="1" x14ac:dyDescent="0.35">
      <c r="A29" s="84"/>
      <c r="B29" s="75"/>
      <c r="C29" s="72"/>
      <c r="D29" s="72"/>
      <c r="E29" s="72"/>
      <c r="F29" s="72"/>
      <c r="G29" s="72"/>
      <c r="H29" s="72"/>
      <c r="I29" s="73"/>
      <c r="J29" s="73"/>
      <c r="K29" s="73"/>
      <c r="L29" s="73"/>
      <c r="M29" s="73"/>
      <c r="N29" s="73"/>
      <c r="O29" s="72"/>
      <c r="P29" s="72"/>
      <c r="Q29" s="72"/>
      <c r="R29" s="72"/>
    </row>
    <row r="30" spans="1:18" x14ac:dyDescent="0.35">
      <c r="A30" s="84"/>
      <c r="B30" s="75"/>
      <c r="C30" s="72"/>
      <c r="D30" s="72"/>
      <c r="E30" s="72"/>
      <c r="F30" s="72"/>
      <c r="G30" s="72"/>
      <c r="H30" s="72"/>
      <c r="I30" s="72"/>
      <c r="J30" s="72"/>
      <c r="K30" s="72"/>
      <c r="L30" s="72"/>
      <c r="M30" s="72"/>
      <c r="N30" s="72"/>
      <c r="O30" s="72"/>
      <c r="P30" s="72"/>
      <c r="Q30" s="72"/>
      <c r="R30" s="72"/>
    </row>
    <row r="31" spans="1:18" x14ac:dyDescent="0.35">
      <c r="A31" s="84"/>
      <c r="B31" s="75"/>
      <c r="C31" s="72"/>
      <c r="D31" s="72"/>
      <c r="E31" s="72"/>
      <c r="F31" s="72"/>
      <c r="G31" s="72"/>
      <c r="H31" s="72"/>
      <c r="I31" s="72"/>
      <c r="J31" s="72"/>
      <c r="K31" s="72"/>
      <c r="L31" s="72"/>
      <c r="M31" s="72"/>
      <c r="N31" s="72"/>
      <c r="O31" s="72"/>
      <c r="P31" s="72"/>
      <c r="Q31" s="72"/>
      <c r="R31" s="72"/>
    </row>
    <row r="32" spans="1:18" x14ac:dyDescent="0.35">
      <c r="A32" s="84"/>
      <c r="B32" s="75"/>
      <c r="C32" s="72"/>
      <c r="D32" s="72"/>
      <c r="E32" s="72"/>
      <c r="F32" s="72"/>
      <c r="G32" s="72"/>
      <c r="H32" s="72"/>
      <c r="I32" s="72"/>
      <c r="J32" s="72"/>
      <c r="K32" s="72"/>
      <c r="L32" s="72"/>
      <c r="M32" s="72"/>
      <c r="N32" s="72"/>
      <c r="O32" s="72"/>
      <c r="P32" s="72"/>
      <c r="Q32" s="72"/>
      <c r="R32" s="72"/>
    </row>
    <row r="33" spans="1:2" x14ac:dyDescent="0.35">
      <c r="A33" s="84"/>
      <c r="B33" s="75"/>
    </row>
    <row r="34" spans="1:2" x14ac:dyDescent="0.35">
      <c r="A34" s="84"/>
      <c r="B34" s="75"/>
    </row>
  </sheetData>
  <mergeCells count="7">
    <mergeCell ref="B2:O2"/>
    <mergeCell ref="A6:B6"/>
    <mergeCell ref="C4:O4"/>
    <mergeCell ref="P3:R4"/>
    <mergeCell ref="A20:B20"/>
    <mergeCell ref="A5:B5"/>
    <mergeCell ref="P5:R5"/>
  </mergeCells>
  <conditionalFormatting sqref="C7:N7">
    <cfRule type="colorScale" priority="10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7:N7">
    <cfRule type="colorScale" priority="11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7:N7">
    <cfRule type="colorScale" priority="11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O7">
    <cfRule type="colorScale" priority="10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O7">
    <cfRule type="colorScale" priority="10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O7">
    <cfRule type="colorScale" priority="10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7:O7">
    <cfRule type="colorScale" priority="9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8:N8">
    <cfRule type="colorScale" priority="9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8:N8">
    <cfRule type="colorScale" priority="9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8:N8">
    <cfRule type="colorScale" priority="9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O8">
    <cfRule type="colorScale" priority="8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O8">
    <cfRule type="colorScale" priority="8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O8">
    <cfRule type="colorScale" priority="8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8:O8">
    <cfRule type="colorScale" priority="8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9:N9">
    <cfRule type="colorScale" priority="8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9:N9">
    <cfRule type="colorScale" priority="8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9:N9">
    <cfRule type="colorScale" priority="8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O9">
    <cfRule type="colorScale" priority="8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O9">
    <cfRule type="colorScale" priority="8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O9">
    <cfRule type="colorScale" priority="8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9:O9">
    <cfRule type="colorScale" priority="7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10:N10">
    <cfRule type="colorScale" priority="7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10:N10">
    <cfRule type="colorScale" priority="7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10:N10">
    <cfRule type="colorScale" priority="7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O10">
    <cfRule type="colorScale" priority="7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O10">
    <cfRule type="colorScale" priority="7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O10">
    <cfRule type="colorScale" priority="7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10:O10">
    <cfRule type="colorScale" priority="7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11:N11">
    <cfRule type="colorScale" priority="6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11:N11">
    <cfRule type="colorScale" priority="7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11:N11">
    <cfRule type="colorScale" priority="7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O11">
    <cfRule type="colorScale" priority="6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O11">
    <cfRule type="colorScale" priority="6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O11">
    <cfRule type="colorScale" priority="6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11:O11">
    <cfRule type="colorScale" priority="6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12:N12">
    <cfRule type="colorScale" priority="6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12:N12">
    <cfRule type="colorScale" priority="6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12:N12">
    <cfRule type="colorScale" priority="6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O12">
    <cfRule type="colorScale" priority="5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O12">
    <cfRule type="colorScale" priority="6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O12">
    <cfRule type="colorScale" priority="6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12:O12">
    <cfRule type="colorScale" priority="1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5:N15">
    <cfRule type="colorScale" priority="4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15:N15">
    <cfRule type="colorScale" priority="4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15:N15">
    <cfRule type="colorScale" priority="5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O15">
    <cfRule type="colorScale" priority="4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O15">
    <cfRule type="colorScale" priority="4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O15">
    <cfRule type="colorScale" priority="4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15:O15">
    <cfRule type="colorScale" priority="4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16:N16">
    <cfRule type="colorScale" priority="4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16:N16">
    <cfRule type="colorScale" priority="4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16:N16">
    <cfRule type="colorScale" priority="4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O16">
    <cfRule type="colorScale" priority="3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O16">
    <cfRule type="colorScale" priority="3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O16">
    <cfRule type="colorScale" priority="4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16:O16">
    <cfRule type="colorScale" priority="3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17:N17">
    <cfRule type="colorScale" priority="3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17:N17">
    <cfRule type="colorScale" priority="3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17:N17">
    <cfRule type="colorScale" priority="3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O17">
    <cfRule type="colorScale" priority="3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O17">
    <cfRule type="colorScale" priority="3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O17">
    <cfRule type="colorScale" priority="3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17:O17">
    <cfRule type="colorScale" priority="3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18:N18">
    <cfRule type="colorScale" priority="2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18:N18">
    <cfRule type="colorScale" priority="2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18:N18">
    <cfRule type="colorScale" priority="2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O18">
    <cfRule type="colorScale" priority="2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O18">
    <cfRule type="colorScale" priority="2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O18">
    <cfRule type="colorScale" priority="2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18:O18">
    <cfRule type="colorScale" priority="2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19:N19">
    <cfRule type="colorScale" priority="2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19:N19">
    <cfRule type="colorScale" priority="2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19:N19">
    <cfRule type="colorScale" priority="2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O19">
    <cfRule type="colorScale" priority="1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O19">
    <cfRule type="colorScale" priority="1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O19">
    <cfRule type="colorScale" priority="1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19:O19">
    <cfRule type="colorScale" priority="1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13:N13 C14:D14">
    <cfRule type="colorScale" priority="1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13:N13">
    <cfRule type="colorScale" priority="1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13:N13">
    <cfRule type="colorScale" priority="1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O13">
    <cfRule type="colorScale" priority="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O13">
    <cfRule type="colorScale" priority="1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O13">
    <cfRule type="colorScale" priority="1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13:O13 C14:D14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13">
    <cfRule type="colorScale" priority="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O13">
    <cfRule type="colorScale" priority="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O13">
    <cfRule type="colorScale" priority="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14:O14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14:O14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14:O14">
    <cfRule type="colorScale" priority="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14:O14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D15"/>
  <sheetViews>
    <sheetView workbookViewId="0"/>
  </sheetViews>
  <sheetFormatPr defaultRowHeight="14.5" x14ac:dyDescent="0.35"/>
  <cols>
    <col min="1" max="1" width="63.54296875" customWidth="1"/>
    <col min="2" max="2" width="13.81640625" style="16" customWidth="1"/>
    <col min="3" max="3" width="10.453125" style="16" customWidth="1"/>
    <col min="4" max="4" width="9.1796875" style="16"/>
  </cols>
  <sheetData>
    <row r="2" spans="1:4" x14ac:dyDescent="0.35">
      <c r="A2" s="12" t="s">
        <v>79</v>
      </c>
      <c r="B2" s="13" t="s">
        <v>80</v>
      </c>
      <c r="C2" s="24" t="s">
        <v>81</v>
      </c>
      <c r="D2" s="24" t="s">
        <v>82</v>
      </c>
    </row>
    <row r="3" spans="1:4" ht="15.5" x14ac:dyDescent="0.35">
      <c r="A3" s="7" t="s">
        <v>83</v>
      </c>
      <c r="B3" s="22">
        <v>0.1</v>
      </c>
      <c r="C3" s="21"/>
      <c r="D3" s="21" t="s">
        <v>84</v>
      </c>
    </row>
    <row r="4" spans="1:4" ht="31" x14ac:dyDescent="0.35">
      <c r="A4" s="20" t="s">
        <v>85</v>
      </c>
      <c r="B4" s="23">
        <v>40</v>
      </c>
      <c r="C4" s="21" t="s">
        <v>86</v>
      </c>
      <c r="D4" s="21" t="s">
        <v>87</v>
      </c>
    </row>
    <row r="5" spans="1:4" ht="15.5" x14ac:dyDescent="0.35">
      <c r="A5" s="7" t="s">
        <v>88</v>
      </c>
      <c r="B5" s="23">
        <v>1.0249999999999999</v>
      </c>
      <c r="C5" s="21"/>
      <c r="D5" s="21" t="s">
        <v>89</v>
      </c>
    </row>
    <row r="6" spans="1:4" ht="15.5" x14ac:dyDescent="0.35">
      <c r="A6" s="7" t="s">
        <v>90</v>
      </c>
      <c r="B6" s="22">
        <v>0.9</v>
      </c>
      <c r="C6" s="21"/>
      <c r="D6" s="21" t="s">
        <v>91</v>
      </c>
    </row>
    <row r="7" spans="1:4" ht="15.5" x14ac:dyDescent="0.35">
      <c r="A7" s="7" t="s">
        <v>92</v>
      </c>
      <c r="B7" s="22">
        <f>1-B6</f>
        <v>9.9999999999999978E-2</v>
      </c>
      <c r="C7" s="21"/>
      <c r="D7" s="21" t="s">
        <v>91</v>
      </c>
    </row>
    <row r="8" spans="1:4" ht="31" x14ac:dyDescent="0.35">
      <c r="A8" s="20" t="s">
        <v>93</v>
      </c>
      <c r="B8" s="109">
        <v>4.1725000000000003</v>
      </c>
      <c r="C8" s="21" t="s">
        <v>94</v>
      </c>
      <c r="D8" s="21" t="s">
        <v>95</v>
      </c>
    </row>
    <row r="9" spans="1:4" ht="31" x14ac:dyDescent="0.35">
      <c r="A9" s="20" t="s">
        <v>96</v>
      </c>
      <c r="B9" s="109">
        <v>3.5212500000000002</v>
      </c>
      <c r="C9" s="21" t="s">
        <v>94</v>
      </c>
      <c r="D9" s="21" t="s">
        <v>95</v>
      </c>
    </row>
    <row r="10" spans="1:4" ht="31" x14ac:dyDescent="0.35">
      <c r="A10" s="20" t="s">
        <v>97</v>
      </c>
      <c r="B10" s="110">
        <v>154.70249999999999</v>
      </c>
      <c r="C10" s="21" t="s">
        <v>94</v>
      </c>
      <c r="D10" s="21" t="s">
        <v>95</v>
      </c>
    </row>
    <row r="11" spans="1:4" ht="31" x14ac:dyDescent="0.35">
      <c r="A11" s="20" t="s">
        <v>98</v>
      </c>
      <c r="B11" s="110">
        <v>142.85312500000003</v>
      </c>
      <c r="C11" s="21" t="s">
        <v>94</v>
      </c>
      <c r="D11" s="21" t="s">
        <v>95</v>
      </c>
    </row>
    <row r="12" spans="1:4" s="52" customFormat="1" ht="15.5" x14ac:dyDescent="0.35">
      <c r="A12" s="7" t="s">
        <v>99</v>
      </c>
      <c r="B12" s="110">
        <f>0.13*0.13</f>
        <v>1.6900000000000002E-2</v>
      </c>
      <c r="C12" s="21"/>
      <c r="D12" s="21" t="s">
        <v>100</v>
      </c>
    </row>
    <row r="13" spans="1:4" ht="15" customHeight="1" x14ac:dyDescent="0.35">
      <c r="A13" s="7" t="s">
        <v>101</v>
      </c>
      <c r="B13" s="109">
        <v>0.01</v>
      </c>
      <c r="C13" s="21"/>
      <c r="D13" s="21" t="s">
        <v>100</v>
      </c>
    </row>
    <row r="14" spans="1:4" ht="15.5" x14ac:dyDescent="0.35">
      <c r="A14" s="48" t="s">
        <v>102</v>
      </c>
      <c r="B14" s="109">
        <v>1</v>
      </c>
      <c r="C14" s="21" t="s">
        <v>103</v>
      </c>
      <c r="D14" s="21" t="s">
        <v>89</v>
      </c>
    </row>
    <row r="15" spans="1:4" ht="15.5" x14ac:dyDescent="0.35">
      <c r="A15" s="49" t="s">
        <v>104</v>
      </c>
      <c r="B15" s="109">
        <v>1</v>
      </c>
      <c r="C15" s="21"/>
      <c r="D15" s="21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F67"/>
  <sheetViews>
    <sheetView zoomScale="60" zoomScaleNormal="60" workbookViewId="0"/>
  </sheetViews>
  <sheetFormatPr defaultRowHeight="14.5" x14ac:dyDescent="0.35"/>
  <cols>
    <col min="1" max="1" width="18.81640625" customWidth="1"/>
    <col min="2" max="2" width="28.7265625" customWidth="1"/>
    <col min="3" max="3" width="27" customWidth="1"/>
    <col min="4" max="4" width="21.26953125" customWidth="1"/>
    <col min="5" max="5" width="19.1796875" customWidth="1"/>
    <col min="6" max="6" width="21.453125" customWidth="1"/>
    <col min="7" max="7" width="18.81640625" customWidth="1"/>
    <col min="8" max="8" width="16.54296875" customWidth="1"/>
    <col min="9" max="13" width="17.81640625" customWidth="1"/>
    <col min="14" max="24" width="18.81640625" customWidth="1"/>
    <col min="25" max="29" width="19.81640625" customWidth="1"/>
    <col min="30" max="30" width="19.81640625" bestFit="1" customWidth="1"/>
    <col min="31" max="32" width="10" bestFit="1" customWidth="1"/>
  </cols>
  <sheetData>
    <row r="1" spans="1:32" ht="20" thickBot="1" x14ac:dyDescent="0.5">
      <c r="A1" s="113"/>
      <c r="B1" s="122"/>
      <c r="C1" s="113" t="s">
        <v>105</v>
      </c>
      <c r="D1" s="113">
        <v>2022</v>
      </c>
      <c r="E1" s="113">
        <v>2023</v>
      </c>
      <c r="F1" s="113">
        <v>2024</v>
      </c>
      <c r="G1" s="113">
        <v>2025</v>
      </c>
      <c r="H1" s="113">
        <v>2026</v>
      </c>
      <c r="I1" s="113">
        <v>2027</v>
      </c>
      <c r="J1" s="113">
        <v>2028</v>
      </c>
      <c r="K1" s="113">
        <v>2029</v>
      </c>
      <c r="L1" s="113">
        <v>2030</v>
      </c>
      <c r="M1" s="113">
        <v>2031</v>
      </c>
      <c r="N1" s="113">
        <v>2032</v>
      </c>
      <c r="O1" s="113">
        <v>2033</v>
      </c>
      <c r="P1" s="113">
        <v>2034</v>
      </c>
      <c r="Q1" s="113">
        <v>2035</v>
      </c>
      <c r="R1" s="113">
        <v>2036</v>
      </c>
      <c r="S1" s="113">
        <v>2037</v>
      </c>
      <c r="T1" s="113">
        <v>2038</v>
      </c>
      <c r="U1" s="113">
        <v>2039</v>
      </c>
      <c r="V1" s="113">
        <v>2040</v>
      </c>
      <c r="W1" s="113">
        <v>2041</v>
      </c>
      <c r="X1" s="113">
        <v>2042</v>
      </c>
      <c r="Y1" s="113">
        <v>2043</v>
      </c>
      <c r="Z1" s="113">
        <v>2044</v>
      </c>
      <c r="AA1" s="113">
        <v>2045</v>
      </c>
      <c r="AB1" s="113">
        <v>2046</v>
      </c>
      <c r="AC1" s="113">
        <v>2047</v>
      </c>
      <c r="AD1" s="113">
        <v>2048</v>
      </c>
      <c r="AE1" s="72"/>
      <c r="AF1" s="72"/>
    </row>
    <row r="2" spans="1:32" ht="15" thickTop="1" x14ac:dyDescent="0.35">
      <c r="A2" s="72" t="s">
        <v>106</v>
      </c>
      <c r="B2" s="174" t="s">
        <v>26</v>
      </c>
      <c r="C2" s="72" t="s">
        <v>107</v>
      </c>
      <c r="D2" s="53">
        <v>49666.999999999534</v>
      </c>
      <c r="E2" s="53">
        <v>50103.790384614935</v>
      </c>
      <c r="F2" s="53">
        <v>50540.580769230335</v>
      </c>
      <c r="G2" s="53">
        <v>50977.371153845736</v>
      </c>
      <c r="H2" s="53">
        <v>51414.161538461136</v>
      </c>
      <c r="I2" s="53">
        <v>51850.951923076536</v>
      </c>
      <c r="J2" s="53">
        <v>52287.742307691937</v>
      </c>
      <c r="K2" s="53">
        <v>51698.184615384183</v>
      </c>
      <c r="L2" s="53">
        <v>51988.353846153419</v>
      </c>
      <c r="M2" s="53">
        <v>52278.523076922655</v>
      </c>
      <c r="N2" s="53">
        <v>52568.69230769189</v>
      </c>
      <c r="O2" s="53">
        <v>52858.861538461126</v>
      </c>
      <c r="P2" s="53">
        <v>53149.030769230361</v>
      </c>
      <c r="Q2" s="53">
        <v>53439.199999999597</v>
      </c>
      <c r="R2" s="53">
        <v>53729.369230768832</v>
      </c>
      <c r="S2" s="53">
        <v>54019.538461538068</v>
      </c>
      <c r="T2" s="53">
        <v>54309.707692307304</v>
      </c>
      <c r="U2" s="53">
        <v>54599.876923076539</v>
      </c>
      <c r="V2" s="53">
        <v>54890.046153845775</v>
      </c>
      <c r="W2" s="53">
        <v>55180.21538461501</v>
      </c>
      <c r="X2" s="53">
        <v>55470.384615384246</v>
      </c>
      <c r="Y2" s="53">
        <v>55760.553846153482</v>
      </c>
      <c r="Z2" s="53">
        <v>56050.723076922717</v>
      </c>
      <c r="AA2" s="53">
        <v>56340.892307691953</v>
      </c>
      <c r="AB2" s="53">
        <v>56631.061538461188</v>
      </c>
      <c r="AC2" s="53">
        <v>56921.230769230424</v>
      </c>
      <c r="AD2" s="53">
        <v>57211.399999999638</v>
      </c>
      <c r="AE2" s="53"/>
      <c r="AF2" s="72"/>
    </row>
    <row r="3" spans="1:32" x14ac:dyDescent="0.35">
      <c r="A3" s="72" t="s">
        <v>30</v>
      </c>
      <c r="B3" s="175"/>
      <c r="C3" s="72" t="s">
        <v>31</v>
      </c>
      <c r="D3" s="53">
        <v>10</v>
      </c>
      <c r="E3" s="53">
        <v>20.5</v>
      </c>
      <c r="F3" s="53">
        <v>29.879999999999995</v>
      </c>
      <c r="G3" s="53">
        <v>39.259999999999991</v>
      </c>
      <c r="H3" s="53">
        <v>48.639999999999986</v>
      </c>
      <c r="I3" s="53">
        <v>58.019999999999982</v>
      </c>
      <c r="J3" s="53">
        <v>67.399999999999977</v>
      </c>
      <c r="K3" s="53">
        <v>57.599999999999966</v>
      </c>
      <c r="L3" s="53">
        <v>49.800000000000011</v>
      </c>
      <c r="M3" s="53">
        <v>41.5</v>
      </c>
      <c r="N3" s="53">
        <v>53.700000000000017</v>
      </c>
      <c r="O3" s="53">
        <v>75.066666666666691</v>
      </c>
      <c r="P3" s="53">
        <v>96.433333333333366</v>
      </c>
      <c r="Q3" s="53">
        <v>117.80000000000004</v>
      </c>
      <c r="R3" s="53">
        <v>139.16666666666671</v>
      </c>
      <c r="S3" s="53">
        <v>160.53333333333339</v>
      </c>
      <c r="T3" s="53">
        <v>181.90000000000003</v>
      </c>
      <c r="U3" s="53">
        <v>244.23000000000002</v>
      </c>
      <c r="V3" s="53">
        <v>306.56</v>
      </c>
      <c r="W3" s="53">
        <v>368.89</v>
      </c>
      <c r="X3" s="53">
        <v>431.21999999999997</v>
      </c>
      <c r="Y3" s="53">
        <v>453.7000000000001</v>
      </c>
      <c r="Z3" s="53">
        <v>524.00000000000011</v>
      </c>
      <c r="AA3" s="53">
        <v>594.30000000000007</v>
      </c>
      <c r="AB3" s="53">
        <v>664.6</v>
      </c>
      <c r="AC3" s="53">
        <v>734.9</v>
      </c>
      <c r="AD3" s="53">
        <v>805.2</v>
      </c>
      <c r="AE3" s="72"/>
      <c r="AF3" s="72"/>
    </row>
    <row r="4" spans="1:32" x14ac:dyDescent="0.35">
      <c r="A4" s="72" t="s">
        <v>30</v>
      </c>
      <c r="B4" s="175"/>
      <c r="C4" s="72" t="s">
        <v>32</v>
      </c>
      <c r="D4" s="53">
        <v>2</v>
      </c>
      <c r="E4" s="53">
        <v>3</v>
      </c>
      <c r="F4" s="53">
        <v>4.6799999999999953</v>
      </c>
      <c r="G4" s="53">
        <v>6.3599999999999905</v>
      </c>
      <c r="H4" s="53">
        <v>8.0399999999999867</v>
      </c>
      <c r="I4" s="53">
        <v>9.7199999999999829</v>
      </c>
      <c r="J4" s="53">
        <v>11.399999999999977</v>
      </c>
      <c r="K4" s="53">
        <v>10.199999999999989</v>
      </c>
      <c r="L4" s="53">
        <v>8.5999999999999943</v>
      </c>
      <c r="M4" s="53">
        <v>6.8000000000000114</v>
      </c>
      <c r="N4" s="53">
        <v>9.6000000000000227</v>
      </c>
      <c r="O4" s="53">
        <v>11.333333333333352</v>
      </c>
      <c r="P4" s="53">
        <v>13.066666666666681</v>
      </c>
      <c r="Q4" s="53">
        <v>14.80000000000001</v>
      </c>
      <c r="R4" s="53">
        <v>16.533333333333339</v>
      </c>
      <c r="S4" s="53">
        <v>18.266666666666669</v>
      </c>
      <c r="T4" s="53">
        <v>20</v>
      </c>
      <c r="U4" s="53">
        <v>21.860000000000003</v>
      </c>
      <c r="V4" s="53">
        <v>23.720000000000006</v>
      </c>
      <c r="W4" s="53">
        <v>25.580000000000009</v>
      </c>
      <c r="X4" s="53">
        <v>27.440000000000012</v>
      </c>
      <c r="Y4" s="53">
        <v>29.300000000000011</v>
      </c>
      <c r="Z4" s="53">
        <v>30.480000000000008</v>
      </c>
      <c r="AA4" s="53">
        <v>31.660000000000004</v>
      </c>
      <c r="AB4" s="53">
        <v>32.839999999999996</v>
      </c>
      <c r="AC4" s="53">
        <v>34.019999999999989</v>
      </c>
      <c r="AD4" s="53">
        <v>35.199999999999989</v>
      </c>
      <c r="AE4" s="72"/>
      <c r="AF4" s="72"/>
    </row>
    <row r="5" spans="1:32" x14ac:dyDescent="0.35">
      <c r="A5" s="72" t="s">
        <v>30</v>
      </c>
      <c r="B5" s="175"/>
      <c r="C5" s="72" t="s">
        <v>33</v>
      </c>
      <c r="D5" s="53">
        <v>8.4812112193331513E-2</v>
      </c>
      <c r="E5" s="53">
        <v>0.24283371212350299</v>
      </c>
      <c r="F5" s="53">
        <v>0.34046276046663143</v>
      </c>
      <c r="G5" s="53">
        <v>0.43809180880975984</v>
      </c>
      <c r="H5" s="53">
        <v>0.53572085715288831</v>
      </c>
      <c r="I5" s="53">
        <v>0.63334990549601677</v>
      </c>
      <c r="J5" s="53">
        <v>0.73097895383914513</v>
      </c>
      <c r="K5" s="53">
        <v>0.61764830497225676</v>
      </c>
      <c r="L5" s="53">
        <v>0.52957812632109091</v>
      </c>
      <c r="M5" s="53">
        <v>0.48185121670948772</v>
      </c>
      <c r="N5" s="53">
        <v>0.56680711827214547</v>
      </c>
      <c r="O5" s="53">
        <v>0.96980348799493798</v>
      </c>
      <c r="P5" s="53">
        <v>1.3727998577177305</v>
      </c>
      <c r="Q5" s="53">
        <v>1.775796227440523</v>
      </c>
      <c r="R5" s="53">
        <v>2.1787925971633153</v>
      </c>
      <c r="S5" s="53">
        <v>2.5817889668861076</v>
      </c>
      <c r="T5" s="53">
        <v>2.9847853366089003</v>
      </c>
      <c r="U5" s="53">
        <v>21.070525908414965</v>
      </c>
      <c r="V5" s="53">
        <v>39.156266480221028</v>
      </c>
      <c r="W5" s="53">
        <v>57.242007052027091</v>
      </c>
      <c r="X5" s="53">
        <v>75.327747623833147</v>
      </c>
      <c r="Y5" s="53">
        <v>93.413488195639218</v>
      </c>
      <c r="Z5" s="53">
        <v>81.062212021092932</v>
      </c>
      <c r="AA5" s="53">
        <v>68.710935846546647</v>
      </c>
      <c r="AB5" s="53">
        <v>56.359659672000362</v>
      </c>
      <c r="AC5" s="53">
        <v>44.008383497454076</v>
      </c>
      <c r="AD5" s="53">
        <v>31.657107322907791</v>
      </c>
      <c r="AE5" s="72"/>
      <c r="AF5" s="72"/>
    </row>
    <row r="6" spans="1:32" x14ac:dyDescent="0.35">
      <c r="A6" s="72" t="s">
        <v>30</v>
      </c>
      <c r="B6" s="175"/>
      <c r="C6" s="72" t="s">
        <v>34</v>
      </c>
      <c r="D6" s="53">
        <v>6.0580080138093939E-3</v>
      </c>
      <c r="E6" s="53">
        <v>1.7771756236396739E-2</v>
      </c>
      <c r="F6" s="53">
        <v>2.504677784712513E-2</v>
      </c>
      <c r="G6" s="53">
        <v>3.2321799457853517E-2</v>
      </c>
      <c r="H6" s="53">
        <v>3.9596821068581908E-2</v>
      </c>
      <c r="I6" s="53">
        <v>4.6871842679310299E-2</v>
      </c>
      <c r="J6" s="53">
        <v>5.414686429003869E-2</v>
      </c>
      <c r="K6" s="53">
        <v>4.57170533491131E-2</v>
      </c>
      <c r="L6" s="53">
        <v>3.8991796004088156E-2</v>
      </c>
      <c r="M6" s="53">
        <v>3.1792887361975948E-2</v>
      </c>
      <c r="N6" s="53">
        <v>4.2212624824281168E-2</v>
      </c>
      <c r="O6" s="53">
        <v>5.9766414638595444E-2</v>
      </c>
      <c r="P6" s="53">
        <v>7.7320204452909727E-2</v>
      </c>
      <c r="Q6" s="53">
        <v>9.487399426722401E-2</v>
      </c>
      <c r="R6" s="53">
        <v>0.11242778408153829</v>
      </c>
      <c r="S6" s="53">
        <v>0.12998157389585258</v>
      </c>
      <c r="T6" s="53">
        <v>0.14753536371016684</v>
      </c>
      <c r="U6" s="53">
        <v>0.40051087482777559</v>
      </c>
      <c r="V6" s="53">
        <v>0.65348638594538433</v>
      </c>
      <c r="W6" s="53">
        <v>0.90646189706299307</v>
      </c>
      <c r="X6" s="53">
        <v>1.1594374081806018</v>
      </c>
      <c r="Y6" s="53">
        <v>1.4124129192982104</v>
      </c>
      <c r="Z6" s="53">
        <v>1.2710233198999881</v>
      </c>
      <c r="AA6" s="53">
        <v>1.1296337205017657</v>
      </c>
      <c r="AB6" s="53">
        <v>0.98824412110354332</v>
      </c>
      <c r="AC6" s="53">
        <v>0.84685452170532094</v>
      </c>
      <c r="AD6" s="53">
        <v>0.70546492230709823</v>
      </c>
      <c r="AE6" s="72"/>
      <c r="AF6" s="72"/>
    </row>
    <row r="7" spans="1:32" x14ac:dyDescent="0.35">
      <c r="A7" s="72" t="s">
        <v>30</v>
      </c>
      <c r="B7" s="175"/>
      <c r="C7" s="72" t="s">
        <v>35</v>
      </c>
      <c r="D7" s="53">
        <v>14</v>
      </c>
      <c r="E7" s="53">
        <v>21</v>
      </c>
      <c r="F7" s="53">
        <v>23.2</v>
      </c>
      <c r="G7" s="53">
        <v>25.4</v>
      </c>
      <c r="H7" s="53">
        <v>27.599999999999998</v>
      </c>
      <c r="I7" s="53">
        <v>29.799999999999997</v>
      </c>
      <c r="J7" s="53">
        <v>32</v>
      </c>
      <c r="K7" s="53">
        <v>30</v>
      </c>
      <c r="L7" s="53">
        <v>29</v>
      </c>
      <c r="M7" s="53">
        <v>29</v>
      </c>
      <c r="N7" s="53">
        <v>29</v>
      </c>
      <c r="O7" s="53">
        <v>32.666666666666664</v>
      </c>
      <c r="P7" s="53">
        <v>36.333333333333329</v>
      </c>
      <c r="Q7" s="53">
        <v>39.999999999999993</v>
      </c>
      <c r="R7" s="53">
        <v>43.666666666666657</v>
      </c>
      <c r="S7" s="53">
        <v>47.333333333333321</v>
      </c>
      <c r="T7" s="53">
        <v>51</v>
      </c>
      <c r="U7" s="53">
        <v>56.6</v>
      </c>
      <c r="V7" s="53">
        <v>62.2</v>
      </c>
      <c r="W7" s="53">
        <v>67.8</v>
      </c>
      <c r="X7" s="53">
        <v>73.399999999999991</v>
      </c>
      <c r="Y7" s="53">
        <v>79</v>
      </c>
      <c r="Z7" s="53">
        <v>82</v>
      </c>
      <c r="AA7" s="53">
        <v>85</v>
      </c>
      <c r="AB7" s="53">
        <v>88</v>
      </c>
      <c r="AC7" s="53">
        <v>91</v>
      </c>
      <c r="AD7" s="53">
        <v>94</v>
      </c>
      <c r="AE7" s="72"/>
      <c r="AF7" s="72"/>
    </row>
    <row r="8" spans="1:32" x14ac:dyDescent="0.35">
      <c r="A8" s="72" t="s">
        <v>39</v>
      </c>
      <c r="B8" s="175"/>
      <c r="C8" s="72" t="s">
        <v>31</v>
      </c>
      <c r="D8" s="53">
        <v>22.2</v>
      </c>
      <c r="E8" s="53">
        <v>65.8</v>
      </c>
      <c r="F8" s="53">
        <v>102.72</v>
      </c>
      <c r="G8" s="53">
        <v>139.63999999999999</v>
      </c>
      <c r="H8" s="53">
        <v>176.56</v>
      </c>
      <c r="I8" s="53">
        <v>213.48000000000002</v>
      </c>
      <c r="J8" s="53">
        <v>250.4</v>
      </c>
      <c r="K8" s="53">
        <v>216.60000000000014</v>
      </c>
      <c r="L8" s="53">
        <v>182.59999999999991</v>
      </c>
      <c r="M8" s="53">
        <v>151.20000000000005</v>
      </c>
      <c r="N8" s="53">
        <v>202.60000000000014</v>
      </c>
      <c r="O8" s="53">
        <v>292.1666666666668</v>
      </c>
      <c r="P8" s="53">
        <v>381.73333333333346</v>
      </c>
      <c r="Q8" s="53">
        <v>471.30000000000013</v>
      </c>
      <c r="R8" s="53">
        <v>560.86666666666679</v>
      </c>
      <c r="S8" s="53">
        <v>650.43333333333339</v>
      </c>
      <c r="T8" s="53">
        <v>740</v>
      </c>
      <c r="U8" s="53">
        <v>930.87999999999988</v>
      </c>
      <c r="V8" s="53">
        <v>1121.7599999999998</v>
      </c>
      <c r="W8" s="53">
        <v>1312.6399999999996</v>
      </c>
      <c r="X8" s="53">
        <v>1503.5199999999995</v>
      </c>
      <c r="Y8" s="53">
        <v>1694.3999999999994</v>
      </c>
      <c r="Z8" s="53">
        <v>1887.3999999999994</v>
      </c>
      <c r="AA8" s="53">
        <v>2080.3999999999996</v>
      </c>
      <c r="AB8" s="53">
        <v>2273.3999999999996</v>
      </c>
      <c r="AC8" s="53">
        <v>2466.3999999999996</v>
      </c>
      <c r="AD8" s="53">
        <v>2659.3999999999996</v>
      </c>
      <c r="AE8" s="53"/>
      <c r="AF8" s="4"/>
    </row>
    <row r="9" spans="1:32" x14ac:dyDescent="0.35">
      <c r="A9" s="72" t="s">
        <v>39</v>
      </c>
      <c r="B9" s="175"/>
      <c r="C9" s="72" t="s">
        <v>32</v>
      </c>
      <c r="D9" s="53">
        <v>13</v>
      </c>
      <c r="E9" s="53">
        <v>27</v>
      </c>
      <c r="F9" s="53">
        <v>34.519999999999982</v>
      </c>
      <c r="G9" s="53">
        <v>42.039999999999964</v>
      </c>
      <c r="H9" s="53">
        <v>49.559999999999945</v>
      </c>
      <c r="I9" s="53">
        <v>57.079999999999927</v>
      </c>
      <c r="J9" s="53">
        <v>64.599999999999909</v>
      </c>
      <c r="K9" s="53">
        <v>59.799999999999955</v>
      </c>
      <c r="L9" s="53">
        <v>52.799999999999955</v>
      </c>
      <c r="M9" s="53">
        <v>46</v>
      </c>
      <c r="N9" s="53">
        <v>57.400000000000091</v>
      </c>
      <c r="O9" s="53">
        <v>67.333333333333414</v>
      </c>
      <c r="P9" s="53">
        <v>77.266666666666737</v>
      </c>
      <c r="Q9" s="53">
        <v>87.20000000000006</v>
      </c>
      <c r="R9" s="53">
        <v>97.133333333333383</v>
      </c>
      <c r="S9" s="53">
        <v>107.06666666666671</v>
      </c>
      <c r="T9" s="53">
        <v>117</v>
      </c>
      <c r="U9" s="53">
        <v>126.6</v>
      </c>
      <c r="V9" s="53">
        <v>136.19999999999999</v>
      </c>
      <c r="W9" s="53">
        <v>145.79999999999998</v>
      </c>
      <c r="X9" s="53">
        <v>155.39999999999998</v>
      </c>
      <c r="Y9" s="53">
        <v>165</v>
      </c>
      <c r="Z9" s="53">
        <v>171.84</v>
      </c>
      <c r="AA9" s="53">
        <v>178.68</v>
      </c>
      <c r="AB9" s="53">
        <v>185.52</v>
      </c>
      <c r="AC9" s="53">
        <v>192.36</v>
      </c>
      <c r="AD9" s="53">
        <v>199.20000000000005</v>
      </c>
      <c r="AE9" s="72"/>
      <c r="AF9" s="72"/>
    </row>
    <row r="10" spans="1:32" x14ac:dyDescent="0.35">
      <c r="A10" s="72" t="s">
        <v>39</v>
      </c>
      <c r="B10" s="175"/>
      <c r="C10" s="72" t="s">
        <v>33</v>
      </c>
      <c r="D10" s="53">
        <v>4.7253529883901121E-2</v>
      </c>
      <c r="E10" s="53">
        <v>0.28011551949195379</v>
      </c>
      <c r="F10" s="53">
        <v>0.59718244793816533</v>
      </c>
      <c r="G10" s="53">
        <v>0.91424937638437687</v>
      </c>
      <c r="H10" s="53">
        <v>1.2313163048305884</v>
      </c>
      <c r="I10" s="53">
        <v>1.5483832332767999</v>
      </c>
      <c r="J10" s="53">
        <v>1.8654501617230115</v>
      </c>
      <c r="K10" s="53">
        <v>1.6136441894137561</v>
      </c>
      <c r="L10" s="53">
        <v>1.1660127779459895</v>
      </c>
      <c r="M10" s="53">
        <v>0.80458713045561225</v>
      </c>
      <c r="N10" s="53">
        <v>0.56680711827214547</v>
      </c>
      <c r="O10" s="53">
        <v>3.0445179689462347</v>
      </c>
      <c r="P10" s="53">
        <v>4.5886299372095039</v>
      </c>
      <c r="Q10" s="53">
        <v>6.1327419054727734</v>
      </c>
      <c r="R10" s="53">
        <v>7.676853873736043</v>
      </c>
      <c r="S10" s="53">
        <v>9.2209658419993126</v>
      </c>
      <c r="T10" s="53">
        <v>10.765077810262582</v>
      </c>
      <c r="U10" s="53">
        <v>11.285969377257926</v>
      </c>
      <c r="V10" s="53">
        <v>11.80686094425327</v>
      </c>
      <c r="W10" s="53">
        <v>12.327752511248613</v>
      </c>
      <c r="X10" s="53">
        <v>12.848644078243957</v>
      </c>
      <c r="Y10" s="53">
        <v>13.369535645239303</v>
      </c>
      <c r="Z10" s="53">
        <v>31.024884631077057</v>
      </c>
      <c r="AA10" s="53">
        <v>48.680233616914812</v>
      </c>
      <c r="AB10" s="53">
        <v>66.335582602752567</v>
      </c>
      <c r="AC10" s="53">
        <v>83.990931588590314</v>
      </c>
      <c r="AD10" s="53">
        <v>101.64628057442808</v>
      </c>
      <c r="AE10" s="72"/>
      <c r="AF10" s="72"/>
    </row>
    <row r="11" spans="1:32" x14ac:dyDescent="0.35">
      <c r="A11" s="72" t="s">
        <v>39</v>
      </c>
      <c r="B11" s="175"/>
      <c r="C11" s="72" t="s">
        <v>34</v>
      </c>
      <c r="D11" s="53">
        <v>2.3626764941950561E-2</v>
      </c>
      <c r="E11" s="53">
        <v>7.0028879872988448E-2</v>
      </c>
      <c r="F11" s="53">
        <v>0.10932167994761965</v>
      </c>
      <c r="G11" s="53">
        <v>0.14861448002225086</v>
      </c>
      <c r="H11" s="53">
        <v>0.18790728009688207</v>
      </c>
      <c r="I11" s="53">
        <v>0.22720008017151327</v>
      </c>
      <c r="J11" s="53">
        <v>0.26649288024614448</v>
      </c>
      <c r="K11" s="53">
        <v>0.23052059848767945</v>
      </c>
      <c r="L11" s="53">
        <v>0.19433546299099821</v>
      </c>
      <c r="M11" s="53">
        <v>0.16091742609112245</v>
      </c>
      <c r="N11" s="53">
        <v>4.2212624824281168E-2</v>
      </c>
      <c r="O11" s="53">
        <v>0.30677545020347896</v>
      </c>
      <c r="P11" s="53">
        <v>0.39920718602367722</v>
      </c>
      <c r="Q11" s="53">
        <v>0.49163892184387548</v>
      </c>
      <c r="R11" s="53">
        <v>0.58407065766407373</v>
      </c>
      <c r="S11" s="53">
        <v>0.67650239348427199</v>
      </c>
      <c r="T11" s="53">
        <v>0.76893412930447014</v>
      </c>
      <c r="U11" s="53">
        <v>0.69278283231502535</v>
      </c>
      <c r="V11" s="53">
        <v>0.61663153532558057</v>
      </c>
      <c r="W11" s="53">
        <v>0.54048023833613579</v>
      </c>
      <c r="X11" s="53">
        <v>0.464328941346691</v>
      </c>
      <c r="Y11" s="53">
        <v>0.38817764435724611</v>
      </c>
      <c r="Z11" s="53">
        <v>0.85998146994216484</v>
      </c>
      <c r="AA11" s="53">
        <v>1.3317852955270837</v>
      </c>
      <c r="AB11" s="53">
        <v>1.8035891211120025</v>
      </c>
      <c r="AC11" s="53">
        <v>2.2753929466969214</v>
      </c>
      <c r="AD11" s="53">
        <v>2.74719677228184</v>
      </c>
      <c r="AE11" s="72"/>
      <c r="AF11" s="72"/>
    </row>
    <row r="12" spans="1:32" x14ac:dyDescent="0.35">
      <c r="A12" s="72" t="s">
        <v>39</v>
      </c>
      <c r="B12" s="175"/>
      <c r="C12" s="72" t="s">
        <v>35</v>
      </c>
      <c r="D12" s="53">
        <v>2</v>
      </c>
      <c r="E12" s="53">
        <v>4</v>
      </c>
      <c r="F12" s="53">
        <v>4.5999999999999996</v>
      </c>
      <c r="G12" s="53">
        <v>5.1999999999999993</v>
      </c>
      <c r="H12" s="53">
        <v>5.7999999999999989</v>
      </c>
      <c r="I12" s="53">
        <v>6.3999999999999986</v>
      </c>
      <c r="J12" s="53">
        <v>7</v>
      </c>
      <c r="K12" s="53">
        <v>7</v>
      </c>
      <c r="L12" s="53">
        <v>6</v>
      </c>
      <c r="M12" s="53">
        <v>5</v>
      </c>
      <c r="N12" s="53">
        <v>7</v>
      </c>
      <c r="O12" s="53">
        <v>8.1666666666666661</v>
      </c>
      <c r="P12" s="53">
        <v>9.3333333333333321</v>
      </c>
      <c r="Q12" s="53">
        <v>10.499999999999998</v>
      </c>
      <c r="R12" s="53">
        <v>11.666666666666664</v>
      </c>
      <c r="S12" s="53">
        <v>12.83333333333333</v>
      </c>
      <c r="T12" s="53">
        <v>14</v>
      </c>
      <c r="U12" s="53">
        <v>17</v>
      </c>
      <c r="V12" s="53">
        <v>20</v>
      </c>
      <c r="W12" s="53">
        <v>23</v>
      </c>
      <c r="X12" s="53">
        <v>26</v>
      </c>
      <c r="Y12" s="53">
        <v>29</v>
      </c>
      <c r="Z12" s="53">
        <v>30.6</v>
      </c>
      <c r="AA12" s="53">
        <v>32.200000000000003</v>
      </c>
      <c r="AB12" s="53">
        <v>33.800000000000004</v>
      </c>
      <c r="AC12" s="53">
        <v>35.400000000000006</v>
      </c>
      <c r="AD12" s="53">
        <v>37</v>
      </c>
      <c r="AE12" s="72"/>
      <c r="AF12" s="72"/>
    </row>
    <row r="13" spans="1:32" ht="17.5" customHeight="1" x14ac:dyDescent="0.35">
      <c r="A13" s="72" t="s">
        <v>30</v>
      </c>
      <c r="B13" s="175"/>
      <c r="C13" s="72" t="s">
        <v>108</v>
      </c>
      <c r="D13" s="53">
        <v>5445.825674993449</v>
      </c>
      <c r="E13" s="53">
        <v>7241.293555071361</v>
      </c>
      <c r="F13" s="53">
        <v>9036.7614351492721</v>
      </c>
      <c r="G13" s="53">
        <v>10832.229315227183</v>
      </c>
      <c r="H13" s="53">
        <v>12627.697195305094</v>
      </c>
      <c r="I13" s="53">
        <v>14423.165075383005</v>
      </c>
      <c r="J13" s="53">
        <v>16218.632955460916</v>
      </c>
      <c r="K13" s="53">
        <v>15620.143662101613</v>
      </c>
      <c r="L13" s="53">
        <v>15021.654368742309</v>
      </c>
      <c r="M13" s="53">
        <v>13525.43113534405</v>
      </c>
      <c r="N13" s="53">
        <v>14423.165075383005</v>
      </c>
      <c r="O13" s="53">
        <v>16913.232955460899</v>
      </c>
      <c r="P13" s="53">
        <v>17831.369243247562</v>
      </c>
      <c r="Q13" s="53">
        <v>18749.505531034225</v>
      </c>
      <c r="R13" s="53">
        <v>19667.641818820888</v>
      </c>
      <c r="S13" s="53">
        <v>20585.778106607551</v>
      </c>
      <c r="T13" s="53">
        <v>21503.914394394214</v>
      </c>
      <c r="U13" s="53">
        <v>22422.050682180878</v>
      </c>
      <c r="V13" s="53">
        <v>23340.186969967541</v>
      </c>
      <c r="W13" s="53">
        <v>24258.323257754204</v>
      </c>
      <c r="X13" s="53">
        <v>25176.459545540867</v>
      </c>
      <c r="Y13" s="53">
        <v>26094.59583332753</v>
      </c>
      <c r="Z13" s="53">
        <v>27012.732121114193</v>
      </c>
      <c r="AA13" s="53">
        <v>27930.868408900857</v>
      </c>
      <c r="AB13" s="53">
        <v>28849.00469668752</v>
      </c>
      <c r="AC13" s="53">
        <v>29767.140984474183</v>
      </c>
      <c r="AD13" s="53">
        <v>30685.277272260842</v>
      </c>
      <c r="AE13" s="72"/>
      <c r="AF13" s="72"/>
    </row>
    <row r="14" spans="1:32" ht="17.5" customHeight="1" x14ac:dyDescent="0.35">
      <c r="A14" s="72" t="s">
        <v>30</v>
      </c>
      <c r="B14" s="175"/>
      <c r="C14" s="72" t="s">
        <v>109</v>
      </c>
      <c r="D14" s="53">
        <v>192864.66620394157</v>
      </c>
      <c r="E14" s="53">
        <v>195239.2419650236</v>
      </c>
      <c r="F14" s="53">
        <v>196366.76544203321</v>
      </c>
      <c r="G14" s="53">
        <v>197525.37556068008</v>
      </c>
      <c r="H14" s="53">
        <v>198743.92387830256</v>
      </c>
      <c r="I14" s="53">
        <v>200140.93841202525</v>
      </c>
      <c r="J14" s="53">
        <v>201537.7102617296</v>
      </c>
      <c r="K14" s="53">
        <v>200616.89493678272</v>
      </c>
      <c r="L14" s="53">
        <v>199696.14928779242</v>
      </c>
      <c r="M14" s="53">
        <v>198775.23322502323</v>
      </c>
      <c r="N14" s="53">
        <v>200250.33489773443</v>
      </c>
      <c r="O14" s="53">
        <v>201766.1654636735</v>
      </c>
      <c r="P14" s="53">
        <v>203325.96278464468</v>
      </c>
      <c r="Q14" s="53">
        <v>204856.96017693213</v>
      </c>
      <c r="R14" s="53">
        <v>206421.18825616254</v>
      </c>
      <c r="S14" s="53">
        <v>208013.70502273936</v>
      </c>
      <c r="T14" s="53">
        <v>209643.37199318074</v>
      </c>
      <c r="U14" s="53">
        <v>211125.2902170599</v>
      </c>
      <c r="V14" s="53">
        <v>212613.854578328</v>
      </c>
      <c r="W14" s="53">
        <v>214101.90769825791</v>
      </c>
      <c r="X14" s="53">
        <v>215599.50398982322</v>
      </c>
      <c r="Y14" s="53">
        <v>216849.14823265999</v>
      </c>
      <c r="Z14" s="53">
        <v>218069.3108916957</v>
      </c>
      <c r="AA14" s="53">
        <v>219248.74465750376</v>
      </c>
      <c r="AB14" s="53">
        <v>220395.79980526475</v>
      </c>
      <c r="AC14" s="53">
        <v>221214.46760051764</v>
      </c>
      <c r="AD14" s="53">
        <v>221946.05395460132</v>
      </c>
      <c r="AE14" s="72"/>
      <c r="AF14" s="72"/>
    </row>
    <row r="15" spans="1:32" s="52" customFormat="1" x14ac:dyDescent="0.35">
      <c r="A15" s="72" t="s">
        <v>30</v>
      </c>
      <c r="B15" s="175"/>
      <c r="C15" s="72" t="s">
        <v>110</v>
      </c>
      <c r="D15" s="53">
        <v>57814.1637958055</v>
      </c>
      <c r="E15" s="53">
        <v>62191.746894023359</v>
      </c>
      <c r="F15" s="53">
        <v>64361.105239567863</v>
      </c>
      <c r="G15" s="53">
        <v>66628.501001105484</v>
      </c>
      <c r="H15" s="53">
        <v>69068.22672153436</v>
      </c>
      <c r="I15" s="53">
        <v>71918.961016641551</v>
      </c>
      <c r="J15" s="53">
        <v>74820.679205256296</v>
      </c>
      <c r="K15" s="53">
        <v>72899.28225345345</v>
      </c>
      <c r="L15" s="53">
        <v>71006.352594376862</v>
      </c>
      <c r="M15" s="53">
        <v>69131.616141376318</v>
      </c>
      <c r="N15" s="53">
        <v>72143.764963991809</v>
      </c>
      <c r="O15" s="53">
        <v>75301.925896232133</v>
      </c>
      <c r="P15" s="53">
        <v>78629.627518656707</v>
      </c>
      <c r="Q15" s="53">
        <v>81951.057574073071</v>
      </c>
      <c r="R15" s="53">
        <v>85383.424638269789</v>
      </c>
      <c r="S15" s="53">
        <v>88945.971119594135</v>
      </c>
      <c r="T15" s="53">
        <v>92676.895920951385</v>
      </c>
      <c r="U15" s="53">
        <v>96145.729908431153</v>
      </c>
      <c r="V15" s="53">
        <v>99700.858162341799</v>
      </c>
      <c r="W15" s="53">
        <v>103340.20977892888</v>
      </c>
      <c r="X15" s="53">
        <v>107065.51818072386</v>
      </c>
      <c r="Y15" s="53">
        <v>110237.64392344528</v>
      </c>
      <c r="Z15" s="53">
        <v>113355.67104643886</v>
      </c>
      <c r="AA15" s="53">
        <v>116394.79841235251</v>
      </c>
      <c r="AB15" s="53">
        <v>119393.94598127359</v>
      </c>
      <c r="AC15" s="53">
        <v>121552.79504833522</v>
      </c>
      <c r="AD15" s="53">
        <v>123501.36707164065</v>
      </c>
      <c r="AE15" s="72"/>
      <c r="AF15" s="72"/>
    </row>
    <row r="17" spans="1:30" x14ac:dyDescent="0.35">
      <c r="A17" s="72" t="s">
        <v>111</v>
      </c>
      <c r="B17" s="72" t="s">
        <v>112</v>
      </c>
      <c r="C17" s="72" t="s">
        <v>94</v>
      </c>
      <c r="D17" s="4">
        <f>'Cost Assumptions'!B8*('Cost Assumptions'!B5^3)</f>
        <v>4.4933261328125003</v>
      </c>
      <c r="E17" s="4">
        <f>D17*'Cost Assumptions'!$B$5</f>
        <v>4.6056592861328127</v>
      </c>
      <c r="F17" s="4">
        <f>E17*'Cost Assumptions'!$B$5</f>
        <v>4.720800768286133</v>
      </c>
      <c r="G17" s="4">
        <f>F17*'Cost Assumptions'!$B$5</f>
        <v>4.8388207874932858</v>
      </c>
      <c r="H17" s="4">
        <f>G17*'Cost Assumptions'!$B$5</f>
        <v>4.9597913071806179</v>
      </c>
      <c r="I17" s="4">
        <f>H17*'Cost Assumptions'!$B$5</f>
        <v>5.0837860898601326</v>
      </c>
      <c r="J17" s="4">
        <f>I17*'Cost Assumptions'!$B$5</f>
        <v>5.2108807421066352</v>
      </c>
      <c r="K17" s="4">
        <f>J17*'Cost Assumptions'!$B$5</f>
        <v>5.341152760659301</v>
      </c>
      <c r="L17" s="4">
        <f>K17*'Cost Assumptions'!$B$5</f>
        <v>5.4746815796757833</v>
      </c>
      <c r="M17" s="4">
        <f>L17*'Cost Assumptions'!$B$5</f>
        <v>5.6115486191676771</v>
      </c>
      <c r="N17" s="4">
        <f>M17*'Cost Assumptions'!$B$5</f>
        <v>5.7518373346468685</v>
      </c>
      <c r="O17" s="4">
        <f>N17*'Cost Assumptions'!$B$5</f>
        <v>5.8956332680130394</v>
      </c>
      <c r="P17" s="4">
        <f>O17*'Cost Assumptions'!$B$5</f>
        <v>6.0430240997133646</v>
      </c>
      <c r="Q17" s="4">
        <f>P17*'Cost Assumptions'!$B$5</f>
        <v>6.1940997022061985</v>
      </c>
      <c r="R17" s="4">
        <f>Q17*'Cost Assumptions'!$B$5</f>
        <v>6.3489521947613525</v>
      </c>
      <c r="S17" s="4">
        <f>R17*'Cost Assumptions'!$B$5</f>
        <v>6.5076759996303855</v>
      </c>
      <c r="T17" s="4">
        <f>S17*'Cost Assumptions'!$B$5</f>
        <v>6.6703678996211444</v>
      </c>
      <c r="U17" s="4">
        <f>T17*'Cost Assumptions'!$B$5</f>
        <v>6.8371270971116722</v>
      </c>
      <c r="V17" s="4">
        <f>U17*'Cost Assumptions'!$B$5</f>
        <v>7.0080552745394638</v>
      </c>
      <c r="W17" s="4">
        <f>V17*'Cost Assumptions'!$B$5</f>
        <v>7.1832566564029499</v>
      </c>
      <c r="X17" s="4">
        <f>W17*'Cost Assumptions'!$B$5</f>
        <v>7.3628380728130232</v>
      </c>
      <c r="Y17" s="4">
        <f>X17*'Cost Assumptions'!$B$5</f>
        <v>7.5469090246333481</v>
      </c>
      <c r="Z17" s="4">
        <f>Y17*'Cost Assumptions'!$B$5</f>
        <v>7.7355817502491808</v>
      </c>
      <c r="AA17" s="4">
        <f>Z17*'Cost Assumptions'!$B$5</f>
        <v>7.92897129400541</v>
      </c>
      <c r="AB17" s="4">
        <f>AA17*'Cost Assumptions'!$B$5</f>
        <v>8.127195576355545</v>
      </c>
      <c r="AC17" s="4">
        <f>AB17*'Cost Assumptions'!$B$5</f>
        <v>8.3303754657644333</v>
      </c>
      <c r="AD17" s="4">
        <f>AC17*'Cost Assumptions'!$B$5</f>
        <v>8.5386348524085438</v>
      </c>
    </row>
    <row r="18" spans="1:30" x14ac:dyDescent="0.35">
      <c r="A18" s="72" t="s">
        <v>111</v>
      </c>
      <c r="B18" s="72" t="s">
        <v>113</v>
      </c>
      <c r="C18" s="72" t="s">
        <v>94</v>
      </c>
      <c r="D18" s="4">
        <f>'Cost Assumptions'!B9*('Cost Assumptions'!B5^3)</f>
        <v>3.7920011132812497</v>
      </c>
      <c r="E18" s="4">
        <f>D18*'Cost Assumptions'!$B$5</f>
        <v>3.8868011411132808</v>
      </c>
      <c r="F18" s="4">
        <f>E18*'Cost Assumptions'!$B$5</f>
        <v>3.9839711696411126</v>
      </c>
      <c r="G18" s="4">
        <f>F18*'Cost Assumptions'!$B$5</f>
        <v>4.0835704488821403</v>
      </c>
      <c r="H18" s="4">
        <f>G18*'Cost Assumptions'!$B$5</f>
        <v>4.1856597101041935</v>
      </c>
      <c r="I18" s="4">
        <f>H18*'Cost Assumptions'!$B$5</f>
        <v>4.2903012028567975</v>
      </c>
      <c r="J18" s="4">
        <f>I18*'Cost Assumptions'!$B$5</f>
        <v>4.3975587329282169</v>
      </c>
      <c r="K18" s="4">
        <f>J18*'Cost Assumptions'!$B$5</f>
        <v>4.5074977012514221</v>
      </c>
      <c r="L18" s="4">
        <f>K18*'Cost Assumptions'!$B$5</f>
        <v>4.6201851437827068</v>
      </c>
      <c r="M18" s="4">
        <f>L18*'Cost Assumptions'!$B$5</f>
        <v>4.735689772377274</v>
      </c>
      <c r="N18" s="4">
        <f>M18*'Cost Assumptions'!$B$5</f>
        <v>4.8540820166867054</v>
      </c>
      <c r="O18" s="4">
        <f>N18*'Cost Assumptions'!$B$5</f>
        <v>4.9754340671038726</v>
      </c>
      <c r="P18" s="4">
        <f>O18*'Cost Assumptions'!$B$5</f>
        <v>5.0998199187814688</v>
      </c>
      <c r="Q18" s="4">
        <f>P18*'Cost Assumptions'!$B$5</f>
        <v>5.2273154167510052</v>
      </c>
      <c r="R18" s="4">
        <f>Q18*'Cost Assumptions'!$B$5</f>
        <v>5.3579983021697801</v>
      </c>
      <c r="S18" s="4">
        <f>R18*'Cost Assumptions'!$B$5</f>
        <v>5.4919482597240243</v>
      </c>
      <c r="T18" s="4">
        <f>S18*'Cost Assumptions'!$B$5</f>
        <v>5.6292469662171243</v>
      </c>
      <c r="U18" s="4">
        <f>T18*'Cost Assumptions'!$B$5</f>
        <v>5.7699781403725519</v>
      </c>
      <c r="V18" s="4">
        <f>U18*'Cost Assumptions'!$B$5</f>
        <v>5.9142275938818649</v>
      </c>
      <c r="W18" s="4">
        <f>V18*'Cost Assumptions'!$B$5</f>
        <v>6.0620832837289109</v>
      </c>
      <c r="X18" s="4">
        <f>W18*'Cost Assumptions'!$B$5</f>
        <v>6.2136353658221335</v>
      </c>
      <c r="Y18" s="4">
        <f>X18*'Cost Assumptions'!$B$5</f>
        <v>6.3689762499676865</v>
      </c>
      <c r="Z18" s="4">
        <f>Y18*'Cost Assumptions'!$B$5</f>
        <v>6.5282006562168782</v>
      </c>
      <c r="AA18" s="4">
        <f>Z18*'Cost Assumptions'!$B$5</f>
        <v>6.6914056726222997</v>
      </c>
      <c r="AB18" s="4">
        <f>AA18*'Cost Assumptions'!$B$5</f>
        <v>6.8586908144378569</v>
      </c>
      <c r="AC18" s="4">
        <f>AB18*'Cost Assumptions'!$B$5</f>
        <v>7.0301580847988028</v>
      </c>
      <c r="AD18" s="4">
        <f>AC18*'Cost Assumptions'!$B$5</f>
        <v>7.2059120369187726</v>
      </c>
    </row>
    <row r="19" spans="1:30" x14ac:dyDescent="0.35">
      <c r="A19" s="72" t="s">
        <v>114</v>
      </c>
      <c r="B19" s="72" t="s">
        <v>112</v>
      </c>
      <c r="C19" s="72" t="s">
        <v>94</v>
      </c>
      <c r="D19" s="4">
        <f>'Cost Assumptions'!B10*('Cost Assumptions'!B5^3)</f>
        <v>166.59767191406246</v>
      </c>
      <c r="E19" s="4">
        <f>D19*'Cost Assumptions'!$B$5</f>
        <v>170.76261371191401</v>
      </c>
      <c r="F19" s="4">
        <f>E19*'Cost Assumptions'!$B$5</f>
        <v>175.03167905471184</v>
      </c>
      <c r="G19" s="4">
        <f>F19*'Cost Assumptions'!$B$5</f>
        <v>179.40747103107964</v>
      </c>
      <c r="H19" s="4">
        <f>G19*'Cost Assumptions'!$B$5</f>
        <v>183.89265780685662</v>
      </c>
      <c r="I19" s="4">
        <f>H19*'Cost Assumptions'!$B$5</f>
        <v>188.48997425202802</v>
      </c>
      <c r="J19" s="4">
        <f>I19*'Cost Assumptions'!$B$5</f>
        <v>193.20222360832869</v>
      </c>
      <c r="K19" s="4">
        <f>J19*'Cost Assumptions'!$B$5</f>
        <v>198.03227919853688</v>
      </c>
      <c r="L19" s="4">
        <f>K19*'Cost Assumptions'!$B$5</f>
        <v>202.98308617850029</v>
      </c>
      <c r="M19" s="4">
        <f>L19*'Cost Assumptions'!$B$5</f>
        <v>208.05766333296279</v>
      </c>
      <c r="N19" s="4">
        <f>M19*'Cost Assumptions'!$B$5</f>
        <v>213.25910491628684</v>
      </c>
      <c r="O19" s="4">
        <f>N19*'Cost Assumptions'!$B$5</f>
        <v>218.590582539194</v>
      </c>
      <c r="P19" s="4">
        <f>O19*'Cost Assumptions'!$B$5</f>
        <v>224.05534710267384</v>
      </c>
      <c r="Q19" s="4">
        <f>P19*'Cost Assumptions'!$B$5</f>
        <v>229.65673078024065</v>
      </c>
      <c r="R19" s="4">
        <f>Q19*'Cost Assumptions'!$B$5</f>
        <v>235.39814904974665</v>
      </c>
      <c r="S19" s="4">
        <f>R19*'Cost Assumptions'!$B$5</f>
        <v>241.2831027759903</v>
      </c>
      <c r="T19" s="4">
        <f>S19*'Cost Assumptions'!$B$5</f>
        <v>247.31518034539005</v>
      </c>
      <c r="U19" s="4">
        <f>T19*'Cost Assumptions'!$B$5</f>
        <v>253.49805985402477</v>
      </c>
      <c r="V19" s="4">
        <f>U19*'Cost Assumptions'!$B$5</f>
        <v>259.83551135037538</v>
      </c>
      <c r="W19" s="4">
        <f>V19*'Cost Assumptions'!$B$5</f>
        <v>266.33139913413476</v>
      </c>
      <c r="X19" s="4">
        <f>W19*'Cost Assumptions'!$B$5</f>
        <v>272.98968411248808</v>
      </c>
      <c r="Y19" s="4">
        <f>X19*'Cost Assumptions'!$B$5</f>
        <v>279.81442621530027</v>
      </c>
      <c r="Z19" s="4">
        <f>Y19*'Cost Assumptions'!$B$5</f>
        <v>286.80978687068273</v>
      </c>
      <c r="AA19" s="4">
        <f>Z19*'Cost Assumptions'!$B$5</f>
        <v>293.98003154244975</v>
      </c>
      <c r="AB19" s="4">
        <f>AA19*'Cost Assumptions'!$B$5</f>
        <v>301.32953233101097</v>
      </c>
      <c r="AC19" s="4">
        <f>AB19*'Cost Assumptions'!$B$5</f>
        <v>308.86277063928623</v>
      </c>
      <c r="AD19" s="4">
        <f>AC19*'Cost Assumptions'!$B$5</f>
        <v>316.58433990526834</v>
      </c>
    </row>
    <row r="20" spans="1:30" x14ac:dyDescent="0.35">
      <c r="A20" s="72" t="s">
        <v>114</v>
      </c>
      <c r="B20" s="72" t="s">
        <v>113</v>
      </c>
      <c r="C20" s="72" t="s">
        <v>94</v>
      </c>
      <c r="D20" s="4">
        <f>'Cost Assumptions'!B11*('Cost Assumptions'!B5^3)</f>
        <v>153.83719106445315</v>
      </c>
      <c r="E20" s="4">
        <f>D20*'Cost Assumptions'!$B$5</f>
        <v>157.68312084106446</v>
      </c>
      <c r="F20" s="4">
        <f>E20*'Cost Assumptions'!$B$5</f>
        <v>161.62519886209105</v>
      </c>
      <c r="G20" s="4">
        <f>F20*'Cost Assumptions'!$B$5</f>
        <v>165.6658288336433</v>
      </c>
      <c r="H20" s="4">
        <f>G20*'Cost Assumptions'!$B$5</f>
        <v>169.80747455448437</v>
      </c>
      <c r="I20" s="4">
        <f>H20*'Cost Assumptions'!$B$5</f>
        <v>174.05266141834647</v>
      </c>
      <c r="J20" s="4">
        <f>I20*'Cost Assumptions'!$B$5</f>
        <v>178.40397795380511</v>
      </c>
      <c r="K20" s="4">
        <f>J20*'Cost Assumptions'!$B$5</f>
        <v>182.86407740265022</v>
      </c>
      <c r="L20" s="4">
        <f>K20*'Cost Assumptions'!$B$5</f>
        <v>187.43567933771646</v>
      </c>
      <c r="M20" s="4">
        <f>L20*'Cost Assumptions'!$B$5</f>
        <v>192.12157132115937</v>
      </c>
      <c r="N20" s="4">
        <f>M20*'Cost Assumptions'!$B$5</f>
        <v>196.92461060418833</v>
      </c>
      <c r="O20" s="4">
        <f>N20*'Cost Assumptions'!$B$5</f>
        <v>201.84772586929301</v>
      </c>
      <c r="P20" s="4">
        <f>O20*'Cost Assumptions'!$B$5</f>
        <v>206.89391901602534</v>
      </c>
      <c r="Q20" s="4">
        <f>P20*'Cost Assumptions'!$B$5</f>
        <v>212.06626699142595</v>
      </c>
      <c r="R20" s="4">
        <f>Q20*'Cost Assumptions'!$B$5</f>
        <v>217.36792366621157</v>
      </c>
      <c r="S20" s="4">
        <f>R20*'Cost Assumptions'!$B$5</f>
        <v>222.80212175786684</v>
      </c>
      <c r="T20" s="4">
        <f>S20*'Cost Assumptions'!$B$5</f>
        <v>228.37217480181349</v>
      </c>
      <c r="U20" s="4">
        <f>T20*'Cost Assumptions'!$B$5</f>
        <v>234.0814791718588</v>
      </c>
      <c r="V20" s="4">
        <f>U20*'Cost Assumptions'!$B$5</f>
        <v>239.93351615115526</v>
      </c>
      <c r="W20" s="4">
        <f>V20*'Cost Assumptions'!$B$5</f>
        <v>245.93185405493412</v>
      </c>
      <c r="X20" s="4">
        <f>W20*'Cost Assumptions'!$B$5</f>
        <v>252.08015040630744</v>
      </c>
      <c r="Y20" s="4">
        <f>X20*'Cost Assumptions'!$B$5</f>
        <v>258.38215416646511</v>
      </c>
      <c r="Z20" s="4">
        <f>Y20*'Cost Assumptions'!$B$5</f>
        <v>264.8417080206267</v>
      </c>
      <c r="AA20" s="4">
        <f>Z20*'Cost Assumptions'!$B$5</f>
        <v>271.46275072114236</v>
      </c>
      <c r="AB20" s="4">
        <f>AA20*'Cost Assumptions'!$B$5</f>
        <v>278.24931948917089</v>
      </c>
      <c r="AC20" s="4">
        <f>AB20*'Cost Assumptions'!$B$5</f>
        <v>285.20555247640016</v>
      </c>
      <c r="AD20" s="4">
        <f>AC20*'Cost Assumptions'!$B$5</f>
        <v>292.33569128831016</v>
      </c>
    </row>
    <row r="21" spans="1:30" hidden="1" x14ac:dyDescent="0.35">
      <c r="A21" s="72" t="s">
        <v>111</v>
      </c>
      <c r="B21" s="72" t="s">
        <v>115</v>
      </c>
      <c r="C21" s="72" t="s">
        <v>116</v>
      </c>
      <c r="D21" s="4" t="e">
        <f>'Cost Assumptions'!#REF!*('Cost Assumptions'!B5^18)</f>
        <v>#REF!</v>
      </c>
      <c r="E21" s="4" t="e">
        <f>D21*'Cost Assumptions'!$B$5</f>
        <v>#REF!</v>
      </c>
      <c r="F21" s="4" t="e">
        <f>E21*'Cost Assumptions'!$B$5</f>
        <v>#REF!</v>
      </c>
      <c r="G21" s="4" t="e">
        <f>F21*'Cost Assumptions'!$B$5</f>
        <v>#REF!</v>
      </c>
      <c r="H21" s="4" t="e">
        <f>G21*'Cost Assumptions'!$B$5</f>
        <v>#REF!</v>
      </c>
      <c r="I21" s="4" t="e">
        <f>H21*'Cost Assumptions'!$B$5</f>
        <v>#REF!</v>
      </c>
      <c r="J21" s="4" t="e">
        <f>I21*'Cost Assumptions'!$B$5</f>
        <v>#REF!</v>
      </c>
      <c r="K21" s="4" t="e">
        <f>J21*'Cost Assumptions'!$B$5</f>
        <v>#REF!</v>
      </c>
      <c r="L21" s="4" t="e">
        <f>K21*'Cost Assumptions'!$B$5</f>
        <v>#REF!</v>
      </c>
      <c r="M21" s="4" t="e">
        <f>L21*'Cost Assumptions'!$B$5</f>
        <v>#REF!</v>
      </c>
      <c r="N21" s="4" t="e">
        <f>M21*'Cost Assumptions'!$B$5</f>
        <v>#REF!</v>
      </c>
      <c r="O21" s="4" t="e">
        <f>N21*'Cost Assumptions'!$B$5</f>
        <v>#REF!</v>
      </c>
      <c r="P21" s="4" t="e">
        <f>O21*'Cost Assumptions'!$B$5</f>
        <v>#REF!</v>
      </c>
      <c r="Q21" s="4" t="e">
        <f>P21*'Cost Assumptions'!$B$5</f>
        <v>#REF!</v>
      </c>
      <c r="R21" s="4" t="e">
        <f>Q21*'Cost Assumptions'!$B$5</f>
        <v>#REF!</v>
      </c>
      <c r="S21" s="4" t="e">
        <f>R21*'Cost Assumptions'!$B$5</f>
        <v>#REF!</v>
      </c>
      <c r="T21" s="4" t="e">
        <f>S21*'Cost Assumptions'!$B$5</f>
        <v>#REF!</v>
      </c>
      <c r="U21" s="4" t="e">
        <f>T21*'Cost Assumptions'!$B$5</f>
        <v>#REF!</v>
      </c>
      <c r="V21" s="4" t="e">
        <f>U21*'Cost Assumptions'!$B$5</f>
        <v>#REF!</v>
      </c>
      <c r="W21" s="4" t="e">
        <f>V21*'Cost Assumptions'!$B$5</f>
        <v>#REF!</v>
      </c>
      <c r="X21" s="4" t="e">
        <f>W21*'Cost Assumptions'!$B$5</f>
        <v>#REF!</v>
      </c>
      <c r="Y21" s="4" t="e">
        <f>X21*'Cost Assumptions'!$B$5</f>
        <v>#REF!</v>
      </c>
      <c r="Z21" s="4" t="e">
        <f>Y21*'Cost Assumptions'!$B$5</f>
        <v>#REF!</v>
      </c>
      <c r="AA21" s="4" t="e">
        <f>Z21*'Cost Assumptions'!$B$5</f>
        <v>#REF!</v>
      </c>
      <c r="AB21" s="4" t="e">
        <f>AA21*'Cost Assumptions'!$B$5</f>
        <v>#REF!</v>
      </c>
      <c r="AC21" s="4" t="e">
        <f>AB21*'Cost Assumptions'!$B$5</f>
        <v>#REF!</v>
      </c>
      <c r="AD21" s="4" t="e">
        <f>AC21*'Cost Assumptions'!$B$5</f>
        <v>#REF!</v>
      </c>
    </row>
    <row r="22" spans="1:30" hidden="1" x14ac:dyDescent="0.35">
      <c r="A22" s="72" t="s">
        <v>114</v>
      </c>
      <c r="B22" s="72" t="s">
        <v>115</v>
      </c>
      <c r="C22" s="72" t="s">
        <v>116</v>
      </c>
      <c r="D22" s="4" t="e">
        <f>'Cost Assumptions'!#REF!*('Cost Assumptions'!B5^18)</f>
        <v>#REF!</v>
      </c>
      <c r="E22" s="4" t="e">
        <f>D22*'Cost Assumptions'!$B$5</f>
        <v>#REF!</v>
      </c>
      <c r="F22" s="4" t="e">
        <f>E22*'Cost Assumptions'!$B$5</f>
        <v>#REF!</v>
      </c>
      <c r="G22" s="4" t="e">
        <f>F22*'Cost Assumptions'!$B$5</f>
        <v>#REF!</v>
      </c>
      <c r="H22" s="4" t="e">
        <f>G22*'Cost Assumptions'!$B$5</f>
        <v>#REF!</v>
      </c>
      <c r="I22" s="4" t="e">
        <f>H22*'Cost Assumptions'!$B$5</f>
        <v>#REF!</v>
      </c>
      <c r="J22" s="4" t="e">
        <f>I22*'Cost Assumptions'!$B$5</f>
        <v>#REF!</v>
      </c>
      <c r="K22" s="4" t="e">
        <f>J22*'Cost Assumptions'!$B$5</f>
        <v>#REF!</v>
      </c>
      <c r="L22" s="4" t="e">
        <f>K22*'Cost Assumptions'!$B$5</f>
        <v>#REF!</v>
      </c>
      <c r="M22" s="4" t="e">
        <f>L22*'Cost Assumptions'!$B$5</f>
        <v>#REF!</v>
      </c>
      <c r="N22" s="4" t="e">
        <f>M22*'Cost Assumptions'!$B$5</f>
        <v>#REF!</v>
      </c>
      <c r="O22" s="4" t="e">
        <f>N22*'Cost Assumptions'!$B$5</f>
        <v>#REF!</v>
      </c>
      <c r="P22" s="4" t="e">
        <f>O22*'Cost Assumptions'!$B$5</f>
        <v>#REF!</v>
      </c>
      <c r="Q22" s="4" t="e">
        <f>P22*'Cost Assumptions'!$B$5</f>
        <v>#REF!</v>
      </c>
      <c r="R22" s="4" t="e">
        <f>Q22*'Cost Assumptions'!$B$5</f>
        <v>#REF!</v>
      </c>
      <c r="S22" s="4" t="e">
        <f>R22*'Cost Assumptions'!$B$5</f>
        <v>#REF!</v>
      </c>
      <c r="T22" s="4" t="e">
        <f>S22*'Cost Assumptions'!$B$5</f>
        <v>#REF!</v>
      </c>
      <c r="U22" s="4" t="e">
        <f>T22*'Cost Assumptions'!$B$5</f>
        <v>#REF!</v>
      </c>
      <c r="V22" s="4" t="e">
        <f>U22*'Cost Assumptions'!$B$5</f>
        <v>#REF!</v>
      </c>
      <c r="W22" s="4" t="e">
        <f>V22*'Cost Assumptions'!$B$5</f>
        <v>#REF!</v>
      </c>
      <c r="X22" s="4" t="e">
        <f>W22*'Cost Assumptions'!$B$5</f>
        <v>#REF!</v>
      </c>
      <c r="Y22" s="4" t="e">
        <f>X22*'Cost Assumptions'!$B$5</f>
        <v>#REF!</v>
      </c>
      <c r="Z22" s="4" t="e">
        <f>Y22*'Cost Assumptions'!$B$5</f>
        <v>#REF!</v>
      </c>
      <c r="AA22" s="4" t="e">
        <f>Z22*'Cost Assumptions'!$B$5</f>
        <v>#REF!</v>
      </c>
      <c r="AB22" s="4" t="e">
        <f>AA22*'Cost Assumptions'!$B$5</f>
        <v>#REF!</v>
      </c>
      <c r="AC22" s="4" t="e">
        <f>AB22*'Cost Assumptions'!$B$5</f>
        <v>#REF!</v>
      </c>
      <c r="AD22" s="4" t="e">
        <f>AC22*'Cost Assumptions'!$B$5</f>
        <v>#REF!</v>
      </c>
    </row>
    <row r="23" spans="1:30" x14ac:dyDescent="0.35">
      <c r="A23" s="72"/>
      <c r="B23" s="72"/>
      <c r="C23" s="72"/>
      <c r="D23" s="72"/>
      <c r="E23" s="72"/>
      <c r="F23" s="72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</row>
    <row r="24" spans="1:30" x14ac:dyDescent="0.35">
      <c r="A24" s="72" t="s">
        <v>117</v>
      </c>
      <c r="B24" s="72" t="s">
        <v>118</v>
      </c>
      <c r="C24" s="18">
        <f>NPV('Cost Assumptions'!$B$3,D24:AD24)</f>
        <v>355030.5479033211</v>
      </c>
      <c r="D24" s="17">
        <v>1354.9655166582397</v>
      </c>
      <c r="E24" s="17">
        <f>D24+($J24-$D24)/(COLUMN($J24)-COLUMN($D24))</f>
        <v>3468.8297365152371</v>
      </c>
      <c r="F24" s="17">
        <f t="shared" ref="F24:I25" si="0">E24+($J24-$D24)/(COLUMN($J24)-COLUMN($D24))</f>
        <v>5582.6939563722344</v>
      </c>
      <c r="G24" s="17">
        <f t="shared" si="0"/>
        <v>7696.5581762292313</v>
      </c>
      <c r="H24" s="17">
        <f t="shared" si="0"/>
        <v>9810.4223960862291</v>
      </c>
      <c r="I24" s="17">
        <f t="shared" si="0"/>
        <v>11924.286615943227</v>
      </c>
      <c r="J24" s="17">
        <v>14038.150835800225</v>
      </c>
      <c r="K24" s="17">
        <v>12087.145216369783</v>
      </c>
      <c r="L24" s="17">
        <v>10461.587725478241</v>
      </c>
      <c r="M24" s="17">
        <v>8610.5229271837234</v>
      </c>
      <c r="N24" s="17">
        <v>12532.452943108336</v>
      </c>
      <c r="O24" s="17">
        <f>N24+($T24-$N24)/(COLUMN($T24)-COLUMN($N24))</f>
        <v>19218.807474313555</v>
      </c>
      <c r="P24" s="17">
        <f t="shared" ref="P24:S25" si="1">O24+($T24-$N24)/(COLUMN($T24)-COLUMN($N24))</f>
        <v>25905.162005518774</v>
      </c>
      <c r="Q24" s="17">
        <f t="shared" si="1"/>
        <v>32591.516536723993</v>
      </c>
      <c r="R24" s="17">
        <f t="shared" si="1"/>
        <v>39277.871067929213</v>
      </c>
      <c r="S24" s="17">
        <f t="shared" si="1"/>
        <v>45964.225599134428</v>
      </c>
      <c r="T24" s="17">
        <v>52650.580130339644</v>
      </c>
      <c r="U24" s="17">
        <f>T24+($Y24-$T24)/(COLUMN($Y24)-COLUMN($T24))</f>
        <v>81297.38310850531</v>
      </c>
      <c r="V24" s="17">
        <f t="shared" ref="V24:X25" si="2">U24+($Y24-$T24)/(COLUMN($Y24)-COLUMN($T24))</f>
        <v>109944.18608667096</v>
      </c>
      <c r="W24" s="17">
        <f t="shared" si="2"/>
        <v>138590.98906483661</v>
      </c>
      <c r="X24" s="17">
        <f t="shared" si="2"/>
        <v>167237.79204300226</v>
      </c>
      <c r="Y24" s="17">
        <v>195884.59502116792</v>
      </c>
      <c r="Z24" s="17">
        <f>Y24+($AD24-$Y24)/(COLUMN($AD24)-COLUMN($Y24))</f>
        <v>242156.07270348849</v>
      </c>
      <c r="AA24" s="17">
        <f t="shared" ref="AA24:AC24" si="3">Z24+($AD24-$Y24)/(COLUMN($AD24)-COLUMN($Y24))</f>
        <v>288427.55038580904</v>
      </c>
      <c r="AB24" s="17">
        <f t="shared" si="3"/>
        <v>334699.02806812961</v>
      </c>
      <c r="AC24" s="17">
        <f t="shared" si="3"/>
        <v>380970.50575045019</v>
      </c>
      <c r="AD24" s="17">
        <v>427241.98343277076</v>
      </c>
    </row>
    <row r="25" spans="1:30" x14ac:dyDescent="0.35">
      <c r="A25" s="72" t="s">
        <v>119</v>
      </c>
      <c r="B25" s="72" t="s">
        <v>118</v>
      </c>
      <c r="C25" s="18">
        <f>NPV('Cost Assumptions'!$B$3,D25:AD25)</f>
        <v>1473194.2273670784</v>
      </c>
      <c r="D25" s="17">
        <v>5622.4102100812415</v>
      </c>
      <c r="E25" s="17">
        <f>D25+($J25-$D25)/(COLUMN($J25)-COLUMN($D25))</f>
        <v>14393.85983468976</v>
      </c>
      <c r="F25" s="17">
        <f t="shared" si="0"/>
        <v>23165.309459298278</v>
      </c>
      <c r="G25" s="17">
        <f t="shared" si="0"/>
        <v>31936.759083906796</v>
      </c>
      <c r="H25" s="17">
        <f t="shared" si="0"/>
        <v>40708.208708515318</v>
      </c>
      <c r="I25" s="17">
        <f t="shared" si="0"/>
        <v>49479.658333123836</v>
      </c>
      <c r="J25" s="17">
        <v>58251.107957732347</v>
      </c>
      <c r="K25" s="17">
        <v>50155.437787715477</v>
      </c>
      <c r="L25" s="17">
        <v>43410.210015127152</v>
      </c>
      <c r="M25" s="17">
        <v>35729.242866146844</v>
      </c>
      <c r="N25" s="17">
        <v>52003.235889336414</v>
      </c>
      <c r="O25" s="17">
        <f>N25+($T25-$N25)/(COLUMN($T25)-COLUMN($N25))</f>
        <v>79748.169263868404</v>
      </c>
      <c r="P25" s="17">
        <f t="shared" si="1"/>
        <v>107493.10263840039</v>
      </c>
      <c r="Q25" s="17">
        <f t="shared" si="1"/>
        <v>135238.03601293237</v>
      </c>
      <c r="R25" s="17">
        <f t="shared" si="1"/>
        <v>162982.96938746434</v>
      </c>
      <c r="S25" s="17">
        <f t="shared" si="1"/>
        <v>190727.90276199632</v>
      </c>
      <c r="T25" s="17">
        <v>218472.83613652832</v>
      </c>
      <c r="U25" s="17">
        <f>T25+($Y25-$T25)/(COLUMN($Y25)-COLUMN($T25))</f>
        <v>337342.33913897944</v>
      </c>
      <c r="V25" s="17">
        <f t="shared" si="2"/>
        <v>456211.84214143053</v>
      </c>
      <c r="W25" s="17">
        <f t="shared" si="2"/>
        <v>575081.34514388163</v>
      </c>
      <c r="X25" s="17">
        <f t="shared" si="2"/>
        <v>693950.84814633278</v>
      </c>
      <c r="Y25" s="17">
        <v>812820.35114878381</v>
      </c>
      <c r="Z25" s="17">
        <f>Y25+($AD25-$Y25)/(COLUMN($AD25)-COLUMN($Y25))</f>
        <v>1004823.1920758745</v>
      </c>
      <c r="AA25" s="17">
        <f>Z25+($AD25-$Y25)/(COLUMN($AD25)-COLUMN($Y25))</f>
        <v>1196826.0330029654</v>
      </c>
      <c r="AB25" s="17">
        <f>AA25+($AD25-$Y25)/(COLUMN($AD25)-COLUMN($Y25))</f>
        <v>1388828.8739300561</v>
      </c>
      <c r="AC25" s="17">
        <f>AB25+($AD25-$Y25)/(COLUMN($AD25)-COLUMN($Y25))</f>
        <v>1580831.7148571468</v>
      </c>
      <c r="AD25" s="17">
        <v>1772834.5557842376</v>
      </c>
    </row>
    <row r="26" spans="1:30" x14ac:dyDescent="0.35">
      <c r="A26" s="72" t="s">
        <v>24</v>
      </c>
      <c r="B26" s="72" t="s">
        <v>118</v>
      </c>
      <c r="C26" s="18">
        <f>NPV('Cost Assumptions'!$B$3,D26:AD26)</f>
        <v>1828224.7752703994</v>
      </c>
      <c r="D26" s="17">
        <f>SUM(D24:D25)</f>
        <v>6977.3757267394813</v>
      </c>
      <c r="E26" s="17">
        <f t="shared" ref="E26:AC26" si="4">SUM(E24:E25)</f>
        <v>17862.689571204995</v>
      </c>
      <c r="F26" s="17">
        <f t="shared" si="4"/>
        <v>28748.003415670511</v>
      </c>
      <c r="G26" s="17">
        <f t="shared" si="4"/>
        <v>39633.317260136027</v>
      </c>
      <c r="H26" s="17">
        <f t="shared" si="4"/>
        <v>50518.631104601547</v>
      </c>
      <c r="I26" s="17">
        <f t="shared" si="4"/>
        <v>61403.944949067067</v>
      </c>
      <c r="J26" s="17">
        <f t="shared" si="4"/>
        <v>72289.258793532572</v>
      </c>
      <c r="K26" s="17">
        <f t="shared" si="4"/>
        <v>62242.58300408526</v>
      </c>
      <c r="L26" s="17">
        <f t="shared" si="4"/>
        <v>53871.797740605391</v>
      </c>
      <c r="M26" s="17">
        <f t="shared" si="4"/>
        <v>44339.765793330567</v>
      </c>
      <c r="N26" s="17">
        <f t="shared" si="4"/>
        <v>64535.68883244475</v>
      </c>
      <c r="O26" s="17">
        <f t="shared" si="4"/>
        <v>98966.976738181955</v>
      </c>
      <c r="P26" s="17">
        <f t="shared" si="4"/>
        <v>133398.26464391916</v>
      </c>
      <c r="Q26" s="17">
        <f t="shared" si="4"/>
        <v>167829.55254965636</v>
      </c>
      <c r="R26" s="17">
        <f t="shared" si="4"/>
        <v>202260.84045539354</v>
      </c>
      <c r="S26" s="17">
        <f t="shared" si="4"/>
        <v>236692.12836113074</v>
      </c>
      <c r="T26" s="17">
        <f t="shared" si="4"/>
        <v>271123.41626686795</v>
      </c>
      <c r="U26" s="17">
        <f t="shared" si="4"/>
        <v>418639.72224748472</v>
      </c>
      <c r="V26" s="17">
        <f t="shared" si="4"/>
        <v>566156.02822810155</v>
      </c>
      <c r="W26" s="17">
        <f>SUM(W24:W25)</f>
        <v>713672.33420871827</v>
      </c>
      <c r="X26" s="17">
        <f t="shared" si="4"/>
        <v>861188.64018933498</v>
      </c>
      <c r="Y26" s="17">
        <f t="shared" si="4"/>
        <v>1008704.9461699517</v>
      </c>
      <c r="Z26" s="17">
        <f t="shared" si="4"/>
        <v>1246979.2647793631</v>
      </c>
      <c r="AA26" s="17">
        <f t="shared" si="4"/>
        <v>1485253.5833887744</v>
      </c>
      <c r="AB26" s="17">
        <f t="shared" si="4"/>
        <v>1723527.9019981858</v>
      </c>
      <c r="AC26" s="17">
        <f t="shared" si="4"/>
        <v>1961802.2206075969</v>
      </c>
      <c r="AD26" s="17">
        <f>SUM(AD24:AD25)</f>
        <v>2200076.5392170083</v>
      </c>
    </row>
    <row r="27" spans="1:30" x14ac:dyDescent="0.35">
      <c r="A27" s="72"/>
      <c r="B27" s="72"/>
      <c r="C27" s="72"/>
      <c r="D27" s="72"/>
      <c r="E27" s="72"/>
      <c r="F27" s="72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</row>
    <row r="28" spans="1:30" x14ac:dyDescent="0.35">
      <c r="A28" s="72" t="s">
        <v>120</v>
      </c>
      <c r="B28" s="72" t="s">
        <v>118</v>
      </c>
      <c r="C28" s="18">
        <f>NPV('Cost Assumptions'!$B$3,D28:AD28)</f>
        <v>24322736.867207415</v>
      </c>
      <c r="D28" s="17">
        <v>160311.2620318876</v>
      </c>
      <c r="E28" s="17">
        <v>426681.41358302307</v>
      </c>
      <c r="F28" s="17">
        <v>622797.58403751405</v>
      </c>
      <c r="G28" s="17">
        <v>833710.68965832237</v>
      </c>
      <c r="H28" s="17">
        <v>1064544.9637495263</v>
      </c>
      <c r="I28" s="17">
        <v>1155248.1483230039</v>
      </c>
      <c r="J28" s="17">
        <v>1567795.6535710837</v>
      </c>
      <c r="K28" s="17">
        <v>1347745.4554885479</v>
      </c>
      <c r="L28" s="17">
        <v>1143199.8672408643</v>
      </c>
      <c r="M28" s="17">
        <v>1340230.0479167867</v>
      </c>
      <c r="N28" s="17">
        <v>1211871.2277846751</v>
      </c>
      <c r="O28" s="17">
        <v>1844840.0090543826</v>
      </c>
      <c r="P28" s="17">
        <v>2356895.0256503327</v>
      </c>
      <c r="Q28" s="17">
        <v>2752240.7792296447</v>
      </c>
      <c r="R28" s="17">
        <v>3112959.3920374792</v>
      </c>
      <c r="S28" s="17">
        <v>3866030.048087935</v>
      </c>
      <c r="T28" s="17">
        <v>4800043.3764840001</v>
      </c>
      <c r="U28" s="17">
        <v>5605356.4974824116</v>
      </c>
      <c r="V28" s="17">
        <v>6874181.4866932966</v>
      </c>
      <c r="W28" s="17">
        <v>7999576.6636784412</v>
      </c>
      <c r="X28" s="17">
        <v>9754283.3840660583</v>
      </c>
      <c r="Y28" s="17">
        <v>11535617.976796627</v>
      </c>
      <c r="Z28" s="17">
        <v>13419029.134060645</v>
      </c>
      <c r="AA28" s="17">
        <v>15550241.498579893</v>
      </c>
      <c r="AB28" s="17">
        <v>17751814.256896835</v>
      </c>
      <c r="AC28" s="17">
        <v>19753092.153455924</v>
      </c>
      <c r="AD28" s="17">
        <v>21673528.399512697</v>
      </c>
    </row>
    <row r="29" spans="1:30" x14ac:dyDescent="0.35">
      <c r="A29" s="72" t="s">
        <v>121</v>
      </c>
      <c r="B29" s="72" t="s">
        <v>118</v>
      </c>
      <c r="C29" s="18">
        <f>NPV('Cost Assumptions'!$B$3,D29:AD29)</f>
        <v>111616614.01387709</v>
      </c>
      <c r="D29" s="17">
        <v>903346.68264248176</v>
      </c>
      <c r="E29" s="17">
        <v>2253380.2014470203</v>
      </c>
      <c r="F29" s="17">
        <v>3310518.2522157584</v>
      </c>
      <c r="G29" s="17">
        <v>4447479.3478986584</v>
      </c>
      <c r="H29" s="17">
        <v>5587189.795765399</v>
      </c>
      <c r="I29" s="17">
        <v>5454549.1605001325</v>
      </c>
      <c r="J29" s="17">
        <v>7543147.8061243081</v>
      </c>
      <c r="K29" s="17">
        <v>6412592.364404032</v>
      </c>
      <c r="L29" s="17">
        <v>5385232.8797742622</v>
      </c>
      <c r="M29" s="17">
        <v>6340117.1212563487</v>
      </c>
      <c r="N29" s="17">
        <v>6361112.9189538537</v>
      </c>
      <c r="O29" s="17">
        <v>8895771.1264487375</v>
      </c>
      <c r="P29" s="17">
        <v>11481103.835917845</v>
      </c>
      <c r="Q29" s="17">
        <v>12843987.910857875</v>
      </c>
      <c r="R29" s="17">
        <v>13698596.18827603</v>
      </c>
      <c r="S29" s="17">
        <v>17199347.660875205</v>
      </c>
      <c r="T29" s="17">
        <v>21372792.810114369</v>
      </c>
      <c r="U29" s="17">
        <v>24257449.061312743</v>
      </c>
      <c r="V29" s="17">
        <v>29703520.689742472</v>
      </c>
      <c r="W29" s="17">
        <v>34774447.076135397</v>
      </c>
      <c r="X29" s="17">
        <v>42273498.74532187</v>
      </c>
      <c r="Y29" s="17">
        <v>50410415.488010727</v>
      </c>
      <c r="Z29" s="17">
        <v>59093268.855131164</v>
      </c>
      <c r="AA29" s="17">
        <v>69213486.158677086</v>
      </c>
      <c r="AB29" s="17">
        <v>79553492.093079031</v>
      </c>
      <c r="AC29" s="17">
        <v>89158920.062468082</v>
      </c>
      <c r="AD29" s="17">
        <v>98364469.734937131</v>
      </c>
    </row>
    <row r="30" spans="1:30" x14ac:dyDescent="0.35">
      <c r="A30" s="72" t="s">
        <v>24</v>
      </c>
      <c r="B30" s="72" t="s">
        <v>118</v>
      </c>
      <c r="C30" s="18">
        <f>NPV('Cost Assumptions'!$B$3,D30:AD30)</f>
        <v>135939350.88108453</v>
      </c>
      <c r="D30" s="17">
        <f>SUM(D28:D29)</f>
        <v>1063657.9446743694</v>
      </c>
      <c r="E30" s="17">
        <f t="shared" ref="E30:AD30" si="5">SUM(E28:E29)</f>
        <v>2680061.6150300433</v>
      </c>
      <c r="F30" s="17">
        <f t="shared" si="5"/>
        <v>3933315.8362532724</v>
      </c>
      <c r="G30" s="17">
        <f t="shared" si="5"/>
        <v>5281190.0375569807</v>
      </c>
      <c r="H30" s="17">
        <f t="shared" si="5"/>
        <v>6651734.7595149251</v>
      </c>
      <c r="I30" s="17">
        <f t="shared" si="5"/>
        <v>6609797.3088231366</v>
      </c>
      <c r="J30" s="17">
        <f t="shared" si="5"/>
        <v>9110943.4596953914</v>
      </c>
      <c r="K30" s="17">
        <f t="shared" si="5"/>
        <v>7760337.8198925797</v>
      </c>
      <c r="L30" s="17">
        <f t="shared" si="5"/>
        <v>6528432.747015126</v>
      </c>
      <c r="M30" s="17">
        <v>7680347.1691731354</v>
      </c>
      <c r="N30" s="17">
        <v>7572984.1467385292</v>
      </c>
      <c r="O30" s="17">
        <f t="shared" si="5"/>
        <v>10740611.135503121</v>
      </c>
      <c r="P30" s="17">
        <f t="shared" si="5"/>
        <v>13837998.861568179</v>
      </c>
      <c r="Q30" s="17">
        <f t="shared" si="5"/>
        <v>15596228.69008752</v>
      </c>
      <c r="R30" s="17">
        <f t="shared" si="5"/>
        <v>16811555.580313511</v>
      </c>
      <c r="S30" s="17">
        <f t="shared" si="5"/>
        <v>21065377.708963141</v>
      </c>
      <c r="T30" s="17">
        <f t="shared" si="5"/>
        <v>26172836.186598368</v>
      </c>
      <c r="U30" s="17">
        <f t="shared" si="5"/>
        <v>29862805.558795154</v>
      </c>
      <c r="V30" s="17">
        <f t="shared" si="5"/>
        <v>36577702.176435769</v>
      </c>
      <c r="W30" s="17">
        <f t="shared" si="5"/>
        <v>42774023.739813834</v>
      </c>
      <c r="X30" s="17">
        <f t="shared" si="5"/>
        <v>52027782.12938793</v>
      </c>
      <c r="Y30" s="17">
        <f t="shared" si="5"/>
        <v>61946033.464807354</v>
      </c>
      <c r="Z30" s="17">
        <f t="shared" si="5"/>
        <v>72512297.989191815</v>
      </c>
      <c r="AA30" s="17">
        <f t="shared" si="5"/>
        <v>84763727.657256976</v>
      </c>
      <c r="AB30" s="17">
        <f t="shared" si="5"/>
        <v>97305306.349975869</v>
      </c>
      <c r="AC30" s="17">
        <f t="shared" si="5"/>
        <v>108912012.21592401</v>
      </c>
      <c r="AD30" s="17">
        <f t="shared" si="5"/>
        <v>120037998.13444982</v>
      </c>
    </row>
    <row r="31" spans="1:30" x14ac:dyDescent="0.35">
      <c r="A31" s="72"/>
      <c r="B31" s="72"/>
      <c r="C31" s="72"/>
      <c r="D31" s="72"/>
      <c r="E31" s="72"/>
      <c r="F31" s="72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</row>
    <row r="32" spans="1:30" x14ac:dyDescent="0.35">
      <c r="A32" s="72" t="s">
        <v>117</v>
      </c>
      <c r="B32" s="72" t="s">
        <v>122</v>
      </c>
      <c r="C32" s="18">
        <f>NPV('Cost Assumptions'!$B$3,D32:AD32)</f>
        <v>712935284.09782958</v>
      </c>
      <c r="D32" s="53">
        <f>(D13*D17*1000*'Cost Assumptions'!$B$6)/'Cost Assumptions'!$B$14</f>
        <v>22022883.738170404</v>
      </c>
      <c r="E32" s="53">
        <f>(E13*E17*1000*'Cost Assumptions'!$B$6)/'Cost Assumptions'!$B$14</f>
        <v>30015837.814975295</v>
      </c>
      <c r="F32" s="53">
        <f>(F13*F17*1000*'Cost Assumptions'!$B$6)/'Cost Assumptions'!$B$14</f>
        <v>38394675.293284059</v>
      </c>
      <c r="G32" s="53">
        <f>(G13*G17*1000*'Cost Assumptions'!$B$6)/'Cost Assumptions'!$B$14</f>
        <v>47173694.746873915</v>
      </c>
      <c r="H32" s="53">
        <f>(H13*H17*1000*'Cost Assumptions'!$B$6)/'Cost Assumptions'!$B$14</f>
        <v>56367668.501084946</v>
      </c>
      <c r="I32" s="53">
        <f>(I13*I17*1000*'Cost Assumptions'!$B$6)/'Cost Assumptions'!$B$14</f>
        <v>65991857.383789733</v>
      </c>
      <c r="J32" s="53">
        <f>(J13*J17*1000*'Cost Assumptions'!$B$6)/'Cost Assumptions'!$B$14</f>
        <v>76062025.917816579</v>
      </c>
      <c r="K32" s="53">
        <f>(K13*K17*1000*'Cost Assumptions'!$B$6)/'Cost Assumptions'!$B$14</f>
        <v>75086616.098456025</v>
      </c>
      <c r="L32" s="53">
        <f>(L13*L17*1000*'Cost Assumptions'!$B$6)/'Cost Assumptions'!$B$14</f>
        <v>74014897.021928787</v>
      </c>
      <c r="M32" s="53">
        <f>(M13*M17*1000*'Cost Assumptions'!$B$6)/'Cost Assumptions'!$B$14</f>
        <v>68308752.970068678</v>
      </c>
      <c r="N32" s="53">
        <f>(N13*N17*1000*'Cost Assumptions'!$B$6)/'Cost Assumptions'!$B$14</f>
        <v>74663729.427926496</v>
      </c>
      <c r="O32" s="53">
        <f>(O13*O17*1000*'Cost Assumptions'!$B$6)/'Cost Assumptions'!$B$14</f>
        <v>89742796.993682802</v>
      </c>
      <c r="P32" s="53">
        <f>(P13*P17*1000*'Cost Assumptions'!$B$6)/'Cost Assumptions'!$B$14</f>
        <v>96979854.661049411</v>
      </c>
      <c r="Q32" s="53">
        <f>(Q13*Q17*1000*'Cost Assumptions'!$B$6)/'Cost Assumptions'!$B$14</f>
        <v>104522675.96366331</v>
      </c>
      <c r="R32" s="53">
        <f>(R13*R17*1000*'Cost Assumptions'!$B$6)/'Cost Assumptions'!$B$14</f>
        <v>112382025.92224473</v>
      </c>
      <c r="S32" s="53">
        <f>(S13*S17*1000*'Cost Assumptions'!$B$6)/'Cost Assumptions'!$B$14</f>
        <v>120569016.70627795</v>
      </c>
      <c r="T32" s="53">
        <f>(T13*T17*1000*'Cost Assumptions'!$B$6)/'Cost Assumptions'!$B$14</f>
        <v>129095118.26331142</v>
      </c>
      <c r="U32" s="53">
        <f>(U13*U17*1000*'Cost Assumptions'!$B$6)/'Cost Assumptions'!$B$14</f>
        <v>137972169.26275513</v>
      </c>
      <c r="V32" s="53">
        <f>(V13*V17*1000*'Cost Assumptions'!$B$6)/'Cost Assumptions'!$B$14</f>
        <v>147212388.36325648</v>
      </c>
      <c r="W32" s="53">
        <f>(W13*W17*1000*'Cost Assumptions'!$B$6)/'Cost Assumptions'!$B$14</f>
        <v>156828385.81299365</v>
      </c>
      <c r="X32" s="53">
        <f>(X13*X17*1000*'Cost Assumptions'!$B$6)/'Cost Assumptions'!$B$14</f>
        <v>166833175.39249066</v>
      </c>
      <c r="Y32" s="53">
        <f>(Y13*Y17*1000*'Cost Assumptions'!$B$6)/'Cost Assumptions'!$B$14</f>
        <v>177240186.70982936</v>
      </c>
      <c r="Z32" s="53">
        <f>(Z13*Z17*1000*'Cost Assumptions'!$B$6)/'Cost Assumptions'!$B$14</f>
        <v>188063277.85841471</v>
      </c>
      <c r="AA32" s="53">
        <f>(AA13*AA17*1000*'Cost Assumptions'!$B$6)/'Cost Assumptions'!$B$14</f>
        <v>199316748.44773573</v>
      </c>
      <c r="AB32" s="53">
        <f>(AB13*AB17*1000*'Cost Assumptions'!$B$6)/'Cost Assumptions'!$B$14</f>
        <v>211015353.01786122</v>
      </c>
      <c r="AC32" s="53">
        <f>(AC13*AC17*1000*'Cost Assumptions'!$B$6)/'Cost Assumptions'!$B$14</f>
        <v>223174314.84871322</v>
      </c>
      <c r="AD32" s="53">
        <f>(AD13*AD17*1000*'Cost Assumptions'!$B$6)/'Cost Assumptions'!$B$14</f>
        <v>235809340.1754716</v>
      </c>
    </row>
    <row r="33" spans="1:30" x14ac:dyDescent="0.35">
      <c r="A33" s="72" t="s">
        <v>119</v>
      </c>
      <c r="B33" s="72" t="s">
        <v>122</v>
      </c>
      <c r="C33" s="18">
        <f>NPV('Cost Assumptions'!$B$3,D33:AD33)</f>
        <v>2937031377.0892601</v>
      </c>
      <c r="D33" s="53">
        <f>(D13*D19*1000*'Cost Assumptions'!$B$7)/'Cost Assumptions'!$B$14</f>
        <v>90726187.910373613</v>
      </c>
      <c r="E33" s="53">
        <f>(E13*E19*1000*'Cost Assumptions'!$B$7)/'Cost Assumptions'!$B$14</f>
        <v>123654221.41192231</v>
      </c>
      <c r="F33" s="53">
        <f>(F13*F19*1000*'Cost Assumptions'!$B$7)/'Cost Assumptions'!$B$14</f>
        <v>158171952.72110444</v>
      </c>
      <c r="G33" s="53">
        <f>(G13*G19*1000*'Cost Assumptions'!$B$7)/'Cost Assumptions'!$B$14</f>
        <v>194338286.70736322</v>
      </c>
      <c r="H33" s="53">
        <f>(H13*H19*1000*'Cost Assumptions'!$B$7)/'Cost Assumptions'!$B$14</f>
        <v>232214079.92248425</v>
      </c>
      <c r="I33" s="53">
        <f>(I13*I19*1000*'Cost Assumptions'!$B$7)/'Cost Assumptions'!$B$14</f>
        <v>271862201.36916924</v>
      </c>
      <c r="J33" s="53">
        <f>(J13*J19*1000*'Cost Assumptions'!$B$7)/'Cost Assumptions'!$B$14</f>
        <v>313347595.08823681</v>
      </c>
      <c r="K33" s="53">
        <f>(K13*K19*1000*'Cost Assumptions'!$B$7)/'Cost Assumptions'!$B$14</f>
        <v>309329265.08145618</v>
      </c>
      <c r="L33" s="53">
        <f>(L13*L19*1000*'Cost Assumptions'!$B$7)/'Cost Assumptions'!$B$14</f>
        <v>304914176.32740641</v>
      </c>
      <c r="M33" s="53">
        <f>(M13*M19*1000*'Cost Assumptions'!$B$7)/'Cost Assumptions'!$B$14</f>
        <v>281406959.75905842</v>
      </c>
      <c r="N33" s="53">
        <f>(N13*N19*1000*'Cost Assumptions'!$B$7)/'Cost Assumptions'!$B$14</f>
        <v>307587127.40360278</v>
      </c>
      <c r="O33" s="53">
        <f>(O13*O19*1000*'Cost Assumptions'!$B$7)/'Cost Assumptions'!$B$14</f>
        <v>369707344.43552911</v>
      </c>
      <c r="P33" s="53">
        <f>(P13*P19*1000*'Cost Assumptions'!$B$7)/'Cost Assumptions'!$B$14</f>
        <v>399521362.51117742</v>
      </c>
      <c r="Q33" s="53">
        <f>(Q13*Q19*1000*'Cost Assumptions'!$B$7)/'Cost Assumptions'!$B$14</f>
        <v>430595014.40033591</v>
      </c>
      <c r="R33" s="53">
        <f>(R13*R19*1000*'Cost Assumptions'!$B$7)/'Cost Assumptions'!$B$14</f>
        <v>462972648.03238285</v>
      </c>
      <c r="S33" s="53">
        <f>(S13*S19*1000*'Cost Assumptions'!$B$7)/'Cost Assumptions'!$B$14</f>
        <v>496700041.46203202</v>
      </c>
      <c r="T33" s="53">
        <f>(T13*T19*1000*'Cost Assumptions'!$B$7)/'Cost Assumptions'!$B$14</f>
        <v>531824446.65814328</v>
      </c>
      <c r="U33" s="53">
        <f>(U13*U19*1000*'Cost Assumptions'!$B$7)/'Cost Assumptions'!$B$14</f>
        <v>568394634.58814633</v>
      </c>
      <c r="V33" s="53">
        <f>(V13*V19*1000*'Cost Assumptions'!$B$7)/'Cost Assumptions'!$B$14</f>
        <v>606460941.63548827</v>
      </c>
      <c r="W33" s="53">
        <f>(W13*W19*1000*'Cost Assumptions'!$B$7)/'Cost Assumptions'!$B$14</f>
        <v>646075317.38857985</v>
      </c>
      <c r="X33" s="53">
        <f>(X13*X19*1000*'Cost Assumptions'!$B$7)/'Cost Assumptions'!$B$14</f>
        <v>687291373.8408035</v>
      </c>
      <c r="Y33" s="53">
        <f>(Y13*Y19*1000*'Cost Assumptions'!$B$7)/'Cost Assumptions'!$B$14</f>
        <v>730164436.04227066</v>
      </c>
      <c r="Z33" s="53">
        <f>(Z13*Z19*1000*'Cost Assumptions'!$B$7)/'Cost Assumptions'!$B$14</f>
        <v>774751594.24516058</v>
      </c>
      <c r="AA33" s="53">
        <f>(AA13*AA19*1000*'Cost Assumptions'!$B$7)/'Cost Assumptions'!$B$14</f>
        <v>821111757.58566856</v>
      </c>
      <c r="AB33" s="53">
        <f>(AB13*AB19*1000*'Cost Assumptions'!$B$7)/'Cost Assumptions'!$B$14</f>
        <v>869305709.3467989</v>
      </c>
      <c r="AC33" s="53">
        <f>(AC13*AC19*1000*'Cost Assumptions'!$B$7)/'Cost Assumptions'!$B$14</f>
        <v>919396163.84749448</v>
      </c>
      <c r="AD33" s="53">
        <f>(AD13*AD19*1000*'Cost Assumptions'!$B$7)/'Cost Assumptions'!$B$14</f>
        <v>971447825.00488293</v>
      </c>
    </row>
    <row r="34" spans="1:30" x14ac:dyDescent="0.35">
      <c r="A34" s="72" t="s">
        <v>24</v>
      </c>
      <c r="B34" s="72" t="s">
        <v>122</v>
      </c>
      <c r="C34" s="18">
        <f>NPV('Cost Assumptions'!$B$3,D34:AD34)</f>
        <v>3649966661.1870899</v>
      </c>
      <c r="D34" s="4">
        <f>SUM(D32:D33)</f>
        <v>112749071.64854401</v>
      </c>
      <c r="E34" s="4">
        <f t="shared" ref="E34:AD34" si="6">SUM(E32:E33)</f>
        <v>153670059.2268976</v>
      </c>
      <c r="F34" s="4">
        <f t="shared" si="6"/>
        <v>196566628.0143885</v>
      </c>
      <c r="G34" s="4">
        <f t="shared" si="6"/>
        <v>241511981.45423713</v>
      </c>
      <c r="H34" s="4">
        <f t="shared" si="6"/>
        <v>288581748.4235692</v>
      </c>
      <c r="I34" s="4">
        <f t="shared" si="6"/>
        <v>337854058.75295895</v>
      </c>
      <c r="J34" s="4">
        <f t="shared" si="6"/>
        <v>389409621.00605339</v>
      </c>
      <c r="K34" s="4">
        <f t="shared" si="6"/>
        <v>384415881.17991221</v>
      </c>
      <c r="L34" s="4">
        <f t="shared" si="6"/>
        <v>378929073.34933519</v>
      </c>
      <c r="M34" s="4">
        <f t="shared" si="6"/>
        <v>349715712.72912711</v>
      </c>
      <c r="N34" s="4">
        <f t="shared" si="6"/>
        <v>382250856.83152926</v>
      </c>
      <c r="O34" s="4">
        <f t="shared" si="6"/>
        <v>459450141.42921191</v>
      </c>
      <c r="P34" s="4">
        <f t="shared" si="6"/>
        <v>496501217.17222685</v>
      </c>
      <c r="Q34" s="4">
        <f t="shared" si="6"/>
        <v>535117690.36399925</v>
      </c>
      <c r="R34" s="4">
        <f t="shared" si="6"/>
        <v>575354673.95462751</v>
      </c>
      <c r="S34" s="4">
        <f t="shared" si="6"/>
        <v>617269058.16830993</v>
      </c>
      <c r="T34" s="4">
        <f t="shared" si="6"/>
        <v>660919564.92145467</v>
      </c>
      <c r="U34" s="4">
        <f t="shared" si="6"/>
        <v>706366803.85090148</v>
      </c>
      <c r="V34" s="4">
        <f t="shared" si="6"/>
        <v>753673329.99874473</v>
      </c>
      <c r="W34" s="4">
        <f t="shared" si="6"/>
        <v>802903703.20157349</v>
      </c>
      <c r="X34" s="4">
        <f t="shared" si="6"/>
        <v>854124549.23329413</v>
      </c>
      <c r="Y34" s="4">
        <f t="shared" si="6"/>
        <v>907404622.75209999</v>
      </c>
      <c r="Z34" s="4">
        <f t="shared" si="6"/>
        <v>962814872.10357523</v>
      </c>
      <c r="AA34" s="4">
        <f t="shared" si="6"/>
        <v>1020428506.0334044</v>
      </c>
      <c r="AB34" s="4">
        <f t="shared" si="6"/>
        <v>1080321062.36466</v>
      </c>
      <c r="AC34" s="4">
        <f t="shared" si="6"/>
        <v>1142570478.6962078</v>
      </c>
      <c r="AD34" s="4">
        <f t="shared" si="6"/>
        <v>1207257165.1803546</v>
      </c>
    </row>
    <row r="35" spans="1:30" x14ac:dyDescent="0.35">
      <c r="A35" s="72"/>
      <c r="B35" s="72"/>
      <c r="C35" s="72"/>
      <c r="D35" s="72"/>
      <c r="E35" s="72"/>
      <c r="F35" s="72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</row>
    <row r="36" spans="1:30" x14ac:dyDescent="0.35">
      <c r="A36" s="72" t="s">
        <v>123</v>
      </c>
      <c r="B36" s="72" t="s">
        <v>124</v>
      </c>
      <c r="C36" s="18">
        <f>NPV('Cost Assumptions'!$B$3,D36:AD36)</f>
        <v>78487372.195270285</v>
      </c>
      <c r="D36" s="17">
        <f>D14*'Cost Assumptions'!$B$13*'Cost Assumptions'!$B$6*1000*D18</f>
        <v>6582087.2606216678</v>
      </c>
      <c r="E36" s="17">
        <f>E14*'Cost Assumptions'!$B$13*'Cost Assumptions'!$B$6*1000*E18</f>
        <v>6829704.9761377107</v>
      </c>
      <c r="F36" s="17">
        <f>F14*'Cost Assumptions'!$B$13*'Cost Assumptions'!$B$6*1000*F18</f>
        <v>7040875.7897706516</v>
      </c>
      <c r="G36" s="17">
        <f>G14*'Cost Assumptions'!$B$13*'Cost Assumptions'!$B$6*1000*G18</f>
        <v>7259479.078895458</v>
      </c>
      <c r="H36" s="17">
        <f>H14*'Cost Assumptions'!$B$13*'Cost Assumptions'!$B$6*1000*H18</f>
        <v>7486869.9132488333</v>
      </c>
      <c r="I36" s="17">
        <f>I14*'Cost Assumptions'!$B$13*'Cost Assumptions'!$B$6*1000*I18</f>
        <v>7727984.1792900022</v>
      </c>
      <c r="J36" s="17">
        <f>J14*'Cost Assumptions'!$B$13*'Cost Assumptions'!$B$6*1000*J18</f>
        <v>7976465.2599824313</v>
      </c>
      <c r="K36" s="17">
        <f>K14*'Cost Assumptions'!$B$13*'Cost Assumptions'!$B$6*1000*K18</f>
        <v>8138521.7348377155</v>
      </c>
      <c r="L36" s="17">
        <f>L14*'Cost Assumptions'!$B$13*'Cost Assumptions'!$B$6*1000*L18</f>
        <v>8303698.6398906484</v>
      </c>
      <c r="M36" s="17">
        <f>M14*'Cost Assumptions'!$B$13*'Cost Assumptions'!$B$6*1000*M18</f>
        <v>8472040.5508708488</v>
      </c>
      <c r="N36" s="17">
        <f>N14*'Cost Assumptions'!$B$13*'Cost Assumptions'!$B$6*1000*N18</f>
        <v>8748283.9451632462</v>
      </c>
      <c r="O36" s="17">
        <f>O14*'Cost Assumptions'!$B$13*'Cost Assumptions'!$B$6*1000*O18</f>
        <v>9034868.2791319024</v>
      </c>
      <c r="P36" s="17">
        <f>P14*'Cost Assumptions'!$B$13*'Cost Assumptions'!$B$6*1000*P18</f>
        <v>9332332.1551309545</v>
      </c>
      <c r="Q36" s="17">
        <f>Q14*'Cost Assumptions'!$B$13*'Cost Assumptions'!$B$6*1000*Q18</f>
        <v>9637667.5154546164</v>
      </c>
      <c r="R36" s="17">
        <f>R14*'Cost Assumptions'!$B$13*'Cost Assumptions'!$B$6*1000*R18</f>
        <v>9954039.3858754877</v>
      </c>
      <c r="S36" s="17">
        <f>S14*'Cost Assumptions'!$B$13*'Cost Assumptions'!$B$6*1000*S18</f>
        <v>10281604.54768542</v>
      </c>
      <c r="T36" s="17">
        <f>T14*'Cost Assumptions'!$B$13*'Cost Assumptions'!$B$6*1000*T18</f>
        <v>10621208.842021268</v>
      </c>
      <c r="U36" s="17">
        <f>U14*'Cost Assumptions'!$B$13*'Cost Assumptions'!$B$6*1000*U18</f>
        <v>10963694.78489022</v>
      </c>
      <c r="V36" s="17">
        <f>V14*'Cost Assumptions'!$B$13*'Cost Assumptions'!$B$6*1000*V18</f>
        <v>11317020.530298602</v>
      </c>
      <c r="W36" s="17">
        <f>W14*'Cost Assumptions'!$B$13*'Cost Assumptions'!$B$6*1000*W18</f>
        <v>11681132.361048715</v>
      </c>
      <c r="X36" s="17">
        <f>X14*'Cost Assumptions'!$B$13*'Cost Assumptions'!$B$6*1000*X18</f>
        <v>12056910.325603882</v>
      </c>
      <c r="Y36" s="17">
        <f>Y14*'Cost Assumptions'!$B$13*'Cost Assumptions'!$B$6*1000*Y18</f>
        <v>12429963.674275804</v>
      </c>
      <c r="Z36" s="17">
        <f>Z14*'Cost Assumptions'!$B$13*'Cost Assumptions'!$B$6*1000*Z18</f>
        <v>12812401.966175374</v>
      </c>
      <c r="AA36" s="17">
        <f>AA14*'Cost Assumptions'!$B$13*'Cost Assumptions'!$B$6*1000*AA18</f>
        <v>13203740.64344885</v>
      </c>
      <c r="AB36" s="17">
        <f>AB14*'Cost Assumptions'!$B$13*'Cost Assumptions'!$B$6*1000*AB18</f>
        <v>13604639.828985486</v>
      </c>
      <c r="AC36" s="17">
        <f>AC14*'Cost Assumptions'!$B$13*'Cost Assumptions'!$B$6*1000*AC18</f>
        <v>13996554.100886177</v>
      </c>
      <c r="AD36" s="17">
        <f>AD14*'Cost Assumptions'!$B$13*'Cost Assumptions'!$B$6*1000*AD18</f>
        <v>14393913.675642764</v>
      </c>
    </row>
    <row r="37" spans="1:30" x14ac:dyDescent="0.35">
      <c r="A37" s="72" t="s">
        <v>114</v>
      </c>
      <c r="B37" s="72" t="s">
        <v>124</v>
      </c>
      <c r="C37" s="18">
        <f>NPV('Cost Assumptions'!$B$3,D37:AD37)</f>
        <v>353793756.67203003</v>
      </c>
      <c r="D37" s="17">
        <f>D14*'Cost Assumptions'!$B$7*'Cost Assumptions'!$B$13*'Baseline System Analysis'!D20*1000</f>
        <v>29669758.504397735</v>
      </c>
      <c r="E37" s="17">
        <f>E14*'Cost Assumptions'!$B$7*'Cost Assumptions'!$B$13*'Baseline System Analysis'!E20*1000</f>
        <v>30785932.98368863</v>
      </c>
      <c r="F37" s="17">
        <f>F14*'Cost Assumptions'!$B$7*'Cost Assumptions'!$B$13*'Baseline System Analysis'!F20*1000</f>
        <v>31737817.514474202</v>
      </c>
      <c r="G37" s="17">
        <f>G14*'Cost Assumptions'!$B$7*'Cost Assumptions'!$B$13*'Baseline System Analysis'!G20*1000</f>
        <v>32723205.057936728</v>
      </c>
      <c r="H37" s="17">
        <f>H14*'Cost Assumptions'!$B$7*'Cost Assumptions'!$B$13*'Baseline System Analysis'!H20*1000</f>
        <v>33748203.796823233</v>
      </c>
      <c r="I37" s="17">
        <f>I14*'Cost Assumptions'!$B$7*'Cost Assumptions'!$B$13*'Baseline System Analysis'!I20*1000</f>
        <v>34835062.989378355</v>
      </c>
      <c r="J37" s="17">
        <f>J14*'Cost Assumptions'!$B$7*'Cost Assumptions'!$B$13*'Baseline System Analysis'!J20*1000</f>
        <v>35955129.218393959</v>
      </c>
      <c r="K37" s="17">
        <f>K14*'Cost Assumptions'!$B$7*'Cost Assumptions'!$B$13*'Baseline System Analysis'!K20*1000</f>
        <v>36685623.40399918</v>
      </c>
      <c r="L37" s="17">
        <f>L14*'Cost Assumptions'!$B$7*'Cost Assumptions'!$B$13*'Baseline System Analysis'!L20*1000</f>
        <v>37430183.402883403</v>
      </c>
      <c r="M37" s="17">
        <f>M14*'Cost Assumptions'!$B$7*'Cost Assumptions'!$B$13*'Baseline System Analysis'!M20*1000</f>
        <v>38189010.146921374</v>
      </c>
      <c r="N37" s="17">
        <f>N14*'Cost Assumptions'!$B$7*'Cost Assumptions'!$B$13*'Baseline System Analysis'!N20*1000</f>
        <v>39434219.22309465</v>
      </c>
      <c r="O37" s="17">
        <f>O14*'Cost Assumptions'!$B$7*'Cost Assumptions'!$B$13*'Baseline System Analysis'!O20*1000</f>
        <v>40726041.656209975</v>
      </c>
      <c r="P37" s="17">
        <f>P14*'Cost Assumptions'!$B$7*'Cost Assumptions'!$B$13*'Baseline System Analysis'!P20*1000</f>
        <v>42066905.278221652</v>
      </c>
      <c r="Q37" s="17">
        <f>Q14*'Cost Assumptions'!$B$7*'Cost Assumptions'!$B$13*'Baseline System Analysis'!Q20*1000</f>
        <v>43443250.81193319</v>
      </c>
      <c r="R37" s="17">
        <f>R14*'Cost Assumptions'!$B$7*'Cost Assumptions'!$B$13*'Baseline System Analysis'!R20*1000</f>
        <v>44869345.091954224</v>
      </c>
      <c r="S37" s="17">
        <f>S14*'Cost Assumptions'!$B$7*'Cost Assumptions'!$B$13*'Baseline System Analysis'!S20*1000</f>
        <v>46345894.833781362</v>
      </c>
      <c r="T37" s="17">
        <f>T14*'Cost Assumptions'!$B$7*'Cost Assumptions'!$B$13*'Baseline System Analysis'!T20*1000</f>
        <v>47876712.794868268</v>
      </c>
      <c r="U37" s="17">
        <f>U14*'Cost Assumptions'!$B$7*'Cost Assumptions'!$B$13*'Baseline System Analysis'!U20*1000</f>
        <v>49420520.224597342</v>
      </c>
      <c r="V37" s="17">
        <f>V14*'Cost Assumptions'!$B$7*'Cost Assumptions'!$B$13*'Baseline System Analysis'!V20*1000</f>
        <v>51013189.711428627</v>
      </c>
      <c r="W37" s="17">
        <f>W14*'Cost Assumptions'!$B$7*'Cost Assumptions'!$B$13*'Baseline System Analysis'!W20*1000</f>
        <v>52654479.116930932</v>
      </c>
      <c r="X37" s="17">
        <f>X14*'Cost Assumptions'!$B$7*'Cost Assumptions'!$B$13*'Baseline System Analysis'!X20*1000</f>
        <v>54348355.393279903</v>
      </c>
      <c r="Y37" s="17">
        <f>Y14*'Cost Assumptions'!$B$7*'Cost Assumptions'!$B$13*'Baseline System Analysis'!Y20*1000</f>
        <v>56029950.049517788</v>
      </c>
      <c r="Z37" s="17">
        <f>Z14*'Cost Assumptions'!$B$7*'Cost Assumptions'!$B$13*'Baseline System Analysis'!Z20*1000</f>
        <v>57753848.763437726</v>
      </c>
      <c r="AA37" s="17">
        <f>AA14*'Cost Assumptions'!$B$7*'Cost Assumptions'!$B$13*'Baseline System Analysis'!AA20*1000</f>
        <v>59517867.316883326</v>
      </c>
      <c r="AB37" s="17">
        <f>AB14*'Cost Assumptions'!$B$7*'Cost Assumptions'!$B$13*'Baseline System Analysis'!AB20*1000</f>
        <v>61324981.314086445</v>
      </c>
      <c r="AC37" s="17">
        <f>AC14*'Cost Assumptions'!$B$7*'Cost Assumptions'!$B$13*'Baseline System Analysis'!AC20*1000</f>
        <v>63091594.447778344</v>
      </c>
      <c r="AD37" s="17">
        <f>AD14*'Cost Assumptions'!$B$7*'Cost Assumptions'!$B$13*'Baseline System Analysis'!AD20*1000</f>
        <v>64882753.111530945</v>
      </c>
    </row>
    <row r="38" spans="1:30" x14ac:dyDescent="0.35">
      <c r="A38" s="72" t="s">
        <v>24</v>
      </c>
      <c r="B38" s="72" t="s">
        <v>124</v>
      </c>
      <c r="C38" s="18">
        <f>NPV('Cost Assumptions'!$B$3,D38:AD38)</f>
        <v>432281128.86730027</v>
      </c>
      <c r="D38" s="17">
        <f>SUM(D36:D37)</f>
        <v>36251845.765019402</v>
      </c>
      <c r="E38" s="17">
        <f t="shared" ref="E38:AD38" si="7">SUM(E36:E37)</f>
        <v>37615637.959826343</v>
      </c>
      <c r="F38" s="17">
        <f t="shared" si="7"/>
        <v>38778693.304244854</v>
      </c>
      <c r="G38" s="17">
        <f t="shared" si="7"/>
        <v>39982684.136832185</v>
      </c>
      <c r="H38" s="17">
        <f t="shared" si="7"/>
        <v>41235073.71007207</v>
      </c>
      <c r="I38" s="17">
        <f t="shared" si="7"/>
        <v>42563047.16866836</v>
      </c>
      <c r="J38" s="17">
        <f t="shared" si="7"/>
        <v>43931594.478376389</v>
      </c>
      <c r="K38" s="17">
        <f t="shared" si="7"/>
        <v>44824145.138836898</v>
      </c>
      <c r="L38" s="17">
        <f t="shared" si="7"/>
        <v>45733882.042774051</v>
      </c>
      <c r="M38" s="17">
        <f t="shared" si="7"/>
        <v>46661050.697792225</v>
      </c>
      <c r="N38" s="17">
        <f t="shared" si="7"/>
        <v>48182503.168257892</v>
      </c>
      <c r="O38" s="17">
        <f t="shared" si="7"/>
        <v>49760909.93534188</v>
      </c>
      <c r="P38" s="17">
        <f t="shared" si="7"/>
        <v>51399237.433352605</v>
      </c>
      <c r="Q38" s="17">
        <f t="shared" si="7"/>
        <v>53080918.32738781</v>
      </c>
      <c r="R38" s="17">
        <f t="shared" si="7"/>
        <v>54823384.47782971</v>
      </c>
      <c r="S38" s="17">
        <f t="shared" si="7"/>
        <v>56627499.381466784</v>
      </c>
      <c r="T38" s="17">
        <f t="shared" si="7"/>
        <v>58497921.636889532</v>
      </c>
      <c r="U38" s="17">
        <f t="shared" si="7"/>
        <v>60384215.009487562</v>
      </c>
      <c r="V38" s="17">
        <f t="shared" si="7"/>
        <v>62330210.241727233</v>
      </c>
      <c r="W38" s="17">
        <f t="shared" si="7"/>
        <v>64335611.477979645</v>
      </c>
      <c r="X38" s="17">
        <f t="shared" si="7"/>
        <v>66405265.718883783</v>
      </c>
      <c r="Y38" s="17">
        <f t="shared" si="7"/>
        <v>68459913.723793596</v>
      </c>
      <c r="Z38" s="17">
        <f t="shared" si="7"/>
        <v>70566250.729613096</v>
      </c>
      <c r="AA38" s="17">
        <f t="shared" si="7"/>
        <v>72721607.96033217</v>
      </c>
      <c r="AB38" s="17">
        <f t="shared" si="7"/>
        <v>74929621.143071935</v>
      </c>
      <c r="AC38" s="17">
        <f t="shared" si="7"/>
        <v>77088148.548664525</v>
      </c>
      <c r="AD38" s="17">
        <f t="shared" si="7"/>
        <v>79276666.787173703</v>
      </c>
    </row>
    <row r="39" spans="1:30" x14ac:dyDescent="0.35">
      <c r="A39" s="72"/>
      <c r="B39" s="72"/>
      <c r="C39" s="72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</row>
    <row r="40" spans="1:30" x14ac:dyDescent="0.35">
      <c r="A40" s="72" t="s">
        <v>123</v>
      </c>
      <c r="B40" s="72" t="s">
        <v>125</v>
      </c>
      <c r="C40" s="18">
        <f>NPV('Cost Assumptions'!$B$3,D40:AD40)</f>
        <v>47838978.081868552</v>
      </c>
      <c r="D40" s="17">
        <v>3183499.0202191686</v>
      </c>
      <c r="E40" s="17">
        <v>3501307.5195591198</v>
      </c>
      <c r="F40" s="17">
        <v>3708829.3816909362</v>
      </c>
      <c r="G40" s="17">
        <v>3936509.7002909156</v>
      </c>
      <c r="H40" s="17">
        <v>4165527.9382350994</v>
      </c>
      <c r="I40" s="17">
        <v>4437750.1701069903</v>
      </c>
      <c r="J40" s="17">
        <v>4723555.5231703902</v>
      </c>
      <c r="K40" s="17">
        <v>4727091.2556682695</v>
      </c>
      <c r="L40" s="17">
        <v>4720976.8393666409</v>
      </c>
      <c r="M40" s="17">
        <v>4717667.3257803153</v>
      </c>
      <c r="N40" s="17">
        <v>5037991.8475501249</v>
      </c>
      <c r="O40" s="17">
        <v>5376063.1091840388</v>
      </c>
      <c r="P40" s="17">
        <v>5736272.67475974</v>
      </c>
      <c r="Q40" s="17">
        <v>6122929.7889557825</v>
      </c>
      <c r="R40" s="17">
        <v>6538124.8089286787</v>
      </c>
      <c r="S40" s="17">
        <v>6936168.5745751895</v>
      </c>
      <c r="T40" s="17">
        <v>7366992.5845104158</v>
      </c>
      <c r="U40" s="17">
        <v>7818517.6190502206</v>
      </c>
      <c r="V40" s="17">
        <v>8280089.6569310827</v>
      </c>
      <c r="W40" s="17">
        <v>8778377.4239755291</v>
      </c>
      <c r="X40" s="17">
        <v>9286584.5830864627</v>
      </c>
      <c r="Y40" s="17">
        <v>9782273.835620163</v>
      </c>
      <c r="Z40" s="17">
        <v>10321652.155046582</v>
      </c>
      <c r="AA40" s="17">
        <v>10821977.133190855</v>
      </c>
      <c r="AB40" s="17">
        <v>11349087.890357884</v>
      </c>
      <c r="AC40" s="17">
        <v>11822570.209260073</v>
      </c>
      <c r="AD40" s="17">
        <v>12285127.681478433</v>
      </c>
    </row>
    <row r="41" spans="1:30" x14ac:dyDescent="0.35">
      <c r="A41" s="72" t="s">
        <v>114</v>
      </c>
      <c r="B41" s="72" t="s">
        <v>125</v>
      </c>
      <c r="C41" s="18">
        <f>NPV('Cost Assumptions'!$B$3,D41:AD41)</f>
        <v>193800307.95423657</v>
      </c>
      <c r="D41" s="17">
        <v>12889019.005975174</v>
      </c>
      <c r="E41" s="17">
        <v>14192477.117202299</v>
      </c>
      <c r="F41" s="17">
        <v>15032700.618319754</v>
      </c>
      <c r="G41" s="17">
        <v>15976287.316373385</v>
      </c>
      <c r="H41" s="17">
        <v>16895734.649236683</v>
      </c>
      <c r="I41" s="17">
        <v>17993941.953076806</v>
      </c>
      <c r="J41" s="17">
        <v>19143523.342627026</v>
      </c>
      <c r="K41" s="17">
        <v>19173348.388660274</v>
      </c>
      <c r="L41" s="17">
        <v>19152910.745224293</v>
      </c>
      <c r="M41" s="17">
        <v>19135985.370516732</v>
      </c>
      <c r="N41" s="17">
        <v>20429948.511527441</v>
      </c>
      <c r="O41" s="17">
        <v>21793565.66699712</v>
      </c>
      <c r="P41" s="17">
        <v>23254111.220403288</v>
      </c>
      <c r="Q41" s="17">
        <v>24802464.146194559</v>
      </c>
      <c r="R41" s="17">
        <v>26485157.719444863</v>
      </c>
      <c r="S41" s="17">
        <v>28054321.382892627</v>
      </c>
      <c r="T41" s="17">
        <v>29785320.210351709</v>
      </c>
      <c r="U41" s="17">
        <v>31601293.753784969</v>
      </c>
      <c r="V41" s="17">
        <v>33493387.894196909</v>
      </c>
      <c r="W41" s="17">
        <v>35525977.287755653</v>
      </c>
      <c r="X41" s="17">
        <v>37550540.888706416</v>
      </c>
      <c r="Y41" s="17">
        <v>39560369.503591083</v>
      </c>
      <c r="Z41" s="17">
        <v>41749420.102360405</v>
      </c>
      <c r="AA41" s="17">
        <v>43788085.169905446</v>
      </c>
      <c r="AB41" s="17">
        <v>45912774.433577485</v>
      </c>
      <c r="AC41" s="17">
        <v>47813600.805587552</v>
      </c>
      <c r="AD41" s="17">
        <v>49658023.651428141</v>
      </c>
    </row>
    <row r="42" spans="1:30" x14ac:dyDescent="0.35">
      <c r="A42" s="72" t="s">
        <v>24</v>
      </c>
      <c r="B42" s="72" t="s">
        <v>125</v>
      </c>
      <c r="C42" s="18">
        <f>NPV('Cost Assumptions'!$B$3,D42:AD42)</f>
        <v>241639286.0361051</v>
      </c>
      <c r="D42" s="4">
        <f>SUM(D40:D41)</f>
        <v>16072518.026194341</v>
      </c>
      <c r="E42" s="4">
        <f t="shared" ref="E42:AC42" si="8">SUM(E40:E41)</f>
        <v>17693784.636761419</v>
      </c>
      <c r="F42" s="4">
        <f t="shared" si="8"/>
        <v>18741530.000010692</v>
      </c>
      <c r="G42" s="4">
        <f t="shared" si="8"/>
        <v>19912797.0166643</v>
      </c>
      <c r="H42" s="4">
        <f t="shared" si="8"/>
        <v>21061262.587471783</v>
      </c>
      <c r="I42" s="4">
        <f t="shared" si="8"/>
        <v>22431692.123183794</v>
      </c>
      <c r="J42" s="4">
        <f t="shared" si="8"/>
        <v>23867078.865797415</v>
      </c>
      <c r="K42" s="4">
        <f t="shared" si="8"/>
        <v>23900439.644328542</v>
      </c>
      <c r="L42" s="4">
        <f t="shared" si="8"/>
        <v>23873887.584590934</v>
      </c>
      <c r="M42" s="4">
        <f t="shared" si="8"/>
        <v>23853652.69629705</v>
      </c>
      <c r="N42" s="4">
        <f t="shared" si="8"/>
        <v>25467940.359077565</v>
      </c>
      <c r="O42" s="4">
        <f t="shared" si="8"/>
        <v>27169628.776181158</v>
      </c>
      <c r="P42" s="4">
        <f t="shared" si="8"/>
        <v>28990383.895163029</v>
      </c>
      <c r="Q42" s="4">
        <f t="shared" si="8"/>
        <v>30925393.93515034</v>
      </c>
      <c r="R42" s="4">
        <f t="shared" si="8"/>
        <v>33023282.528373543</v>
      </c>
      <c r="S42" s="4">
        <f t="shared" si="8"/>
        <v>34990489.957467817</v>
      </c>
      <c r="T42" s="4">
        <f t="shared" si="8"/>
        <v>37152312.794862121</v>
      </c>
      <c r="U42" s="4">
        <f t="shared" si="8"/>
        <v>39419811.372835189</v>
      </c>
      <c r="V42" s="4">
        <f t="shared" si="8"/>
        <v>41773477.551127993</v>
      </c>
      <c r="W42" s="4">
        <f t="shared" si="8"/>
        <v>44304354.711731181</v>
      </c>
      <c r="X42" s="4">
        <f t="shared" si="8"/>
        <v>46837125.471792877</v>
      </c>
      <c r="Y42" s="4">
        <f t="shared" si="8"/>
        <v>49342643.339211248</v>
      </c>
      <c r="Z42" s="4">
        <f t="shared" si="8"/>
        <v>52071072.257406987</v>
      </c>
      <c r="AA42" s="4">
        <f t="shared" si="8"/>
        <v>54610062.303096302</v>
      </c>
      <c r="AB42" s="4">
        <f t="shared" si="8"/>
        <v>57261862.323935367</v>
      </c>
      <c r="AC42" s="4">
        <f t="shared" si="8"/>
        <v>59636171.014847621</v>
      </c>
      <c r="AD42" s="4">
        <f>SUM(AD40:AD41)</f>
        <v>61943151.332906574</v>
      </c>
    </row>
    <row r="43" spans="1:30" x14ac:dyDescent="0.35">
      <c r="A43" s="72"/>
      <c r="B43" s="72"/>
      <c r="C43" s="72"/>
      <c r="D43" s="72"/>
      <c r="E43" s="72"/>
      <c r="F43" s="72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</row>
    <row r="44" spans="1:30" ht="20" thickBot="1" x14ac:dyDescent="0.5">
      <c r="A44" s="134" t="s">
        <v>126</v>
      </c>
      <c r="B44" s="134"/>
      <c r="C44" s="18">
        <f>NPV('Cost Assumptions'!$B$3,D44:AD44)</f>
        <v>4461654651.74685</v>
      </c>
      <c r="D44" s="17">
        <f>SUM(D26,D30,D34,D38,D42)</f>
        <v>166144070.76015884</v>
      </c>
      <c r="E44" s="17">
        <f t="shared" ref="E44:AD44" si="9">SUM(E26,E30,E34,E38,E42)</f>
        <v>211677406.12808663</v>
      </c>
      <c r="F44" s="17">
        <f t="shared" si="9"/>
        <v>258048915.15831298</v>
      </c>
      <c r="G44" s="17">
        <f t="shared" si="9"/>
        <v>306728285.96255076</v>
      </c>
      <c r="H44" s="17">
        <f t="shared" si="9"/>
        <v>357580338.11173254</v>
      </c>
      <c r="I44" s="17">
        <f t="shared" si="9"/>
        <v>409519999.29858333</v>
      </c>
      <c r="J44" s="17">
        <f t="shared" si="9"/>
        <v>466391527.06871611</v>
      </c>
      <c r="K44" s="17">
        <f t="shared" si="9"/>
        <v>460963046.36597431</v>
      </c>
      <c r="L44" s="17">
        <f t="shared" si="9"/>
        <v>455119147.52145588</v>
      </c>
      <c r="M44" s="17">
        <f t="shared" si="9"/>
        <v>427955103.05818284</v>
      </c>
      <c r="N44" s="17">
        <f t="shared" si="9"/>
        <v>463538820.19443572</v>
      </c>
      <c r="O44" s="17">
        <f t="shared" si="9"/>
        <v>547220258.2529763</v>
      </c>
      <c r="P44" s="17">
        <f t="shared" si="9"/>
        <v>590862235.62695467</v>
      </c>
      <c r="Q44" s="17">
        <f t="shared" si="9"/>
        <v>634888060.8691746</v>
      </c>
      <c r="R44" s="17">
        <f t="shared" si="9"/>
        <v>680215157.38159966</v>
      </c>
      <c r="S44" s="17">
        <f t="shared" si="9"/>
        <v>730189117.34456873</v>
      </c>
      <c r="T44" s="17">
        <f t="shared" si="9"/>
        <v>783013758.95607162</v>
      </c>
      <c r="U44" s="17">
        <f t="shared" si="9"/>
        <v>836452275.51426685</v>
      </c>
      <c r="V44" s="17">
        <f t="shared" si="9"/>
        <v>894920875.99626386</v>
      </c>
      <c r="W44" s="17">
        <f t="shared" si="9"/>
        <v>955031365.46530688</v>
      </c>
      <c r="X44" s="17">
        <f t="shared" si="9"/>
        <v>1020255911.193548</v>
      </c>
      <c r="Y44" s="17">
        <f t="shared" si="9"/>
        <v>1088161918.2260823</v>
      </c>
      <c r="Z44" s="17">
        <f t="shared" si="9"/>
        <v>1159211472.3445666</v>
      </c>
      <c r="AA44" s="17">
        <f t="shared" si="9"/>
        <v>1234009157.5374784</v>
      </c>
      <c r="AB44" s="17">
        <f t="shared" si="9"/>
        <v>1311541380.0836413</v>
      </c>
      <c r="AC44" s="17">
        <f t="shared" si="9"/>
        <v>1390168612.6962514</v>
      </c>
      <c r="AD44" s="17">
        <f t="shared" si="9"/>
        <v>1470715057.9741018</v>
      </c>
    </row>
    <row r="45" spans="1:30" ht="15" thickTop="1" x14ac:dyDescent="0.35">
      <c r="A45" s="72"/>
      <c r="B45" s="72"/>
      <c r="C45" s="72"/>
      <c r="D45" s="72"/>
      <c r="E45" s="72"/>
      <c r="F45" s="72"/>
      <c r="G45" s="72"/>
      <c r="H45" s="72"/>
      <c r="I45" s="72"/>
      <c r="J45" s="72"/>
      <c r="K45" s="72"/>
      <c r="L45" s="72"/>
      <c r="M45" s="72"/>
      <c r="N45" s="72"/>
      <c r="O45" s="72"/>
      <c r="P45" s="72"/>
      <c r="Q45" s="72"/>
      <c r="R45" s="72"/>
      <c r="S45" s="72"/>
      <c r="T45" s="72"/>
      <c r="U45" s="72"/>
      <c r="V45" s="72"/>
      <c r="W45" s="72"/>
      <c r="X45" s="72"/>
      <c r="Y45" s="72"/>
      <c r="Z45" s="72"/>
      <c r="AA45" s="72"/>
      <c r="AB45" s="72"/>
      <c r="AC45" s="72"/>
      <c r="AD45" s="72"/>
    </row>
    <row r="46" spans="1:30" x14ac:dyDescent="0.35">
      <c r="A46" s="72"/>
      <c r="B46" s="72"/>
      <c r="C46" s="45"/>
      <c r="D46" s="50"/>
      <c r="E46" s="4"/>
      <c r="F46" s="72"/>
      <c r="G46" s="72"/>
      <c r="H46" s="72"/>
      <c r="I46" s="72"/>
      <c r="J46" s="72"/>
      <c r="K46" s="72"/>
      <c r="L46" s="72"/>
      <c r="M46" s="72"/>
      <c r="N46" s="72"/>
      <c r="O46" s="72"/>
      <c r="P46" s="72"/>
      <c r="Q46" s="72"/>
      <c r="R46" s="72"/>
      <c r="S46" s="72"/>
      <c r="T46" s="72"/>
      <c r="U46" s="72"/>
      <c r="V46" s="72"/>
      <c r="W46" s="72"/>
      <c r="X46" s="72"/>
      <c r="Y46" s="72"/>
      <c r="Z46" s="72"/>
      <c r="AA46" s="72"/>
      <c r="AB46" s="72"/>
      <c r="AC46" s="72"/>
      <c r="AD46" s="72"/>
    </row>
    <row r="47" spans="1:30" x14ac:dyDescent="0.35">
      <c r="A47" s="72"/>
      <c r="B47" s="72"/>
      <c r="C47" s="72"/>
      <c r="D47" s="72"/>
      <c r="E47" s="72"/>
      <c r="F47" s="72"/>
      <c r="G47" s="36"/>
      <c r="H47" s="72"/>
      <c r="I47" s="72"/>
      <c r="J47" s="72"/>
      <c r="K47" s="72"/>
      <c r="L47" s="72"/>
      <c r="M47" s="72"/>
      <c r="N47" s="72"/>
      <c r="O47" s="72"/>
      <c r="P47" s="72"/>
      <c r="Q47" s="72"/>
      <c r="R47" s="72"/>
      <c r="S47" s="72"/>
      <c r="T47" s="72"/>
      <c r="U47" s="72"/>
      <c r="V47" s="72"/>
      <c r="W47" s="72"/>
      <c r="X47" s="72"/>
      <c r="Y47" s="72"/>
      <c r="Z47" s="72"/>
      <c r="AA47" s="72"/>
      <c r="AB47" s="72"/>
      <c r="AC47" s="72"/>
      <c r="AD47" s="72"/>
    </row>
    <row r="48" spans="1:30" x14ac:dyDescent="0.35">
      <c r="A48" s="72"/>
      <c r="B48" s="72"/>
      <c r="C48" s="72"/>
      <c r="D48" s="72"/>
      <c r="E48" s="72"/>
      <c r="F48" s="72"/>
      <c r="G48" s="36"/>
      <c r="H48" s="19"/>
      <c r="I48" s="72"/>
      <c r="J48" s="72"/>
      <c r="K48" s="72"/>
      <c r="L48" s="72"/>
      <c r="M48" s="72"/>
      <c r="N48" s="72"/>
      <c r="O48" s="72"/>
      <c r="P48" s="72"/>
      <c r="Q48" s="72"/>
      <c r="R48" s="72"/>
      <c r="S48" s="72"/>
      <c r="T48" s="72"/>
      <c r="U48" s="72"/>
      <c r="V48" s="72"/>
      <c r="W48" s="72"/>
      <c r="X48" s="72"/>
      <c r="Y48" s="72"/>
      <c r="Z48" s="72"/>
      <c r="AA48" s="72"/>
      <c r="AB48" s="72"/>
      <c r="AC48" s="72"/>
      <c r="AD48" s="72"/>
    </row>
    <row r="49" spans="1:30" x14ac:dyDescent="0.35">
      <c r="A49" s="72"/>
      <c r="B49" s="72"/>
      <c r="C49" s="72"/>
      <c r="D49" s="72"/>
      <c r="E49" s="72"/>
      <c r="F49" s="72"/>
      <c r="G49" s="36"/>
      <c r="H49" s="4"/>
      <c r="I49" s="4"/>
      <c r="J49" s="4"/>
      <c r="K49" s="4"/>
      <c r="L49" s="4"/>
      <c r="M49" s="4"/>
      <c r="N49" s="4"/>
      <c r="O49" s="72"/>
      <c r="P49" s="72"/>
      <c r="Q49" s="72"/>
      <c r="R49" s="72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</row>
    <row r="50" spans="1:30" x14ac:dyDescent="0.35">
      <c r="A50" s="72" t="s">
        <v>117</v>
      </c>
      <c r="B50" s="72" t="s">
        <v>118</v>
      </c>
      <c r="C50" s="18">
        <f>C24</f>
        <v>355030.5479033211</v>
      </c>
      <c r="D50" s="72"/>
      <c r="E50" s="72"/>
      <c r="F50" s="72"/>
      <c r="G50" s="53"/>
      <c r="H50" s="72"/>
      <c r="I50" s="72"/>
      <c r="J50" s="72"/>
      <c r="K50" s="72"/>
      <c r="L50" s="72"/>
      <c r="M50" s="72"/>
      <c r="N50" s="72"/>
      <c r="O50" s="72"/>
      <c r="P50" s="72"/>
      <c r="Q50" s="72"/>
      <c r="R50" s="72"/>
      <c r="S50" s="72"/>
      <c r="T50" s="72"/>
      <c r="U50" s="72"/>
      <c r="V50" s="72"/>
      <c r="W50" s="72"/>
      <c r="X50" s="72"/>
      <c r="Y50" s="72"/>
      <c r="Z50" s="72"/>
      <c r="AA50" s="72"/>
      <c r="AB50" s="72"/>
      <c r="AC50" s="72"/>
      <c r="AD50" s="72"/>
    </row>
    <row r="51" spans="1:30" x14ac:dyDescent="0.35">
      <c r="A51" s="72" t="s">
        <v>119</v>
      </c>
      <c r="B51" s="72" t="s">
        <v>118</v>
      </c>
      <c r="C51" s="18">
        <f t="shared" ref="C51:C60" si="10">C25</f>
        <v>1473194.2273670784</v>
      </c>
      <c r="D51" s="72"/>
      <c r="E51" s="72"/>
      <c r="F51" s="72"/>
      <c r="G51" s="53"/>
      <c r="H51" s="72"/>
      <c r="I51" s="72"/>
      <c r="J51" s="72"/>
      <c r="K51" s="72"/>
      <c r="L51" s="72"/>
      <c r="M51" s="72"/>
      <c r="N51" s="72"/>
      <c r="O51" s="72"/>
      <c r="P51" s="72"/>
      <c r="Q51" s="72"/>
      <c r="R51" s="72"/>
      <c r="S51" s="72"/>
      <c r="T51" s="72"/>
      <c r="U51" s="72"/>
      <c r="V51" s="72"/>
      <c r="W51" s="72"/>
      <c r="X51" s="72"/>
      <c r="Y51" s="72"/>
      <c r="Z51" s="72"/>
      <c r="AA51" s="72"/>
      <c r="AB51" s="72"/>
      <c r="AC51" s="72"/>
      <c r="AD51" s="72"/>
    </row>
    <row r="52" spans="1:30" x14ac:dyDescent="0.35">
      <c r="A52" s="72" t="s">
        <v>24</v>
      </c>
      <c r="B52" s="72" t="s">
        <v>118</v>
      </c>
      <c r="C52" s="18">
        <f t="shared" si="10"/>
        <v>1828224.7752703994</v>
      </c>
      <c r="D52" s="72"/>
      <c r="E52" s="72"/>
      <c r="F52" s="72"/>
      <c r="G52" s="53"/>
      <c r="H52" s="72"/>
      <c r="I52" s="72"/>
      <c r="J52" s="72"/>
      <c r="K52" s="72"/>
      <c r="L52" s="72"/>
      <c r="M52" s="72"/>
      <c r="N52" s="72"/>
      <c r="O52" s="72"/>
      <c r="P52" s="72"/>
      <c r="Q52" s="72"/>
      <c r="R52" s="72"/>
      <c r="S52" s="72"/>
      <c r="T52" s="72"/>
      <c r="U52" s="72"/>
      <c r="V52" s="72"/>
      <c r="W52" s="72"/>
      <c r="X52" s="72"/>
      <c r="Y52" s="72"/>
      <c r="Z52" s="72"/>
      <c r="AA52" s="72"/>
      <c r="AB52" s="72"/>
      <c r="AC52" s="72"/>
      <c r="AD52" s="72"/>
    </row>
    <row r="53" spans="1:30" x14ac:dyDescent="0.35">
      <c r="A53" s="72"/>
      <c r="B53" s="72"/>
      <c r="C53" s="18"/>
      <c r="D53" s="72"/>
      <c r="E53" s="72"/>
      <c r="F53" s="72"/>
      <c r="G53" s="53"/>
      <c r="H53" s="72"/>
      <c r="I53" s="72"/>
      <c r="J53" s="72"/>
      <c r="K53" s="72"/>
      <c r="L53" s="72"/>
      <c r="M53" s="72"/>
      <c r="N53" s="72"/>
      <c r="O53" s="72"/>
      <c r="P53" s="72"/>
      <c r="Q53" s="72"/>
      <c r="R53" s="72"/>
      <c r="S53" s="72"/>
      <c r="T53" s="72"/>
      <c r="U53" s="72"/>
      <c r="V53" s="72"/>
      <c r="W53" s="72"/>
      <c r="X53" s="72"/>
      <c r="Y53" s="72"/>
      <c r="Z53" s="72"/>
      <c r="AA53" s="72"/>
      <c r="AB53" s="72"/>
      <c r="AC53" s="72"/>
      <c r="AD53" s="72"/>
    </row>
    <row r="54" spans="1:30" x14ac:dyDescent="0.35">
      <c r="A54" s="72" t="s">
        <v>120</v>
      </c>
      <c r="B54" s="72" t="s">
        <v>118</v>
      </c>
      <c r="C54" s="18">
        <f t="shared" si="10"/>
        <v>24322736.867207415</v>
      </c>
      <c r="D54" s="72"/>
      <c r="E54" s="72"/>
      <c r="F54" s="72"/>
      <c r="G54" s="53"/>
      <c r="H54" s="72"/>
      <c r="I54" s="72"/>
      <c r="J54" s="72"/>
      <c r="K54" s="72"/>
      <c r="L54" s="72"/>
      <c r="M54" s="72"/>
      <c r="N54" s="72"/>
      <c r="O54" s="72"/>
      <c r="P54" s="72"/>
      <c r="Q54" s="72"/>
      <c r="R54" s="72"/>
      <c r="S54" s="72"/>
      <c r="T54" s="72"/>
      <c r="U54" s="72"/>
      <c r="V54" s="72"/>
      <c r="W54" s="72"/>
      <c r="X54" s="72"/>
      <c r="Y54" s="72"/>
      <c r="Z54" s="72"/>
      <c r="AA54" s="72"/>
      <c r="AB54" s="72"/>
      <c r="AC54" s="72"/>
      <c r="AD54" s="72"/>
    </row>
    <row r="55" spans="1:30" x14ac:dyDescent="0.35">
      <c r="A55" s="72" t="s">
        <v>121</v>
      </c>
      <c r="B55" s="72" t="s">
        <v>118</v>
      </c>
      <c r="C55" s="18">
        <f t="shared" si="10"/>
        <v>111616614.01387709</v>
      </c>
      <c r="D55" s="72"/>
      <c r="E55" s="72"/>
      <c r="F55" s="72"/>
      <c r="G55" s="53"/>
      <c r="H55" s="72"/>
      <c r="I55" s="72"/>
      <c r="J55" s="72"/>
      <c r="K55" s="72"/>
      <c r="L55" s="72"/>
      <c r="M55" s="72"/>
      <c r="N55" s="72"/>
      <c r="O55" s="72"/>
      <c r="P55" s="72"/>
      <c r="Q55" s="72"/>
      <c r="R55" s="72"/>
      <c r="S55" s="72"/>
      <c r="T55" s="72"/>
      <c r="U55" s="72"/>
      <c r="V55" s="72"/>
      <c r="W55" s="72"/>
      <c r="X55" s="72"/>
      <c r="Y55" s="72"/>
      <c r="Z55" s="72"/>
      <c r="AA55" s="72"/>
      <c r="AB55" s="72"/>
      <c r="AC55" s="72"/>
      <c r="AD55" s="72"/>
    </row>
    <row r="56" spans="1:30" x14ac:dyDescent="0.35">
      <c r="A56" s="72" t="s">
        <v>24</v>
      </c>
      <c r="B56" s="72" t="s">
        <v>118</v>
      </c>
      <c r="C56" s="18">
        <f t="shared" si="10"/>
        <v>135939350.88108453</v>
      </c>
      <c r="D56" s="72"/>
      <c r="E56" s="72"/>
      <c r="F56" s="72"/>
      <c r="G56" s="53"/>
      <c r="H56" s="72"/>
      <c r="I56" s="72"/>
      <c r="J56" s="72"/>
      <c r="K56" s="72"/>
      <c r="L56" s="72"/>
      <c r="M56" s="72"/>
      <c r="N56" s="72"/>
      <c r="O56" s="72"/>
      <c r="P56" s="72"/>
      <c r="Q56" s="72"/>
      <c r="R56" s="72"/>
      <c r="S56" s="72"/>
      <c r="T56" s="72"/>
      <c r="U56" s="72"/>
      <c r="V56" s="72"/>
      <c r="W56" s="72"/>
      <c r="X56" s="72"/>
      <c r="Y56" s="72"/>
      <c r="Z56" s="72"/>
      <c r="AA56" s="72"/>
      <c r="AB56" s="72"/>
      <c r="AC56" s="72"/>
      <c r="AD56" s="72"/>
    </row>
    <row r="57" spans="1:30" x14ac:dyDescent="0.35">
      <c r="A57" s="72"/>
      <c r="B57" s="72"/>
      <c r="C57" s="18"/>
      <c r="D57" s="72"/>
      <c r="E57" s="72"/>
      <c r="F57" s="72"/>
      <c r="G57" s="53"/>
      <c r="H57" s="72"/>
      <c r="I57" s="72"/>
      <c r="J57" s="72"/>
      <c r="K57" s="72"/>
      <c r="L57" s="72"/>
      <c r="M57" s="72"/>
      <c r="N57" s="72"/>
      <c r="O57" s="72"/>
      <c r="P57" s="72"/>
      <c r="Q57" s="72"/>
      <c r="R57" s="72"/>
      <c r="S57" s="72"/>
      <c r="T57" s="72"/>
      <c r="U57" s="72"/>
      <c r="V57" s="72"/>
      <c r="W57" s="72"/>
      <c r="X57" s="72"/>
      <c r="Y57" s="72"/>
      <c r="Z57" s="72"/>
      <c r="AA57" s="72"/>
      <c r="AB57" s="72"/>
      <c r="AC57" s="72"/>
      <c r="AD57" s="72"/>
    </row>
    <row r="58" spans="1:30" x14ac:dyDescent="0.35">
      <c r="A58" s="72" t="s">
        <v>120</v>
      </c>
      <c r="B58" s="72" t="s">
        <v>122</v>
      </c>
      <c r="C58" s="18">
        <f t="shared" si="10"/>
        <v>712935284.09782958</v>
      </c>
      <c r="D58" s="72"/>
      <c r="E58" s="72"/>
      <c r="F58" s="72"/>
      <c r="G58" s="53"/>
      <c r="H58" s="72"/>
      <c r="I58" s="72"/>
      <c r="J58" s="72"/>
      <c r="K58" s="72"/>
      <c r="L58" s="72"/>
      <c r="M58" s="72"/>
      <c r="N58" s="72"/>
      <c r="O58" s="72"/>
      <c r="P58" s="72"/>
      <c r="Q58" s="72"/>
      <c r="R58" s="72"/>
      <c r="S58" s="72"/>
      <c r="T58" s="72"/>
      <c r="U58" s="72"/>
      <c r="V58" s="72"/>
      <c r="W58" s="72"/>
      <c r="X58" s="72"/>
      <c r="Y58" s="72"/>
      <c r="Z58" s="72"/>
      <c r="AA58" s="72"/>
      <c r="AB58" s="72"/>
      <c r="AC58" s="72"/>
      <c r="AD58" s="72"/>
    </row>
    <row r="59" spans="1:30" x14ac:dyDescent="0.35">
      <c r="A59" s="72" t="s">
        <v>121</v>
      </c>
      <c r="B59" s="72" t="s">
        <v>122</v>
      </c>
      <c r="C59" s="18">
        <f t="shared" si="10"/>
        <v>2937031377.0892601</v>
      </c>
      <c r="D59" s="72"/>
      <c r="E59" s="72"/>
      <c r="F59" s="72"/>
      <c r="G59" s="53"/>
      <c r="H59" s="72"/>
      <c r="I59" s="72"/>
      <c r="J59" s="72"/>
      <c r="K59" s="72"/>
      <c r="L59" s="72"/>
      <c r="M59" s="72"/>
      <c r="N59" s="72"/>
      <c r="O59" s="72"/>
      <c r="P59" s="72"/>
      <c r="Q59" s="72"/>
      <c r="R59" s="72"/>
      <c r="S59" s="72"/>
      <c r="T59" s="72"/>
      <c r="U59" s="72"/>
      <c r="V59" s="72"/>
      <c r="W59" s="72"/>
      <c r="X59" s="72"/>
      <c r="Y59" s="72"/>
      <c r="Z59" s="72"/>
      <c r="AA59" s="72"/>
      <c r="AB59" s="72"/>
      <c r="AC59" s="72"/>
      <c r="AD59" s="72"/>
    </row>
    <row r="60" spans="1:30" x14ac:dyDescent="0.35">
      <c r="A60" s="72" t="s">
        <v>24</v>
      </c>
      <c r="B60" s="72" t="s">
        <v>122</v>
      </c>
      <c r="C60" s="18">
        <f t="shared" si="10"/>
        <v>3649966661.1870899</v>
      </c>
      <c r="D60" s="72"/>
      <c r="E60" s="72"/>
      <c r="F60" s="72"/>
      <c r="G60" s="53"/>
      <c r="H60" s="72"/>
      <c r="I60" s="72"/>
      <c r="J60" s="72"/>
      <c r="K60" s="72"/>
      <c r="L60" s="72"/>
      <c r="M60" s="72"/>
      <c r="N60" s="72"/>
      <c r="O60" s="72"/>
      <c r="P60" s="72"/>
      <c r="Q60" s="72"/>
      <c r="R60" s="72"/>
      <c r="S60" s="72"/>
      <c r="T60" s="72"/>
      <c r="U60" s="72"/>
      <c r="V60" s="72"/>
      <c r="W60" s="72"/>
      <c r="X60" s="72"/>
      <c r="Y60" s="72"/>
      <c r="Z60" s="72"/>
      <c r="AA60" s="72"/>
      <c r="AB60" s="72"/>
      <c r="AC60" s="72"/>
      <c r="AD60" s="72"/>
    </row>
    <row r="61" spans="1:30" x14ac:dyDescent="0.35">
      <c r="A61" s="72"/>
      <c r="B61" s="72"/>
      <c r="C61" s="18"/>
      <c r="D61" s="72"/>
      <c r="E61" s="72"/>
      <c r="F61" s="72"/>
      <c r="G61" s="53"/>
      <c r="H61" s="72"/>
      <c r="I61" s="72"/>
      <c r="J61" s="72"/>
      <c r="K61" s="72"/>
      <c r="L61" s="72"/>
      <c r="M61" s="72"/>
      <c r="N61" s="72"/>
      <c r="O61" s="72"/>
      <c r="P61" s="72"/>
      <c r="Q61" s="72"/>
      <c r="R61" s="72"/>
      <c r="S61" s="72"/>
      <c r="T61" s="72"/>
      <c r="U61" s="72"/>
      <c r="V61" s="72"/>
      <c r="W61" s="72"/>
      <c r="X61" s="72"/>
      <c r="Y61" s="72"/>
      <c r="Z61" s="72"/>
      <c r="AA61" s="72"/>
      <c r="AB61" s="72"/>
      <c r="AC61" s="72"/>
      <c r="AD61" s="72"/>
    </row>
    <row r="62" spans="1:30" x14ac:dyDescent="0.35">
      <c r="A62" s="72" t="s">
        <v>123</v>
      </c>
      <c r="B62" s="72" t="s">
        <v>127</v>
      </c>
      <c r="C62" s="18">
        <f>C36+C40</f>
        <v>126326350.27713883</v>
      </c>
      <c r="D62" s="72"/>
      <c r="E62" s="72"/>
      <c r="F62" s="72"/>
      <c r="G62" s="53"/>
      <c r="H62" s="72"/>
      <c r="I62" s="72"/>
      <c r="J62" s="72"/>
      <c r="K62" s="72"/>
      <c r="L62" s="72"/>
      <c r="M62" s="72"/>
      <c r="N62" s="72"/>
      <c r="O62" s="72"/>
      <c r="P62" s="72"/>
      <c r="Q62" s="72"/>
      <c r="R62" s="72"/>
      <c r="S62" s="72"/>
      <c r="T62" s="72"/>
      <c r="U62" s="72"/>
      <c r="V62" s="72"/>
      <c r="W62" s="72"/>
      <c r="X62" s="72"/>
      <c r="Y62" s="72"/>
      <c r="Z62" s="72"/>
      <c r="AA62" s="72"/>
      <c r="AB62" s="72"/>
      <c r="AC62" s="72"/>
      <c r="AD62" s="72"/>
    </row>
    <row r="63" spans="1:30" x14ac:dyDescent="0.35">
      <c r="A63" s="72" t="s">
        <v>114</v>
      </c>
      <c r="B63" s="72" t="s">
        <v>128</v>
      </c>
      <c r="C63" s="18">
        <f t="shared" ref="C63:C64" si="11">C37+C41</f>
        <v>547594064.6262666</v>
      </c>
      <c r="D63" s="72"/>
      <c r="E63" s="72"/>
      <c r="F63" s="72"/>
      <c r="G63" s="53"/>
      <c r="H63" s="72"/>
      <c r="I63" s="72"/>
      <c r="J63" s="72"/>
      <c r="K63" s="72"/>
      <c r="L63" s="72"/>
      <c r="M63" s="72"/>
      <c r="N63" s="72"/>
      <c r="O63" s="72"/>
      <c r="P63" s="72"/>
      <c r="Q63" s="72"/>
      <c r="R63" s="72"/>
      <c r="S63" s="72"/>
      <c r="T63" s="72"/>
      <c r="U63" s="72"/>
      <c r="V63" s="72"/>
      <c r="W63" s="72"/>
      <c r="X63" s="72"/>
      <c r="Y63" s="72"/>
      <c r="Z63" s="72"/>
      <c r="AA63" s="72"/>
      <c r="AB63" s="72"/>
      <c r="AC63" s="72"/>
      <c r="AD63" s="72"/>
    </row>
    <row r="64" spans="1:30" x14ac:dyDescent="0.35">
      <c r="A64" s="72" t="s">
        <v>24</v>
      </c>
      <c r="B64" s="72" t="s">
        <v>129</v>
      </c>
      <c r="C64" s="18">
        <f t="shared" si="11"/>
        <v>673920414.90340543</v>
      </c>
      <c r="D64" s="72"/>
      <c r="E64" s="72"/>
      <c r="F64" s="72"/>
      <c r="G64" s="72"/>
      <c r="H64" s="72"/>
      <c r="I64" s="72"/>
      <c r="J64" s="72"/>
      <c r="K64" s="72"/>
      <c r="L64" s="72"/>
      <c r="M64" s="72"/>
      <c r="N64" s="72"/>
      <c r="O64" s="72"/>
      <c r="P64" s="72"/>
      <c r="Q64" s="72"/>
      <c r="R64" s="72"/>
      <c r="S64" s="72"/>
      <c r="T64" s="72"/>
      <c r="U64" s="72"/>
      <c r="V64" s="72"/>
      <c r="W64" s="72"/>
      <c r="X64" s="72"/>
      <c r="Y64" s="72"/>
      <c r="Z64" s="72"/>
      <c r="AA64" s="72"/>
      <c r="AB64" s="72"/>
      <c r="AC64" s="72"/>
      <c r="AD64" s="72"/>
    </row>
    <row r="65" spans="1:3" x14ac:dyDescent="0.35">
      <c r="A65" s="72"/>
      <c r="B65" s="72"/>
      <c r="C65" s="37"/>
    </row>
    <row r="66" spans="1:3" ht="20" thickBot="1" x14ac:dyDescent="0.5">
      <c r="A66" s="134" t="s">
        <v>61</v>
      </c>
      <c r="B66" s="134"/>
      <c r="C66" s="58">
        <f>C44/1000000</f>
        <v>4461.6546517468496</v>
      </c>
    </row>
    <row r="67" spans="1:3" ht="15" thickTop="1" x14ac:dyDescent="0.35">
      <c r="A67" s="72"/>
      <c r="B67" s="72"/>
      <c r="C67" s="72"/>
    </row>
  </sheetData>
  <mergeCells count="3">
    <mergeCell ref="A44:B44"/>
    <mergeCell ref="A66:B66"/>
    <mergeCell ref="B2:B15"/>
  </mergeCells>
  <phoneticPr fontId="16" type="noConversion"/>
  <pageMargins left="0.7" right="0.7" top="0.75" bottom="0.75" header="0.3" footer="0.3"/>
  <pageSetup orientation="portrait" horizontalDpi="1200" verticalDpi="1200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D89"/>
  <sheetViews>
    <sheetView zoomScale="85" zoomScaleNormal="85" workbookViewId="0"/>
  </sheetViews>
  <sheetFormatPr defaultRowHeight="14.5" x14ac:dyDescent="0.35"/>
  <cols>
    <col min="1" max="1" width="17.1796875" customWidth="1"/>
    <col min="2" max="2" width="28.81640625" bestFit="1" customWidth="1"/>
    <col min="3" max="3" width="26" customWidth="1"/>
    <col min="4" max="4" width="16.7265625" bestFit="1" customWidth="1"/>
    <col min="5" max="7" width="17.7265625" bestFit="1" customWidth="1"/>
    <col min="8" max="8" width="17.26953125" bestFit="1" customWidth="1"/>
    <col min="9" max="9" width="17.7265625" bestFit="1" customWidth="1"/>
    <col min="10" max="10" width="17.26953125" bestFit="1" customWidth="1"/>
    <col min="11" max="11" width="17.7265625" bestFit="1" customWidth="1"/>
    <col min="12" max="12" width="17.26953125" bestFit="1" customWidth="1"/>
    <col min="13" max="13" width="17.7265625" bestFit="1" customWidth="1"/>
    <col min="14" max="14" width="17.26953125" bestFit="1" customWidth="1"/>
    <col min="15" max="16" width="17.7265625" bestFit="1" customWidth="1"/>
    <col min="17" max="17" width="17.26953125" bestFit="1" customWidth="1"/>
    <col min="18" max="18" width="18.54296875" bestFit="1" customWidth="1"/>
    <col min="19" max="19" width="18.26953125" bestFit="1" customWidth="1"/>
    <col min="20" max="22" width="18.54296875" bestFit="1" customWidth="1"/>
    <col min="23" max="29" width="19" bestFit="1" customWidth="1"/>
    <col min="30" max="30" width="19.453125" bestFit="1" customWidth="1"/>
  </cols>
  <sheetData>
    <row r="1" spans="1:30" ht="20" thickBot="1" x14ac:dyDescent="0.5">
      <c r="A1" s="113"/>
      <c r="B1" s="122"/>
      <c r="C1" s="113" t="s">
        <v>105</v>
      </c>
      <c r="D1" s="113">
        <v>2022</v>
      </c>
      <c r="E1" s="113">
        <v>2023</v>
      </c>
      <c r="F1" s="113">
        <v>2024</v>
      </c>
      <c r="G1" s="113">
        <v>2025</v>
      </c>
      <c r="H1" s="113">
        <v>2026</v>
      </c>
      <c r="I1" s="113">
        <v>2027</v>
      </c>
      <c r="J1" s="113">
        <v>2028</v>
      </c>
      <c r="K1" s="113">
        <v>2029</v>
      </c>
      <c r="L1" s="113">
        <v>2030</v>
      </c>
      <c r="M1" s="113">
        <v>2031</v>
      </c>
      <c r="N1" s="113">
        <v>2032</v>
      </c>
      <c r="O1" s="113">
        <v>2033</v>
      </c>
      <c r="P1" s="113">
        <v>2034</v>
      </c>
      <c r="Q1" s="113">
        <v>2035</v>
      </c>
      <c r="R1" s="113">
        <v>2036</v>
      </c>
      <c r="S1" s="113">
        <v>2037</v>
      </c>
      <c r="T1" s="113">
        <v>2038</v>
      </c>
      <c r="U1" s="113">
        <v>2039</v>
      </c>
      <c r="V1" s="113">
        <v>2040</v>
      </c>
      <c r="W1" s="113">
        <v>2041</v>
      </c>
      <c r="X1" s="113">
        <v>2042</v>
      </c>
      <c r="Y1" s="113">
        <v>2043</v>
      </c>
      <c r="Z1" s="113">
        <v>2044</v>
      </c>
      <c r="AA1" s="113">
        <v>2045</v>
      </c>
      <c r="AB1" s="113">
        <v>2046</v>
      </c>
      <c r="AC1" s="113">
        <v>2047</v>
      </c>
      <c r="AD1" s="113">
        <v>2048</v>
      </c>
    </row>
    <row r="2" spans="1:30" ht="15" thickTop="1" x14ac:dyDescent="0.35">
      <c r="A2" s="72"/>
      <c r="B2" s="174" t="s">
        <v>26</v>
      </c>
      <c r="C2" s="72" t="s">
        <v>107</v>
      </c>
      <c r="D2" s="53">
        <f>'Baseline System Analysis'!D2</f>
        <v>49666.999999999534</v>
      </c>
      <c r="E2" s="53">
        <f>'Baseline System Analysis'!E2</f>
        <v>50103.790384614935</v>
      </c>
      <c r="F2" s="53">
        <f>'Baseline System Analysis'!F2</f>
        <v>50540.580769230335</v>
      </c>
      <c r="G2" s="53">
        <f>'Baseline System Analysis'!G2</f>
        <v>50977.371153845736</v>
      </c>
      <c r="H2" s="53">
        <f>'Baseline System Analysis'!H2</f>
        <v>51414.161538461136</v>
      </c>
      <c r="I2" s="53">
        <f>'Baseline System Analysis'!I2</f>
        <v>51850.951923076536</v>
      </c>
      <c r="J2" s="53">
        <f>'Baseline System Analysis'!J2</f>
        <v>52287.742307691937</v>
      </c>
      <c r="K2" s="53">
        <f>'Baseline System Analysis'!K2</f>
        <v>51698.184615384183</v>
      </c>
      <c r="L2" s="53">
        <f>'Baseline System Analysis'!L2</f>
        <v>51988.353846153419</v>
      </c>
      <c r="M2" s="53">
        <f>'Baseline System Analysis'!M2</f>
        <v>52278.523076922655</v>
      </c>
      <c r="N2" s="53">
        <f>'Baseline System Analysis'!N2</f>
        <v>52568.69230769189</v>
      </c>
      <c r="O2" s="53">
        <f>'Baseline System Analysis'!O2</f>
        <v>52858.861538461126</v>
      </c>
      <c r="P2" s="53">
        <f>'Baseline System Analysis'!P2</f>
        <v>53149.030769230361</v>
      </c>
      <c r="Q2" s="53">
        <f>'Baseline System Analysis'!Q2</f>
        <v>53439.199999999597</v>
      </c>
      <c r="R2" s="53">
        <f>'Baseline System Analysis'!R2</f>
        <v>53729.369230768832</v>
      </c>
      <c r="S2" s="53">
        <f>'Baseline System Analysis'!S2</f>
        <v>54019.538461538068</v>
      </c>
      <c r="T2" s="53">
        <f>'Baseline System Analysis'!T2</f>
        <v>54309.707692307304</v>
      </c>
      <c r="U2" s="53">
        <f>'Baseline System Analysis'!U2</f>
        <v>54599.876923076539</v>
      </c>
      <c r="V2" s="53">
        <f>'Baseline System Analysis'!V2</f>
        <v>54890.046153845775</v>
      </c>
      <c r="W2" s="53">
        <f>'Baseline System Analysis'!W2</f>
        <v>55180.21538461501</v>
      </c>
      <c r="X2" s="53">
        <f>'Baseline System Analysis'!X2</f>
        <v>55470.384615384246</v>
      </c>
      <c r="Y2" s="53">
        <f>'Baseline System Analysis'!Y2</f>
        <v>55760.553846153482</v>
      </c>
      <c r="Z2" s="53">
        <f>'Baseline System Analysis'!Z2</f>
        <v>56050.723076922717</v>
      </c>
      <c r="AA2" s="53">
        <f>'Baseline System Analysis'!AA2</f>
        <v>56340.892307691953</v>
      </c>
      <c r="AB2" s="53">
        <f>'Baseline System Analysis'!AB2</f>
        <v>56631.061538461188</v>
      </c>
      <c r="AC2" s="53">
        <f>'Baseline System Analysis'!AC2</f>
        <v>56921.230769230424</v>
      </c>
      <c r="AD2" s="53">
        <f>'Baseline System Analysis'!AD2</f>
        <v>57211.399999999638</v>
      </c>
    </row>
    <row r="3" spans="1:30" x14ac:dyDescent="0.35">
      <c r="A3" s="72" t="s">
        <v>30</v>
      </c>
      <c r="B3" s="176"/>
      <c r="C3" s="72" t="s">
        <v>31</v>
      </c>
      <c r="D3" s="53">
        <f>'Baseline System Analysis'!D3</f>
        <v>10</v>
      </c>
      <c r="E3" s="53">
        <f>'Baseline System Analysis'!E3</f>
        <v>20.5</v>
      </c>
      <c r="F3" s="53">
        <f>'Baseline System Analysis'!F3</f>
        <v>29.879999999999995</v>
      </c>
      <c r="G3" s="53">
        <f>'Baseline System Analysis'!G3</f>
        <v>39.259999999999991</v>
      </c>
      <c r="H3" s="53">
        <f>'Baseline System Analysis'!H3</f>
        <v>48.639999999999986</v>
      </c>
      <c r="I3" s="53">
        <f>'Baseline System Analysis'!I3</f>
        <v>58.019999999999982</v>
      </c>
      <c r="J3" s="53">
        <f>'Baseline System Analysis'!J3</f>
        <v>67.399999999999977</v>
      </c>
      <c r="K3" s="53">
        <f>'Baseline System Analysis'!K3</f>
        <v>57.599999999999966</v>
      </c>
      <c r="L3" s="53">
        <f>'Baseline System Analysis'!L3</f>
        <v>49.800000000000011</v>
      </c>
      <c r="M3" s="53">
        <f>'Baseline System Analysis'!M3</f>
        <v>41.5</v>
      </c>
      <c r="N3" s="53">
        <f>'Baseline System Analysis'!N3</f>
        <v>53.700000000000017</v>
      </c>
      <c r="O3" s="53">
        <f>'Baseline System Analysis'!O3</f>
        <v>75.066666666666691</v>
      </c>
      <c r="P3" s="53">
        <f>'Baseline System Analysis'!P3</f>
        <v>96.433333333333366</v>
      </c>
      <c r="Q3" s="53">
        <f>'Baseline System Analysis'!Q3</f>
        <v>117.80000000000004</v>
      </c>
      <c r="R3" s="53">
        <f>'Baseline System Analysis'!R3</f>
        <v>139.16666666666671</v>
      </c>
      <c r="S3" s="53">
        <f>'Baseline System Analysis'!S3</f>
        <v>160.53333333333339</v>
      </c>
      <c r="T3" s="53">
        <f>'Baseline System Analysis'!T3</f>
        <v>181.90000000000003</v>
      </c>
      <c r="U3" s="53">
        <f>'Baseline System Analysis'!U3</f>
        <v>244.23000000000002</v>
      </c>
      <c r="V3" s="53">
        <f>'Baseline System Analysis'!V3</f>
        <v>306.56</v>
      </c>
      <c r="W3" s="53">
        <f>'Baseline System Analysis'!W3</f>
        <v>368.89</v>
      </c>
      <c r="X3" s="53">
        <f>'Baseline System Analysis'!X3</f>
        <v>431.21999999999997</v>
      </c>
      <c r="Y3" s="53">
        <f>'Baseline System Analysis'!Y3</f>
        <v>453.7000000000001</v>
      </c>
      <c r="Z3" s="53">
        <f>'Baseline System Analysis'!Z3</f>
        <v>524.00000000000011</v>
      </c>
      <c r="AA3" s="53">
        <f>'Baseline System Analysis'!AA3</f>
        <v>594.30000000000007</v>
      </c>
      <c r="AB3" s="53">
        <f>'Baseline System Analysis'!AB3</f>
        <v>664.6</v>
      </c>
      <c r="AC3" s="53">
        <f>'Baseline System Analysis'!AC3</f>
        <v>734.9</v>
      </c>
      <c r="AD3" s="53">
        <f>'Baseline System Analysis'!AD3</f>
        <v>805.2</v>
      </c>
    </row>
    <row r="4" spans="1:30" x14ac:dyDescent="0.35">
      <c r="A4" s="72" t="s">
        <v>30</v>
      </c>
      <c r="B4" s="176"/>
      <c r="C4" s="72" t="s">
        <v>32</v>
      </c>
      <c r="D4" s="53">
        <f>'Baseline System Analysis'!D4</f>
        <v>2</v>
      </c>
      <c r="E4" s="53">
        <f>'Baseline System Analysis'!E4</f>
        <v>3</v>
      </c>
      <c r="F4" s="53">
        <f>'Baseline System Analysis'!F4</f>
        <v>4.6799999999999953</v>
      </c>
      <c r="G4" s="53">
        <f>'Baseline System Analysis'!G4</f>
        <v>6.3599999999999905</v>
      </c>
      <c r="H4" s="53">
        <f>'Baseline System Analysis'!H4</f>
        <v>8.0399999999999867</v>
      </c>
      <c r="I4" s="53">
        <f>'Baseline System Analysis'!I4</f>
        <v>9.7199999999999829</v>
      </c>
      <c r="J4" s="53">
        <f>'Baseline System Analysis'!J4</f>
        <v>11.399999999999977</v>
      </c>
      <c r="K4" s="53">
        <f>'Baseline System Analysis'!K4</f>
        <v>10.199999999999989</v>
      </c>
      <c r="L4" s="53">
        <f>'Baseline System Analysis'!L4</f>
        <v>8.5999999999999943</v>
      </c>
      <c r="M4" s="53">
        <f>'Baseline System Analysis'!M4</f>
        <v>6.8000000000000114</v>
      </c>
      <c r="N4" s="53">
        <f>'Baseline System Analysis'!N4</f>
        <v>9.6000000000000227</v>
      </c>
      <c r="O4" s="53">
        <f>'Baseline System Analysis'!O4</f>
        <v>11.333333333333352</v>
      </c>
      <c r="P4" s="53">
        <f>'Baseline System Analysis'!P4</f>
        <v>13.066666666666681</v>
      </c>
      <c r="Q4" s="53">
        <f>'Baseline System Analysis'!Q4</f>
        <v>14.80000000000001</v>
      </c>
      <c r="R4" s="53">
        <f>'Baseline System Analysis'!R4</f>
        <v>16.533333333333339</v>
      </c>
      <c r="S4" s="53">
        <f>'Baseline System Analysis'!S4</f>
        <v>18.266666666666669</v>
      </c>
      <c r="T4" s="53">
        <f>'Baseline System Analysis'!T4</f>
        <v>20</v>
      </c>
      <c r="U4" s="53">
        <f>'Baseline System Analysis'!U4</f>
        <v>21.860000000000003</v>
      </c>
      <c r="V4" s="53">
        <f>'Baseline System Analysis'!V4</f>
        <v>23.720000000000006</v>
      </c>
      <c r="W4" s="53">
        <f>'Baseline System Analysis'!W4</f>
        <v>25.580000000000009</v>
      </c>
      <c r="X4" s="53">
        <f>'Baseline System Analysis'!X4</f>
        <v>27.440000000000012</v>
      </c>
      <c r="Y4" s="53">
        <f>'Baseline System Analysis'!Y4</f>
        <v>29.300000000000011</v>
      </c>
      <c r="Z4" s="53">
        <f>'Baseline System Analysis'!Z4</f>
        <v>30.480000000000008</v>
      </c>
      <c r="AA4" s="53">
        <f>'Baseline System Analysis'!AA4</f>
        <v>31.660000000000004</v>
      </c>
      <c r="AB4" s="53">
        <f>'Baseline System Analysis'!AB4</f>
        <v>32.839999999999996</v>
      </c>
      <c r="AC4" s="53">
        <f>'Baseline System Analysis'!AC4</f>
        <v>34.019999999999989</v>
      </c>
      <c r="AD4" s="53">
        <f>'Baseline System Analysis'!AD4</f>
        <v>35.199999999999989</v>
      </c>
    </row>
    <row r="5" spans="1:30" x14ac:dyDescent="0.35">
      <c r="A5" s="72" t="s">
        <v>30</v>
      </c>
      <c r="B5" s="176"/>
      <c r="C5" s="72" t="s">
        <v>33</v>
      </c>
      <c r="D5" s="53">
        <f>'Baseline System Analysis'!D5</f>
        <v>8.4812112193331513E-2</v>
      </c>
      <c r="E5" s="53">
        <f>'Baseline System Analysis'!E5</f>
        <v>0.24283371212350299</v>
      </c>
      <c r="F5" s="53">
        <f>'Baseline System Analysis'!F5</f>
        <v>0.34046276046663143</v>
      </c>
      <c r="G5" s="53">
        <f>'Baseline System Analysis'!G5</f>
        <v>0.43809180880975984</v>
      </c>
      <c r="H5" s="53">
        <f>'Baseline System Analysis'!H5</f>
        <v>0.53572085715288831</v>
      </c>
      <c r="I5" s="53">
        <f>'Baseline System Analysis'!I5</f>
        <v>0.63334990549601677</v>
      </c>
      <c r="J5" s="53">
        <f>'Baseline System Analysis'!J5</f>
        <v>0.73097895383914513</v>
      </c>
      <c r="K5" s="53">
        <f>'Baseline System Analysis'!K5</f>
        <v>0.61764830497225676</v>
      </c>
      <c r="L5" s="53">
        <f>'Baseline System Analysis'!L5</f>
        <v>0.52957812632109091</v>
      </c>
      <c r="M5" s="53">
        <f>'Baseline System Analysis'!M5</f>
        <v>0.48185121670948772</v>
      </c>
      <c r="N5" s="53">
        <f>'Baseline System Analysis'!N5</f>
        <v>0.56680711827214547</v>
      </c>
      <c r="O5" s="53">
        <f>'Baseline System Analysis'!O5</f>
        <v>0.96980348799493798</v>
      </c>
      <c r="P5" s="53">
        <f>'Baseline System Analysis'!P5</f>
        <v>1.3727998577177305</v>
      </c>
      <c r="Q5" s="53">
        <f>'Baseline System Analysis'!Q5</f>
        <v>1.775796227440523</v>
      </c>
      <c r="R5" s="53">
        <f>'Baseline System Analysis'!R5</f>
        <v>2.1787925971633153</v>
      </c>
      <c r="S5" s="53">
        <f>'Baseline System Analysis'!S5</f>
        <v>2.5817889668861076</v>
      </c>
      <c r="T5" s="53">
        <f>'Baseline System Analysis'!T5</f>
        <v>2.9847853366089003</v>
      </c>
      <c r="U5" s="53">
        <f>'Baseline System Analysis'!U5</f>
        <v>21.070525908414965</v>
      </c>
      <c r="V5" s="53">
        <f>'Baseline System Analysis'!V5</f>
        <v>39.156266480221028</v>
      </c>
      <c r="W5" s="53">
        <f>'Baseline System Analysis'!W5</f>
        <v>57.242007052027091</v>
      </c>
      <c r="X5" s="53">
        <f>'Baseline System Analysis'!X5</f>
        <v>75.327747623833147</v>
      </c>
      <c r="Y5" s="53">
        <f>'Baseline System Analysis'!Y5</f>
        <v>93.413488195639218</v>
      </c>
      <c r="Z5" s="53">
        <f>'Baseline System Analysis'!Z5</f>
        <v>81.062212021092932</v>
      </c>
      <c r="AA5" s="53">
        <f>'Baseline System Analysis'!AA5</f>
        <v>68.710935846546647</v>
      </c>
      <c r="AB5" s="53">
        <f>'Baseline System Analysis'!AB5</f>
        <v>56.359659672000362</v>
      </c>
      <c r="AC5" s="53">
        <f>'Baseline System Analysis'!AC5</f>
        <v>44.008383497454076</v>
      </c>
      <c r="AD5" s="53">
        <f>'Baseline System Analysis'!AD5</f>
        <v>31.657107322907791</v>
      </c>
    </row>
    <row r="6" spans="1:30" x14ac:dyDescent="0.35">
      <c r="A6" s="72" t="s">
        <v>30</v>
      </c>
      <c r="B6" s="176"/>
      <c r="C6" s="72" t="s">
        <v>34</v>
      </c>
      <c r="D6" s="53">
        <f>'Baseline System Analysis'!D6</f>
        <v>6.0580080138093939E-3</v>
      </c>
      <c r="E6" s="53">
        <f>'Baseline System Analysis'!E6</f>
        <v>1.7771756236396739E-2</v>
      </c>
      <c r="F6" s="53">
        <f>'Baseline System Analysis'!F6</f>
        <v>2.504677784712513E-2</v>
      </c>
      <c r="G6" s="53">
        <f>'Baseline System Analysis'!G6</f>
        <v>3.2321799457853517E-2</v>
      </c>
      <c r="H6" s="53">
        <f>'Baseline System Analysis'!H6</f>
        <v>3.9596821068581908E-2</v>
      </c>
      <c r="I6" s="53">
        <f>'Baseline System Analysis'!I6</f>
        <v>4.6871842679310299E-2</v>
      </c>
      <c r="J6" s="53">
        <f>'Baseline System Analysis'!J6</f>
        <v>5.414686429003869E-2</v>
      </c>
      <c r="K6" s="53">
        <f>'Baseline System Analysis'!K6</f>
        <v>4.57170533491131E-2</v>
      </c>
      <c r="L6" s="53">
        <f>'Baseline System Analysis'!L6</f>
        <v>3.8991796004088156E-2</v>
      </c>
      <c r="M6" s="53">
        <f>'Baseline System Analysis'!M6</f>
        <v>3.1792887361975948E-2</v>
      </c>
      <c r="N6" s="53">
        <f>'Baseline System Analysis'!N6</f>
        <v>4.2212624824281168E-2</v>
      </c>
      <c r="O6" s="53">
        <f>'Baseline System Analysis'!O6</f>
        <v>5.9766414638595444E-2</v>
      </c>
      <c r="P6" s="53">
        <f>'Baseline System Analysis'!P6</f>
        <v>7.7320204452909727E-2</v>
      </c>
      <c r="Q6" s="53">
        <f>'Baseline System Analysis'!Q6</f>
        <v>9.487399426722401E-2</v>
      </c>
      <c r="R6" s="53">
        <f>'Baseline System Analysis'!R6</f>
        <v>0.11242778408153829</v>
      </c>
      <c r="S6" s="53">
        <f>'Baseline System Analysis'!S6</f>
        <v>0.12998157389585258</v>
      </c>
      <c r="T6" s="53">
        <f>'Baseline System Analysis'!T6</f>
        <v>0.14753536371016684</v>
      </c>
      <c r="U6" s="53">
        <f>'Baseline System Analysis'!U6</f>
        <v>0.40051087482777559</v>
      </c>
      <c r="V6" s="53">
        <f>'Baseline System Analysis'!V6</f>
        <v>0.65348638594538433</v>
      </c>
      <c r="W6" s="53">
        <f>'Baseline System Analysis'!W6</f>
        <v>0.90646189706299307</v>
      </c>
      <c r="X6" s="53">
        <f>'Baseline System Analysis'!X6</f>
        <v>1.1594374081806018</v>
      </c>
      <c r="Y6" s="53">
        <f>'Baseline System Analysis'!Y6</f>
        <v>1.4124129192982104</v>
      </c>
      <c r="Z6" s="53">
        <f>'Baseline System Analysis'!Z6</f>
        <v>1.2710233198999881</v>
      </c>
      <c r="AA6" s="53">
        <f>'Baseline System Analysis'!AA6</f>
        <v>1.1296337205017657</v>
      </c>
      <c r="AB6" s="53">
        <f>'Baseline System Analysis'!AB6</f>
        <v>0.98824412110354332</v>
      </c>
      <c r="AC6" s="53">
        <f>'Baseline System Analysis'!AC6</f>
        <v>0.84685452170532094</v>
      </c>
      <c r="AD6" s="53">
        <f>'Baseline System Analysis'!AD6</f>
        <v>0.70546492230709823</v>
      </c>
    </row>
    <row r="7" spans="1:30" x14ac:dyDescent="0.35">
      <c r="A7" s="72" t="s">
        <v>30</v>
      </c>
      <c r="B7" s="176"/>
      <c r="C7" s="72" t="s">
        <v>35</v>
      </c>
      <c r="D7" s="53">
        <f>'Baseline System Analysis'!D7</f>
        <v>14</v>
      </c>
      <c r="E7" s="53">
        <f>'Baseline System Analysis'!E7</f>
        <v>21</v>
      </c>
      <c r="F7" s="53">
        <f>'Baseline System Analysis'!F7</f>
        <v>23.2</v>
      </c>
      <c r="G7" s="53">
        <f>'Baseline System Analysis'!G7</f>
        <v>25.4</v>
      </c>
      <c r="H7" s="53">
        <f>'Baseline System Analysis'!H7</f>
        <v>27.599999999999998</v>
      </c>
      <c r="I7" s="53">
        <f>'Baseline System Analysis'!I7</f>
        <v>29.799999999999997</v>
      </c>
      <c r="J7" s="53">
        <f>'Baseline System Analysis'!J7</f>
        <v>32</v>
      </c>
      <c r="K7" s="53">
        <f>'Baseline System Analysis'!K7</f>
        <v>30</v>
      </c>
      <c r="L7" s="53">
        <f>'Baseline System Analysis'!L7</f>
        <v>29</v>
      </c>
      <c r="M7" s="53">
        <f>'Baseline System Analysis'!M7</f>
        <v>29</v>
      </c>
      <c r="N7" s="53">
        <f>'Baseline System Analysis'!N7</f>
        <v>29</v>
      </c>
      <c r="O7" s="53">
        <f>'Baseline System Analysis'!O7</f>
        <v>32.666666666666664</v>
      </c>
      <c r="P7" s="53">
        <f>'Baseline System Analysis'!P7</f>
        <v>36.333333333333329</v>
      </c>
      <c r="Q7" s="53">
        <f>'Baseline System Analysis'!Q7</f>
        <v>39.999999999999993</v>
      </c>
      <c r="R7" s="53">
        <f>'Baseline System Analysis'!R7</f>
        <v>43.666666666666657</v>
      </c>
      <c r="S7" s="53">
        <f>'Baseline System Analysis'!S7</f>
        <v>47.333333333333321</v>
      </c>
      <c r="T7" s="53">
        <f>'Baseline System Analysis'!T7</f>
        <v>51</v>
      </c>
      <c r="U7" s="53">
        <f>'Baseline System Analysis'!U7</f>
        <v>56.6</v>
      </c>
      <c r="V7" s="53">
        <f>'Baseline System Analysis'!V7</f>
        <v>62.2</v>
      </c>
      <c r="W7" s="53">
        <f>'Baseline System Analysis'!W7</f>
        <v>67.8</v>
      </c>
      <c r="X7" s="53">
        <f>'Baseline System Analysis'!X7</f>
        <v>73.399999999999991</v>
      </c>
      <c r="Y7" s="53">
        <f>'Baseline System Analysis'!Y7</f>
        <v>79</v>
      </c>
      <c r="Z7" s="53">
        <f>'Baseline System Analysis'!Z7</f>
        <v>82</v>
      </c>
      <c r="AA7" s="53">
        <f>'Baseline System Analysis'!AA7</f>
        <v>85</v>
      </c>
      <c r="AB7" s="53">
        <f>'Baseline System Analysis'!AB7</f>
        <v>88</v>
      </c>
      <c r="AC7" s="53">
        <f>'Baseline System Analysis'!AC7</f>
        <v>91</v>
      </c>
      <c r="AD7" s="53">
        <f>'Baseline System Analysis'!AD7</f>
        <v>94</v>
      </c>
    </row>
    <row r="8" spans="1:30" x14ac:dyDescent="0.35">
      <c r="A8" s="72" t="s">
        <v>39</v>
      </c>
      <c r="B8" s="176"/>
      <c r="C8" s="72" t="s">
        <v>31</v>
      </c>
      <c r="D8" s="53">
        <f>'Baseline System Analysis'!D8</f>
        <v>22.2</v>
      </c>
      <c r="E8" s="53">
        <f>'Baseline System Analysis'!E8</f>
        <v>65.8</v>
      </c>
      <c r="F8" s="53">
        <f>'Baseline System Analysis'!F8</f>
        <v>102.72</v>
      </c>
      <c r="G8" s="53">
        <f>'Baseline System Analysis'!G8</f>
        <v>139.63999999999999</v>
      </c>
      <c r="H8" s="53">
        <f>'Baseline System Analysis'!H8</f>
        <v>176.56</v>
      </c>
      <c r="I8" s="53">
        <f>'Baseline System Analysis'!I8</f>
        <v>213.48000000000002</v>
      </c>
      <c r="J8" s="53">
        <f>'Baseline System Analysis'!J8</f>
        <v>250.4</v>
      </c>
      <c r="K8" s="53">
        <f>'Baseline System Analysis'!K8</f>
        <v>216.60000000000014</v>
      </c>
      <c r="L8" s="53">
        <f>'Baseline System Analysis'!L8</f>
        <v>182.59999999999991</v>
      </c>
      <c r="M8" s="53">
        <f>'Baseline System Analysis'!M8</f>
        <v>151.20000000000005</v>
      </c>
      <c r="N8" s="53">
        <f>'Baseline System Analysis'!N8</f>
        <v>202.60000000000014</v>
      </c>
      <c r="O8" s="53">
        <f>'Baseline System Analysis'!O8</f>
        <v>292.1666666666668</v>
      </c>
      <c r="P8" s="53">
        <f>'Baseline System Analysis'!P8</f>
        <v>381.73333333333346</v>
      </c>
      <c r="Q8" s="53">
        <f>'Baseline System Analysis'!Q8</f>
        <v>471.30000000000013</v>
      </c>
      <c r="R8" s="53">
        <f>'Baseline System Analysis'!R8</f>
        <v>560.86666666666679</v>
      </c>
      <c r="S8" s="53">
        <f>'Baseline System Analysis'!S8</f>
        <v>650.43333333333339</v>
      </c>
      <c r="T8" s="53">
        <f>'Baseline System Analysis'!T8</f>
        <v>740</v>
      </c>
      <c r="U8" s="53">
        <f>'Baseline System Analysis'!U8</f>
        <v>930.87999999999988</v>
      </c>
      <c r="V8" s="53">
        <f>'Baseline System Analysis'!V8</f>
        <v>1121.7599999999998</v>
      </c>
      <c r="W8" s="53">
        <f>'Baseline System Analysis'!W8</f>
        <v>1312.6399999999996</v>
      </c>
      <c r="X8" s="53">
        <f>'Baseline System Analysis'!X8</f>
        <v>1503.5199999999995</v>
      </c>
      <c r="Y8" s="53">
        <f>'Baseline System Analysis'!Y8</f>
        <v>1694.3999999999994</v>
      </c>
      <c r="Z8" s="53">
        <f>'Baseline System Analysis'!Z8</f>
        <v>1887.3999999999994</v>
      </c>
      <c r="AA8" s="53">
        <f>'Baseline System Analysis'!AA8</f>
        <v>2080.3999999999996</v>
      </c>
      <c r="AB8" s="53">
        <f>'Baseline System Analysis'!AB8</f>
        <v>2273.3999999999996</v>
      </c>
      <c r="AC8" s="53">
        <f>'Baseline System Analysis'!AC8</f>
        <v>2466.3999999999996</v>
      </c>
      <c r="AD8" s="53">
        <f>'Baseline System Analysis'!AD8</f>
        <v>2659.3999999999996</v>
      </c>
    </row>
    <row r="9" spans="1:30" x14ac:dyDescent="0.35">
      <c r="A9" s="72" t="s">
        <v>39</v>
      </c>
      <c r="B9" s="176"/>
      <c r="C9" s="72" t="s">
        <v>32</v>
      </c>
      <c r="D9" s="53">
        <f>'Baseline System Analysis'!D9</f>
        <v>13</v>
      </c>
      <c r="E9" s="53">
        <f>'Baseline System Analysis'!E9</f>
        <v>27</v>
      </c>
      <c r="F9" s="53">
        <f>'Baseline System Analysis'!F9</f>
        <v>34.519999999999982</v>
      </c>
      <c r="G9" s="53">
        <f>'Baseline System Analysis'!G9</f>
        <v>42.039999999999964</v>
      </c>
      <c r="H9" s="53">
        <f>'Baseline System Analysis'!H9</f>
        <v>49.559999999999945</v>
      </c>
      <c r="I9" s="53">
        <f>'Baseline System Analysis'!I9</f>
        <v>57.079999999999927</v>
      </c>
      <c r="J9" s="53">
        <f>'Baseline System Analysis'!J9</f>
        <v>64.599999999999909</v>
      </c>
      <c r="K9" s="53">
        <f>'Baseline System Analysis'!K9</f>
        <v>59.799999999999955</v>
      </c>
      <c r="L9" s="53">
        <f>'Baseline System Analysis'!L9</f>
        <v>52.799999999999955</v>
      </c>
      <c r="M9" s="53">
        <f>'Baseline System Analysis'!M9</f>
        <v>46</v>
      </c>
      <c r="N9" s="53">
        <f>'Baseline System Analysis'!N9</f>
        <v>57.400000000000091</v>
      </c>
      <c r="O9" s="53">
        <f>'Baseline System Analysis'!O9</f>
        <v>67.333333333333414</v>
      </c>
      <c r="P9" s="53">
        <f>'Baseline System Analysis'!P9</f>
        <v>77.266666666666737</v>
      </c>
      <c r="Q9" s="53">
        <f>'Baseline System Analysis'!Q9</f>
        <v>87.20000000000006</v>
      </c>
      <c r="R9" s="53">
        <f>'Baseline System Analysis'!R9</f>
        <v>97.133333333333383</v>
      </c>
      <c r="S9" s="53">
        <f>'Baseline System Analysis'!S9</f>
        <v>107.06666666666671</v>
      </c>
      <c r="T9" s="53">
        <f>'Baseline System Analysis'!T9</f>
        <v>117</v>
      </c>
      <c r="U9" s="53">
        <f>'Baseline System Analysis'!U9</f>
        <v>126.6</v>
      </c>
      <c r="V9" s="53">
        <f>'Baseline System Analysis'!V9</f>
        <v>136.19999999999999</v>
      </c>
      <c r="W9" s="53">
        <f>'Baseline System Analysis'!W9</f>
        <v>145.79999999999998</v>
      </c>
      <c r="X9" s="53">
        <f>'Baseline System Analysis'!X9</f>
        <v>155.39999999999998</v>
      </c>
      <c r="Y9" s="53">
        <f>'Baseline System Analysis'!Y9</f>
        <v>165</v>
      </c>
      <c r="Z9" s="53">
        <f>'Baseline System Analysis'!Z9</f>
        <v>171.84</v>
      </c>
      <c r="AA9" s="53">
        <f>'Baseline System Analysis'!AA9</f>
        <v>178.68</v>
      </c>
      <c r="AB9" s="53">
        <f>'Baseline System Analysis'!AB9</f>
        <v>185.52</v>
      </c>
      <c r="AC9" s="53">
        <f>'Baseline System Analysis'!AC9</f>
        <v>192.36</v>
      </c>
      <c r="AD9" s="53">
        <f>'Baseline System Analysis'!AD9</f>
        <v>199.20000000000005</v>
      </c>
    </row>
    <row r="10" spans="1:30" x14ac:dyDescent="0.35">
      <c r="A10" s="72" t="s">
        <v>39</v>
      </c>
      <c r="B10" s="176"/>
      <c r="C10" s="72" t="s">
        <v>33</v>
      </c>
      <c r="D10" s="53">
        <f>'Baseline System Analysis'!D10</f>
        <v>4.7253529883901121E-2</v>
      </c>
      <c r="E10" s="53">
        <f>'Baseline System Analysis'!E10</f>
        <v>0.28011551949195379</v>
      </c>
      <c r="F10" s="53">
        <f>'Baseline System Analysis'!F10</f>
        <v>0.59718244793816533</v>
      </c>
      <c r="G10" s="53">
        <f>'Baseline System Analysis'!G10</f>
        <v>0.91424937638437687</v>
      </c>
      <c r="H10" s="53">
        <f>'Baseline System Analysis'!H10</f>
        <v>1.2313163048305884</v>
      </c>
      <c r="I10" s="53">
        <f>'Baseline System Analysis'!I10</f>
        <v>1.5483832332767999</v>
      </c>
      <c r="J10" s="53">
        <f>'Baseline System Analysis'!J10</f>
        <v>1.8654501617230115</v>
      </c>
      <c r="K10" s="53">
        <f>'Baseline System Analysis'!K10</f>
        <v>1.6136441894137561</v>
      </c>
      <c r="L10" s="53">
        <f>'Baseline System Analysis'!L10</f>
        <v>1.1660127779459895</v>
      </c>
      <c r="M10" s="53">
        <f>'Baseline System Analysis'!M10</f>
        <v>0.80458713045561225</v>
      </c>
      <c r="N10" s="53">
        <f>'Baseline System Analysis'!N10</f>
        <v>0.56680711827214547</v>
      </c>
      <c r="O10" s="53">
        <f>'Baseline System Analysis'!O10</f>
        <v>3.0445179689462347</v>
      </c>
      <c r="P10" s="53">
        <f>'Baseline System Analysis'!P10</f>
        <v>4.5886299372095039</v>
      </c>
      <c r="Q10" s="53">
        <f>'Baseline System Analysis'!Q10</f>
        <v>6.1327419054727734</v>
      </c>
      <c r="R10" s="53">
        <f>'Baseline System Analysis'!R10</f>
        <v>7.676853873736043</v>
      </c>
      <c r="S10" s="53">
        <f>'Baseline System Analysis'!S10</f>
        <v>9.2209658419993126</v>
      </c>
      <c r="T10" s="53">
        <f>'Baseline System Analysis'!T10</f>
        <v>10.765077810262582</v>
      </c>
      <c r="U10" s="53">
        <f>'Baseline System Analysis'!U10</f>
        <v>11.285969377257926</v>
      </c>
      <c r="V10" s="53">
        <f>'Baseline System Analysis'!V10</f>
        <v>11.80686094425327</v>
      </c>
      <c r="W10" s="53">
        <f>'Baseline System Analysis'!W10</f>
        <v>12.327752511248613</v>
      </c>
      <c r="X10" s="53">
        <f>'Baseline System Analysis'!X10</f>
        <v>12.848644078243957</v>
      </c>
      <c r="Y10" s="53">
        <f>'Baseline System Analysis'!Y10</f>
        <v>13.369535645239303</v>
      </c>
      <c r="Z10" s="53">
        <f>'Baseline System Analysis'!Z10</f>
        <v>31.024884631077057</v>
      </c>
      <c r="AA10" s="53">
        <f>'Baseline System Analysis'!AA10</f>
        <v>48.680233616914812</v>
      </c>
      <c r="AB10" s="53">
        <f>'Baseline System Analysis'!AB10</f>
        <v>66.335582602752567</v>
      </c>
      <c r="AC10" s="53">
        <f>'Baseline System Analysis'!AC10</f>
        <v>83.990931588590314</v>
      </c>
      <c r="AD10" s="53">
        <f>'Baseline System Analysis'!AD10</f>
        <v>101.64628057442808</v>
      </c>
    </row>
    <row r="11" spans="1:30" x14ac:dyDescent="0.35">
      <c r="A11" s="72" t="s">
        <v>39</v>
      </c>
      <c r="B11" s="176"/>
      <c r="C11" s="72" t="s">
        <v>34</v>
      </c>
      <c r="D11" s="53">
        <f>'Baseline System Analysis'!D11</f>
        <v>2.3626764941950561E-2</v>
      </c>
      <c r="E11" s="53">
        <f>'Baseline System Analysis'!E11</f>
        <v>7.0028879872988448E-2</v>
      </c>
      <c r="F11" s="53">
        <f>'Baseline System Analysis'!F11</f>
        <v>0.10932167994761965</v>
      </c>
      <c r="G11" s="53">
        <f>'Baseline System Analysis'!G11</f>
        <v>0.14861448002225086</v>
      </c>
      <c r="H11" s="53">
        <f>'Baseline System Analysis'!H11</f>
        <v>0.18790728009688207</v>
      </c>
      <c r="I11" s="53">
        <f>'Baseline System Analysis'!I11</f>
        <v>0.22720008017151327</v>
      </c>
      <c r="J11" s="53">
        <f>'Baseline System Analysis'!J11</f>
        <v>0.26649288024614448</v>
      </c>
      <c r="K11" s="53">
        <f>'Baseline System Analysis'!K11</f>
        <v>0.23052059848767945</v>
      </c>
      <c r="L11" s="53">
        <f>'Baseline System Analysis'!L11</f>
        <v>0.19433546299099821</v>
      </c>
      <c r="M11" s="53">
        <f>'Baseline System Analysis'!M11</f>
        <v>0.16091742609112245</v>
      </c>
      <c r="N11" s="53">
        <f>'Baseline System Analysis'!N11</f>
        <v>4.2212624824281168E-2</v>
      </c>
      <c r="O11" s="53">
        <f>'Baseline System Analysis'!O11</f>
        <v>0.30677545020347896</v>
      </c>
      <c r="P11" s="53">
        <f>'Baseline System Analysis'!P11</f>
        <v>0.39920718602367722</v>
      </c>
      <c r="Q11" s="53">
        <f>'Baseline System Analysis'!Q11</f>
        <v>0.49163892184387548</v>
      </c>
      <c r="R11" s="53">
        <f>'Baseline System Analysis'!R11</f>
        <v>0.58407065766407373</v>
      </c>
      <c r="S11" s="53">
        <f>'Baseline System Analysis'!S11</f>
        <v>0.67650239348427199</v>
      </c>
      <c r="T11" s="53">
        <f>'Baseline System Analysis'!T11</f>
        <v>0.76893412930447014</v>
      </c>
      <c r="U11" s="53">
        <f>'Baseline System Analysis'!U11</f>
        <v>0.69278283231502535</v>
      </c>
      <c r="V11" s="53">
        <f>'Baseline System Analysis'!V11</f>
        <v>0.61663153532558057</v>
      </c>
      <c r="W11" s="53">
        <f>'Baseline System Analysis'!W11</f>
        <v>0.54048023833613579</v>
      </c>
      <c r="X11" s="53">
        <f>'Baseline System Analysis'!X11</f>
        <v>0.464328941346691</v>
      </c>
      <c r="Y11" s="53">
        <f>'Baseline System Analysis'!Y11</f>
        <v>0.38817764435724611</v>
      </c>
      <c r="Z11" s="53">
        <f>'Baseline System Analysis'!Z11</f>
        <v>0.85998146994216484</v>
      </c>
      <c r="AA11" s="53">
        <f>'Baseline System Analysis'!AA11</f>
        <v>1.3317852955270837</v>
      </c>
      <c r="AB11" s="53">
        <f>'Baseline System Analysis'!AB11</f>
        <v>1.8035891211120025</v>
      </c>
      <c r="AC11" s="53">
        <f>'Baseline System Analysis'!AC11</f>
        <v>2.2753929466969214</v>
      </c>
      <c r="AD11" s="53">
        <f>'Baseline System Analysis'!AD11</f>
        <v>2.74719677228184</v>
      </c>
    </row>
    <row r="12" spans="1:30" x14ac:dyDescent="0.35">
      <c r="A12" s="72" t="s">
        <v>39</v>
      </c>
      <c r="B12" s="176"/>
      <c r="C12" s="72" t="s">
        <v>35</v>
      </c>
      <c r="D12" s="53">
        <f>'Baseline System Analysis'!D12</f>
        <v>2</v>
      </c>
      <c r="E12" s="53">
        <f>'Baseline System Analysis'!E12</f>
        <v>4</v>
      </c>
      <c r="F12" s="53">
        <f>'Baseline System Analysis'!F12</f>
        <v>4.5999999999999996</v>
      </c>
      <c r="G12" s="53">
        <f>'Baseline System Analysis'!G12</f>
        <v>5.1999999999999993</v>
      </c>
      <c r="H12" s="53">
        <f>'Baseline System Analysis'!H12</f>
        <v>5.7999999999999989</v>
      </c>
      <c r="I12" s="53">
        <f>'Baseline System Analysis'!I12</f>
        <v>6.3999999999999986</v>
      </c>
      <c r="J12" s="53">
        <f>'Baseline System Analysis'!J12</f>
        <v>7</v>
      </c>
      <c r="K12" s="53">
        <f>'Baseline System Analysis'!K12</f>
        <v>7</v>
      </c>
      <c r="L12" s="53">
        <f>'Baseline System Analysis'!L12</f>
        <v>6</v>
      </c>
      <c r="M12" s="53">
        <f>'Baseline System Analysis'!M12</f>
        <v>5</v>
      </c>
      <c r="N12" s="53">
        <f>'Baseline System Analysis'!N12</f>
        <v>7</v>
      </c>
      <c r="O12" s="53">
        <f>'Baseline System Analysis'!O12</f>
        <v>8.1666666666666661</v>
      </c>
      <c r="P12" s="53">
        <f>'Baseline System Analysis'!P12</f>
        <v>9.3333333333333321</v>
      </c>
      <c r="Q12" s="53">
        <f>'Baseline System Analysis'!Q12</f>
        <v>10.499999999999998</v>
      </c>
      <c r="R12" s="53">
        <f>'Baseline System Analysis'!R12</f>
        <v>11.666666666666664</v>
      </c>
      <c r="S12" s="53">
        <f>'Baseline System Analysis'!S12</f>
        <v>12.83333333333333</v>
      </c>
      <c r="T12" s="53">
        <f>'Baseline System Analysis'!T12</f>
        <v>14</v>
      </c>
      <c r="U12" s="53">
        <f>'Baseline System Analysis'!U12</f>
        <v>17</v>
      </c>
      <c r="V12" s="53">
        <f>'Baseline System Analysis'!V12</f>
        <v>20</v>
      </c>
      <c r="W12" s="53">
        <f>'Baseline System Analysis'!W12</f>
        <v>23</v>
      </c>
      <c r="X12" s="53">
        <f>'Baseline System Analysis'!X12</f>
        <v>26</v>
      </c>
      <c r="Y12" s="53">
        <f>'Baseline System Analysis'!Y12</f>
        <v>29</v>
      </c>
      <c r="Z12" s="53">
        <f>'Baseline System Analysis'!Z12</f>
        <v>30.6</v>
      </c>
      <c r="AA12" s="53">
        <f>'Baseline System Analysis'!AA12</f>
        <v>32.200000000000003</v>
      </c>
      <c r="AB12" s="53">
        <f>'Baseline System Analysis'!AB12</f>
        <v>33.800000000000004</v>
      </c>
      <c r="AC12" s="53">
        <f>'Baseline System Analysis'!AC12</f>
        <v>35.400000000000006</v>
      </c>
      <c r="AD12" s="53">
        <f>'Baseline System Analysis'!AD12</f>
        <v>37</v>
      </c>
    </row>
    <row r="13" spans="1:30" s="52" customFormat="1" x14ac:dyDescent="0.35">
      <c r="A13" s="72" t="s">
        <v>30</v>
      </c>
      <c r="B13" s="176"/>
      <c r="C13" s="72" t="s">
        <v>108</v>
      </c>
      <c r="D13" s="53">
        <f>'Baseline System Analysis'!D13</f>
        <v>5445.825674993449</v>
      </c>
      <c r="E13" s="53">
        <f>'Baseline System Analysis'!E13</f>
        <v>7241.293555071361</v>
      </c>
      <c r="F13" s="53">
        <f>'Baseline System Analysis'!F13</f>
        <v>9036.7614351492721</v>
      </c>
      <c r="G13" s="53">
        <f>'Baseline System Analysis'!G13</f>
        <v>10832.229315227183</v>
      </c>
      <c r="H13" s="53">
        <f>'Baseline System Analysis'!H13</f>
        <v>12627.697195305094</v>
      </c>
      <c r="I13" s="53">
        <f>'Baseline System Analysis'!I13</f>
        <v>14423.165075383005</v>
      </c>
      <c r="J13" s="53">
        <f>'Baseline System Analysis'!J13</f>
        <v>16218.632955460916</v>
      </c>
      <c r="K13" s="53">
        <f>'Baseline System Analysis'!K13</f>
        <v>15620.143662101613</v>
      </c>
      <c r="L13" s="53">
        <f>'Baseline System Analysis'!L13</f>
        <v>15021.654368742309</v>
      </c>
      <c r="M13" s="53">
        <f>'Baseline System Analysis'!M13</f>
        <v>13525.43113534405</v>
      </c>
      <c r="N13" s="53">
        <f>'Baseline System Analysis'!N13</f>
        <v>14423.165075383005</v>
      </c>
      <c r="O13" s="53">
        <f>'Baseline System Analysis'!O13</f>
        <v>16913.232955460899</v>
      </c>
      <c r="P13" s="53">
        <f>'Baseline System Analysis'!P13</f>
        <v>17831.369243247562</v>
      </c>
      <c r="Q13" s="53">
        <f>'Baseline System Analysis'!Q13</f>
        <v>18749.505531034225</v>
      </c>
      <c r="R13" s="53">
        <f>'Baseline System Analysis'!R13</f>
        <v>19667.641818820888</v>
      </c>
      <c r="S13" s="53">
        <f>'Baseline System Analysis'!S13</f>
        <v>20585.778106607551</v>
      </c>
      <c r="T13" s="53">
        <f>'Baseline System Analysis'!T13</f>
        <v>21503.914394394214</v>
      </c>
      <c r="U13" s="53">
        <f>'Baseline System Analysis'!U13</f>
        <v>22422.050682180878</v>
      </c>
      <c r="V13" s="53">
        <f>'Baseline System Analysis'!V13</f>
        <v>23340.186969967541</v>
      </c>
      <c r="W13" s="53">
        <f>'Baseline System Analysis'!W13</f>
        <v>24258.323257754204</v>
      </c>
      <c r="X13" s="53">
        <f>'Baseline System Analysis'!X13</f>
        <v>25176.459545540867</v>
      </c>
      <c r="Y13" s="53">
        <f>'Baseline System Analysis'!Y13</f>
        <v>26094.59583332753</v>
      </c>
      <c r="Z13" s="53">
        <f>'Baseline System Analysis'!Z13</f>
        <v>27012.732121114193</v>
      </c>
      <c r="AA13" s="53">
        <f>'Baseline System Analysis'!AA13</f>
        <v>27930.868408900857</v>
      </c>
      <c r="AB13" s="53">
        <f>'Baseline System Analysis'!AB13</f>
        <v>28849.00469668752</v>
      </c>
      <c r="AC13" s="53">
        <f>'Baseline System Analysis'!AC13</f>
        <v>29767.140984474183</v>
      </c>
      <c r="AD13" s="53">
        <f>'Baseline System Analysis'!AD13</f>
        <v>30685.277272260842</v>
      </c>
    </row>
    <row r="14" spans="1:30" x14ac:dyDescent="0.35">
      <c r="A14" s="72" t="s">
        <v>30</v>
      </c>
      <c r="B14" s="176"/>
      <c r="C14" s="72" t="s">
        <v>109</v>
      </c>
      <c r="D14" s="53">
        <f>'Baseline System Analysis'!D14</f>
        <v>192864.66620394157</v>
      </c>
      <c r="E14" s="53">
        <f>'Baseline System Analysis'!E14</f>
        <v>195239.2419650236</v>
      </c>
      <c r="F14" s="53">
        <f>'Baseline System Analysis'!F14</f>
        <v>196366.76544203321</v>
      </c>
      <c r="G14" s="53">
        <f>'Baseline System Analysis'!G14</f>
        <v>197525.37556068008</v>
      </c>
      <c r="H14" s="53">
        <f>'Baseline System Analysis'!H14</f>
        <v>198743.92387830256</v>
      </c>
      <c r="I14" s="53">
        <f>'Baseline System Analysis'!I14</f>
        <v>200140.93841202525</v>
      </c>
      <c r="J14" s="53">
        <f>'Baseline System Analysis'!J14</f>
        <v>201537.7102617296</v>
      </c>
      <c r="K14" s="53">
        <f>'Baseline System Analysis'!K14</f>
        <v>200616.89493678272</v>
      </c>
      <c r="L14" s="53">
        <f>'Baseline System Analysis'!L14</f>
        <v>199696.14928779242</v>
      </c>
      <c r="M14" s="53">
        <f>'Baseline System Analysis'!M14</f>
        <v>198775.23322502323</v>
      </c>
      <c r="N14" s="53">
        <f>'Baseline System Analysis'!N14</f>
        <v>200250.33489773443</v>
      </c>
      <c r="O14" s="53">
        <f>'Baseline System Analysis'!O14</f>
        <v>201766.1654636735</v>
      </c>
      <c r="P14" s="53">
        <f>'Baseline System Analysis'!P14</f>
        <v>203325.96278464468</v>
      </c>
      <c r="Q14" s="53">
        <f>'Baseline System Analysis'!Q14</f>
        <v>204856.96017693213</v>
      </c>
      <c r="R14" s="53">
        <f>'Baseline System Analysis'!R14</f>
        <v>206421.18825616254</v>
      </c>
      <c r="S14" s="53">
        <f>'Baseline System Analysis'!S14</f>
        <v>208013.70502273936</v>
      </c>
      <c r="T14" s="53">
        <f>'Baseline System Analysis'!T14</f>
        <v>209643.37199318074</v>
      </c>
      <c r="U14" s="53">
        <f>'Baseline System Analysis'!U14</f>
        <v>211125.2902170599</v>
      </c>
      <c r="V14" s="53">
        <f>'Baseline System Analysis'!V14</f>
        <v>212613.854578328</v>
      </c>
      <c r="W14" s="53">
        <f>'Baseline System Analysis'!W14</f>
        <v>214101.90769825791</v>
      </c>
      <c r="X14" s="53">
        <f>'Baseline System Analysis'!X14</f>
        <v>215599.50398982322</v>
      </c>
      <c r="Y14" s="53">
        <f>'Baseline System Analysis'!Y14</f>
        <v>216849.14823265999</v>
      </c>
      <c r="Z14" s="53">
        <f>'Baseline System Analysis'!Z14</f>
        <v>218069.3108916957</v>
      </c>
      <c r="AA14" s="53">
        <f>'Baseline System Analysis'!AA14</f>
        <v>219248.74465750376</v>
      </c>
      <c r="AB14" s="53">
        <f>'Baseline System Analysis'!AB14</f>
        <v>220395.79980526475</v>
      </c>
      <c r="AC14" s="53">
        <f>'Baseline System Analysis'!AC14</f>
        <v>221214.46760051764</v>
      </c>
      <c r="AD14" s="53">
        <f>'Baseline System Analysis'!AD14</f>
        <v>221946.05395460132</v>
      </c>
    </row>
    <row r="15" spans="1:30" x14ac:dyDescent="0.35">
      <c r="A15" s="72" t="s">
        <v>30</v>
      </c>
      <c r="B15" s="176"/>
      <c r="C15" s="72" t="s">
        <v>110</v>
      </c>
      <c r="D15" s="53">
        <f>'Baseline System Analysis'!D15</f>
        <v>57814.1637958055</v>
      </c>
      <c r="E15" s="53">
        <f>'Baseline System Analysis'!E15</f>
        <v>62191.746894023359</v>
      </c>
      <c r="F15" s="53">
        <f>'Baseline System Analysis'!F15</f>
        <v>64361.105239567863</v>
      </c>
      <c r="G15" s="53">
        <f>'Baseline System Analysis'!G15</f>
        <v>66628.501001105484</v>
      </c>
      <c r="H15" s="53">
        <f>'Baseline System Analysis'!H15</f>
        <v>69068.22672153436</v>
      </c>
      <c r="I15" s="53">
        <f>'Baseline System Analysis'!I15</f>
        <v>71918.961016641551</v>
      </c>
      <c r="J15" s="53">
        <f>'Baseline System Analysis'!J15</f>
        <v>74820.679205256296</v>
      </c>
      <c r="K15" s="53">
        <f>'Baseline System Analysis'!K15</f>
        <v>72899.28225345345</v>
      </c>
      <c r="L15" s="53">
        <f>'Baseline System Analysis'!L15</f>
        <v>71006.352594376862</v>
      </c>
      <c r="M15" s="53">
        <f>'Baseline System Analysis'!M15</f>
        <v>69131.616141376318</v>
      </c>
      <c r="N15" s="53">
        <f>'Baseline System Analysis'!N15</f>
        <v>72143.764963991809</v>
      </c>
      <c r="O15" s="53">
        <f>'Baseline System Analysis'!O15</f>
        <v>75301.925896232133</v>
      </c>
      <c r="P15" s="53">
        <f>'Baseline System Analysis'!P15</f>
        <v>78629.627518656707</v>
      </c>
      <c r="Q15" s="53">
        <f>'Baseline System Analysis'!Q15</f>
        <v>81951.057574073071</v>
      </c>
      <c r="R15" s="53">
        <f>'Baseline System Analysis'!R15</f>
        <v>85383.424638269789</v>
      </c>
      <c r="S15" s="53">
        <f>'Baseline System Analysis'!S15</f>
        <v>88945.971119594135</v>
      </c>
      <c r="T15" s="53">
        <f>'Baseline System Analysis'!T15</f>
        <v>92676.895920951385</v>
      </c>
      <c r="U15" s="53">
        <f>'Baseline System Analysis'!U15</f>
        <v>96145.729908431153</v>
      </c>
      <c r="V15" s="53">
        <f>'Baseline System Analysis'!V15</f>
        <v>99700.858162341799</v>
      </c>
      <c r="W15" s="53">
        <f>'Baseline System Analysis'!W15</f>
        <v>103340.20977892888</v>
      </c>
      <c r="X15" s="53">
        <f>'Baseline System Analysis'!X15</f>
        <v>107065.51818072386</v>
      </c>
      <c r="Y15" s="53">
        <f>'Baseline System Analysis'!Y15</f>
        <v>110237.64392344528</v>
      </c>
      <c r="Z15" s="53">
        <f>'Baseline System Analysis'!Z15</f>
        <v>113355.67104643886</v>
      </c>
      <c r="AA15" s="53">
        <f>'Baseline System Analysis'!AA15</f>
        <v>116394.79841235251</v>
      </c>
      <c r="AB15" s="53">
        <f>'Baseline System Analysis'!AB15</f>
        <v>119393.94598127359</v>
      </c>
      <c r="AC15" s="53">
        <f>'Baseline System Analysis'!AC15</f>
        <v>121552.79504833522</v>
      </c>
      <c r="AD15" s="53">
        <f>'Baseline System Analysis'!AD15</f>
        <v>123501.36707164065</v>
      </c>
    </row>
    <row r="17" spans="1:30" ht="20" thickBot="1" x14ac:dyDescent="0.5">
      <c r="A17" s="113"/>
      <c r="B17" s="122"/>
      <c r="C17" s="113" t="s">
        <v>105</v>
      </c>
      <c r="D17" s="113">
        <v>2022</v>
      </c>
      <c r="E17" s="113">
        <v>2023</v>
      </c>
      <c r="F17" s="113">
        <v>2024</v>
      </c>
      <c r="G17" s="113">
        <v>2025</v>
      </c>
      <c r="H17" s="113">
        <v>2026</v>
      </c>
      <c r="I17" s="113">
        <v>2027</v>
      </c>
      <c r="J17" s="113">
        <v>2028</v>
      </c>
      <c r="K17" s="113">
        <v>2029</v>
      </c>
      <c r="L17" s="113">
        <v>2030</v>
      </c>
      <c r="M17" s="113">
        <v>2031</v>
      </c>
      <c r="N17" s="113">
        <v>2032</v>
      </c>
      <c r="O17" s="113">
        <v>2033</v>
      </c>
      <c r="P17" s="113">
        <v>2034</v>
      </c>
      <c r="Q17" s="113">
        <v>2035</v>
      </c>
      <c r="R17" s="113">
        <v>2036</v>
      </c>
      <c r="S17" s="113">
        <v>2037</v>
      </c>
      <c r="T17" s="113">
        <v>2038</v>
      </c>
      <c r="U17" s="113">
        <v>2039</v>
      </c>
      <c r="V17" s="113">
        <v>2040</v>
      </c>
      <c r="W17" s="113">
        <v>2041</v>
      </c>
      <c r="X17" s="113">
        <v>2042</v>
      </c>
      <c r="Y17" s="113">
        <v>2043</v>
      </c>
      <c r="Z17" s="113">
        <v>2044</v>
      </c>
      <c r="AA17" s="113">
        <v>2045</v>
      </c>
      <c r="AB17" s="113">
        <v>2046</v>
      </c>
      <c r="AC17" s="113">
        <v>2047</v>
      </c>
      <c r="AD17" s="113">
        <v>2048</v>
      </c>
    </row>
    <row r="18" spans="1:30" ht="15" thickTop="1" x14ac:dyDescent="0.35">
      <c r="A18" s="72"/>
      <c r="B18" s="176" t="s">
        <v>9</v>
      </c>
      <c r="C18" s="72" t="s">
        <v>107</v>
      </c>
      <c r="D18" s="53">
        <v>40620.811764705883</v>
      </c>
      <c r="E18" s="53">
        <v>40962.556561085978</v>
      </c>
      <c r="F18" s="53">
        <v>41304.301357466073</v>
      </c>
      <c r="G18" s="53">
        <v>41646.046153846168</v>
      </c>
      <c r="H18" s="53">
        <v>41987.790950226263</v>
      </c>
      <c r="I18" s="53">
        <v>42329.535746606358</v>
      </c>
      <c r="J18" s="53">
        <v>42671.280542986453</v>
      </c>
      <c r="K18" s="53">
        <v>42107.294117647485</v>
      </c>
      <c r="L18" s="53">
        <v>41919.941176470893</v>
      </c>
      <c r="M18" s="53">
        <v>41744.117647059007</v>
      </c>
      <c r="N18" s="53">
        <v>42027.08996539814</v>
      </c>
      <c r="O18" s="53">
        <v>42310.062283737272</v>
      </c>
      <c r="P18" s="53">
        <v>42593.034602076405</v>
      </c>
      <c r="Q18" s="53">
        <v>42876.006920415537</v>
      </c>
      <c r="R18" s="53">
        <v>43158.979238754669</v>
      </c>
      <c r="S18" s="53">
        <v>43441.951557093802</v>
      </c>
      <c r="T18" s="53">
        <v>43724.923875432934</v>
      </c>
      <c r="U18" s="53">
        <v>44007.896193772067</v>
      </c>
      <c r="V18" s="53">
        <v>44290.868512111199</v>
      </c>
      <c r="W18" s="53">
        <v>44573.840830450332</v>
      </c>
      <c r="X18" s="53">
        <v>44856.813148789464</v>
      </c>
      <c r="Y18" s="53">
        <v>45139.785467128597</v>
      </c>
      <c r="Z18" s="53">
        <v>45422.757785467729</v>
      </c>
      <c r="AA18" s="53">
        <v>45705.730103806862</v>
      </c>
      <c r="AB18" s="53">
        <v>45988.702422145994</v>
      </c>
      <c r="AC18" s="53">
        <v>46271.674740485127</v>
      </c>
      <c r="AD18" s="53">
        <v>46554.647058824259</v>
      </c>
    </row>
    <row r="19" spans="1:30" x14ac:dyDescent="0.35">
      <c r="A19" s="72" t="s">
        <v>30</v>
      </c>
      <c r="B19" s="176"/>
      <c r="C19" s="72" t="s">
        <v>31</v>
      </c>
      <c r="D19" s="53">
        <v>0</v>
      </c>
      <c r="E19" s="53">
        <v>0</v>
      </c>
      <c r="F19" s="53">
        <v>0</v>
      </c>
      <c r="G19" s="53">
        <v>0</v>
      </c>
      <c r="H19" s="53">
        <v>0</v>
      </c>
      <c r="I19" s="53">
        <v>0</v>
      </c>
      <c r="J19" s="53">
        <v>0</v>
      </c>
      <c r="K19" s="53">
        <v>0</v>
      </c>
      <c r="L19" s="53">
        <v>0</v>
      </c>
      <c r="M19" s="53">
        <v>0</v>
      </c>
      <c r="N19" s="53">
        <v>0</v>
      </c>
      <c r="O19" s="53">
        <v>0</v>
      </c>
      <c r="P19" s="53">
        <v>0</v>
      </c>
      <c r="Q19" s="53">
        <v>0</v>
      </c>
      <c r="R19" s="53">
        <v>0</v>
      </c>
      <c r="S19" s="53">
        <v>0</v>
      </c>
      <c r="T19" s="53">
        <v>0</v>
      </c>
      <c r="U19" s="53">
        <v>0</v>
      </c>
      <c r="V19" s="53">
        <v>0</v>
      </c>
      <c r="W19" s="53">
        <v>0</v>
      </c>
      <c r="X19" s="53">
        <v>0</v>
      </c>
      <c r="Y19" s="53">
        <v>6.5</v>
      </c>
      <c r="Z19" s="53">
        <v>9.5200000000000014</v>
      </c>
      <c r="AA19" s="53">
        <v>12.540000000000003</v>
      </c>
      <c r="AB19" s="53">
        <v>15.560000000000004</v>
      </c>
      <c r="AC19" s="53">
        <v>18.580000000000005</v>
      </c>
      <c r="AD19" s="53">
        <v>30.200000000000017</v>
      </c>
    </row>
    <row r="20" spans="1:30" x14ac:dyDescent="0.35">
      <c r="A20" s="72" t="s">
        <v>30</v>
      </c>
      <c r="B20" s="176"/>
      <c r="C20" s="72" t="s">
        <v>32</v>
      </c>
      <c r="D20" s="53">
        <v>0</v>
      </c>
      <c r="E20" s="53">
        <v>0</v>
      </c>
      <c r="F20" s="53">
        <v>0</v>
      </c>
      <c r="G20" s="53">
        <v>0</v>
      </c>
      <c r="H20" s="53">
        <v>0</v>
      </c>
      <c r="I20" s="53">
        <v>0</v>
      </c>
      <c r="J20" s="53">
        <v>0</v>
      </c>
      <c r="K20" s="53">
        <v>0</v>
      </c>
      <c r="L20" s="53">
        <v>0</v>
      </c>
      <c r="M20" s="53">
        <v>0</v>
      </c>
      <c r="N20" s="53">
        <v>0</v>
      </c>
      <c r="O20" s="53">
        <v>0</v>
      </c>
      <c r="P20" s="53">
        <v>0</v>
      </c>
      <c r="Q20" s="53">
        <v>0</v>
      </c>
      <c r="R20" s="53">
        <v>0</v>
      </c>
      <c r="S20" s="53">
        <v>0</v>
      </c>
      <c r="T20" s="53">
        <v>0</v>
      </c>
      <c r="U20" s="53">
        <v>0</v>
      </c>
      <c r="V20" s="53">
        <v>0</v>
      </c>
      <c r="W20" s="53">
        <v>0</v>
      </c>
      <c r="X20" s="53">
        <v>0</v>
      </c>
      <c r="Y20" s="53">
        <v>3.6999999999999886</v>
      </c>
      <c r="Z20" s="53">
        <v>4.6799999999999899</v>
      </c>
      <c r="AA20" s="53">
        <v>5.6599999999999913</v>
      </c>
      <c r="AB20" s="53">
        <v>6.6399999999999926</v>
      </c>
      <c r="AC20" s="53">
        <v>7.6199999999999939</v>
      </c>
      <c r="AD20" s="53">
        <v>9.8000000000000114</v>
      </c>
    </row>
    <row r="21" spans="1:30" x14ac:dyDescent="0.35">
      <c r="A21" s="72" t="s">
        <v>30</v>
      </c>
      <c r="B21" s="176"/>
      <c r="C21" s="72" t="s">
        <v>33</v>
      </c>
      <c r="D21" s="53">
        <v>0</v>
      </c>
      <c r="E21" s="53">
        <v>0</v>
      </c>
      <c r="F21" s="53">
        <v>0</v>
      </c>
      <c r="G21" s="53">
        <v>0</v>
      </c>
      <c r="H21" s="53">
        <v>0</v>
      </c>
      <c r="I21" s="53">
        <v>0</v>
      </c>
      <c r="J21" s="53">
        <v>0</v>
      </c>
      <c r="K21" s="53">
        <v>0</v>
      </c>
      <c r="L21" s="53">
        <v>0</v>
      </c>
      <c r="M21" s="53">
        <v>0</v>
      </c>
      <c r="N21" s="53">
        <v>0</v>
      </c>
      <c r="O21" s="53">
        <v>0</v>
      </c>
      <c r="P21" s="53">
        <v>0</v>
      </c>
      <c r="Q21" s="53">
        <v>0</v>
      </c>
      <c r="R21" s="53">
        <v>0</v>
      </c>
      <c r="S21" s="53">
        <v>0</v>
      </c>
      <c r="T21" s="53">
        <v>0</v>
      </c>
      <c r="U21" s="53">
        <v>0</v>
      </c>
      <c r="V21" s="53">
        <v>0</v>
      </c>
      <c r="W21" s="53">
        <v>0</v>
      </c>
      <c r="X21" s="53">
        <v>0</v>
      </c>
      <c r="Y21" s="53">
        <v>3.2882896580724207E-2</v>
      </c>
      <c r="Z21" s="53">
        <v>7.1077645686026952E-2</v>
      </c>
      <c r="AA21" s="53">
        <v>0.10927239479132971</v>
      </c>
      <c r="AB21" s="53">
        <v>0.14746714389663246</v>
      </c>
      <c r="AC21" s="53">
        <v>0.1856618930019352</v>
      </c>
      <c r="AD21" s="53">
        <v>0.38194749105302755</v>
      </c>
    </row>
    <row r="22" spans="1:30" x14ac:dyDescent="0.35">
      <c r="A22" s="72" t="s">
        <v>30</v>
      </c>
      <c r="B22" s="176"/>
      <c r="C22" s="72" t="s">
        <v>34</v>
      </c>
      <c r="D22" s="53">
        <v>0</v>
      </c>
      <c r="E22" s="53">
        <v>0</v>
      </c>
      <c r="F22" s="53">
        <v>0</v>
      </c>
      <c r="G22" s="53">
        <v>0</v>
      </c>
      <c r="H22" s="53">
        <v>0</v>
      </c>
      <c r="I22" s="53">
        <v>0</v>
      </c>
      <c r="J22" s="53">
        <v>0</v>
      </c>
      <c r="K22" s="53">
        <v>0</v>
      </c>
      <c r="L22" s="53">
        <v>0</v>
      </c>
      <c r="M22" s="53">
        <v>0</v>
      </c>
      <c r="N22" s="53">
        <v>0</v>
      </c>
      <c r="O22" s="53">
        <v>0</v>
      </c>
      <c r="P22" s="53">
        <v>0</v>
      </c>
      <c r="Q22" s="53">
        <v>0</v>
      </c>
      <c r="R22" s="53">
        <v>0</v>
      </c>
      <c r="S22" s="53">
        <v>0</v>
      </c>
      <c r="T22" s="53">
        <v>0</v>
      </c>
      <c r="U22" s="53">
        <v>0</v>
      </c>
      <c r="V22" s="53">
        <v>0</v>
      </c>
      <c r="W22" s="53">
        <v>0</v>
      </c>
      <c r="X22" s="53">
        <v>0</v>
      </c>
      <c r="Y22" s="53">
        <v>1.6441448290362103E-2</v>
      </c>
      <c r="Z22" s="53">
        <v>2.4080398111422652E-2</v>
      </c>
      <c r="AA22" s="53">
        <v>3.1719347932483204E-2</v>
      </c>
      <c r="AB22" s="53">
        <v>3.9358297753543756E-2</v>
      </c>
      <c r="AC22" s="53">
        <v>4.6997247574604308E-2</v>
      </c>
      <c r="AD22" s="53">
        <v>7.6389498210605505E-2</v>
      </c>
    </row>
    <row r="23" spans="1:30" x14ac:dyDescent="0.35">
      <c r="A23" s="72" t="s">
        <v>30</v>
      </c>
      <c r="B23" s="176"/>
      <c r="C23" s="72" t="s">
        <v>35</v>
      </c>
      <c r="D23" s="53">
        <v>0</v>
      </c>
      <c r="E23" s="53">
        <v>0</v>
      </c>
      <c r="F23" s="53">
        <v>0</v>
      </c>
      <c r="G23" s="53">
        <v>0</v>
      </c>
      <c r="H23" s="53">
        <v>0</v>
      </c>
      <c r="I23" s="53">
        <v>0</v>
      </c>
      <c r="J23" s="53">
        <v>0</v>
      </c>
      <c r="K23" s="53">
        <v>0</v>
      </c>
      <c r="L23" s="53">
        <v>0</v>
      </c>
      <c r="M23" s="53">
        <v>0</v>
      </c>
      <c r="N23" s="53">
        <v>0</v>
      </c>
      <c r="O23" s="53">
        <v>0</v>
      </c>
      <c r="P23" s="53">
        <v>0</v>
      </c>
      <c r="Q23" s="53">
        <v>0</v>
      </c>
      <c r="R23" s="53">
        <v>0</v>
      </c>
      <c r="S23" s="53">
        <v>0</v>
      </c>
      <c r="T23" s="53">
        <v>0</v>
      </c>
      <c r="U23" s="53">
        <v>0</v>
      </c>
      <c r="V23" s="53">
        <v>0</v>
      </c>
      <c r="W23" s="53">
        <v>0</v>
      </c>
      <c r="X23" s="53">
        <v>0</v>
      </c>
      <c r="Y23" s="53">
        <v>2</v>
      </c>
      <c r="Z23" s="53">
        <v>2.5</v>
      </c>
      <c r="AA23" s="53">
        <v>3</v>
      </c>
      <c r="AB23" s="53">
        <v>3.5</v>
      </c>
      <c r="AC23" s="53">
        <v>4</v>
      </c>
      <c r="AD23" s="53">
        <v>5</v>
      </c>
    </row>
    <row r="24" spans="1:30" x14ac:dyDescent="0.35">
      <c r="A24" s="72" t="s">
        <v>30</v>
      </c>
      <c r="B24" s="176"/>
      <c r="C24" s="72" t="s">
        <v>108</v>
      </c>
      <c r="D24" s="53">
        <v>0</v>
      </c>
      <c r="E24" s="53">
        <v>0</v>
      </c>
      <c r="F24" s="53">
        <v>0</v>
      </c>
      <c r="G24" s="53">
        <v>0</v>
      </c>
      <c r="H24" s="53">
        <v>0</v>
      </c>
      <c r="I24" s="53">
        <v>0</v>
      </c>
      <c r="J24" s="53">
        <v>0</v>
      </c>
      <c r="K24" s="53">
        <v>0</v>
      </c>
      <c r="L24" s="53">
        <v>0</v>
      </c>
      <c r="M24" s="53">
        <v>0</v>
      </c>
      <c r="N24" s="53">
        <v>0</v>
      </c>
      <c r="O24" s="53">
        <v>0</v>
      </c>
      <c r="P24" s="53">
        <v>0</v>
      </c>
      <c r="Q24" s="53">
        <v>0</v>
      </c>
      <c r="R24" s="53">
        <v>0</v>
      </c>
      <c r="S24" s="53">
        <v>0</v>
      </c>
      <c r="T24" s="53">
        <v>0</v>
      </c>
      <c r="U24" s="53">
        <v>0</v>
      </c>
      <c r="V24" s="53">
        <v>0</v>
      </c>
      <c r="W24" s="53">
        <v>0</v>
      </c>
      <c r="X24" s="53">
        <v>0</v>
      </c>
      <c r="Y24" s="53">
        <v>0</v>
      </c>
      <c r="Z24" s="53">
        <v>0</v>
      </c>
      <c r="AA24" s="53">
        <v>0</v>
      </c>
      <c r="AB24" s="53">
        <v>0</v>
      </c>
      <c r="AC24" s="53">
        <v>0</v>
      </c>
      <c r="AD24" s="53">
        <v>0</v>
      </c>
    </row>
    <row r="25" spans="1:30" x14ac:dyDescent="0.35">
      <c r="A25" s="72" t="s">
        <v>30</v>
      </c>
      <c r="B25" s="176"/>
      <c r="C25" s="72" t="s">
        <v>109</v>
      </c>
      <c r="D25" s="53">
        <v>7809.8904155818182</v>
      </c>
      <c r="E25" s="53">
        <v>8335.6701889229425</v>
      </c>
      <c r="F25" s="53">
        <v>8589.7917780342923</v>
      </c>
      <c r="G25" s="53">
        <v>8855.5671823812299</v>
      </c>
      <c r="H25" s="53">
        <v>9142.7331832354794</v>
      </c>
      <c r="I25" s="53">
        <v>9476.0126183368011</v>
      </c>
      <c r="J25" s="53">
        <v>9813.7007265213906</v>
      </c>
      <c r="K25" s="53">
        <v>9590.9186936360729</v>
      </c>
      <c r="L25" s="53">
        <v>9369.3050077085409</v>
      </c>
      <c r="M25" s="53">
        <v>9150.1267906618177</v>
      </c>
      <c r="N25" s="53">
        <v>9502.2602375028328</v>
      </c>
      <c r="O25" s="53">
        <v>9868.9942127511258</v>
      </c>
      <c r="P25" s="53">
        <v>10251.030902551407</v>
      </c>
      <c r="Q25" s="53">
        <v>10642.129841439644</v>
      </c>
      <c r="R25" s="53">
        <v>11047.007770282133</v>
      </c>
      <c r="S25" s="53">
        <v>11462.281767352079</v>
      </c>
      <c r="T25" s="53">
        <v>11892.56605332131</v>
      </c>
      <c r="U25" s="53">
        <v>12291.243275547306</v>
      </c>
      <c r="V25" s="53">
        <v>12698.943423774846</v>
      </c>
      <c r="W25" s="53">
        <v>13109.747417381965</v>
      </c>
      <c r="X25" s="53">
        <v>13525.781976458957</v>
      </c>
      <c r="Y25" s="53">
        <v>13875.521666093555</v>
      </c>
      <c r="Z25" s="53">
        <v>14220.442443971999</v>
      </c>
      <c r="AA25" s="53">
        <v>14560.332118984479</v>
      </c>
      <c r="AB25" s="53">
        <v>14893.983915279123</v>
      </c>
      <c r="AC25" s="53">
        <v>15134.860372867392</v>
      </c>
      <c r="AD25" s="53">
        <v>15352.044990862787</v>
      </c>
    </row>
    <row r="26" spans="1:30" s="52" customFormat="1" x14ac:dyDescent="0.35">
      <c r="A26" s="72" t="s">
        <v>30</v>
      </c>
      <c r="B26" s="176"/>
      <c r="C26" s="72" t="s">
        <v>110</v>
      </c>
      <c r="D26" s="53">
        <v>0</v>
      </c>
      <c r="E26" s="53">
        <v>0</v>
      </c>
      <c r="F26" s="53">
        <v>0</v>
      </c>
      <c r="G26" s="53">
        <v>0</v>
      </c>
      <c r="H26" s="53">
        <v>0</v>
      </c>
      <c r="I26" s="53">
        <v>0</v>
      </c>
      <c r="J26" s="53">
        <v>0</v>
      </c>
      <c r="K26" s="53">
        <v>0</v>
      </c>
      <c r="L26" s="53">
        <v>0</v>
      </c>
      <c r="M26" s="53">
        <v>0</v>
      </c>
      <c r="N26" s="53">
        <v>0</v>
      </c>
      <c r="O26" s="53">
        <v>0</v>
      </c>
      <c r="P26" s="53">
        <v>0</v>
      </c>
      <c r="Q26" s="53">
        <v>0</v>
      </c>
      <c r="R26" s="53">
        <v>0</v>
      </c>
      <c r="S26" s="53">
        <v>0</v>
      </c>
      <c r="T26" s="53">
        <v>0</v>
      </c>
      <c r="U26" s="53">
        <v>0</v>
      </c>
      <c r="V26" s="53">
        <v>0</v>
      </c>
      <c r="W26" s="53">
        <v>0</v>
      </c>
      <c r="X26" s="53">
        <v>0</v>
      </c>
      <c r="Y26" s="53">
        <v>0</v>
      </c>
      <c r="Z26" s="53">
        <v>0</v>
      </c>
      <c r="AA26" s="53">
        <v>0</v>
      </c>
      <c r="AB26" s="53">
        <v>0</v>
      </c>
      <c r="AC26" s="53">
        <v>0</v>
      </c>
      <c r="AD26" s="53">
        <v>0</v>
      </c>
    </row>
    <row r="27" spans="1:30" x14ac:dyDescent="0.35">
      <c r="A27" s="72" t="s">
        <v>39</v>
      </c>
      <c r="B27" s="176"/>
      <c r="C27" s="72" t="s">
        <v>31</v>
      </c>
      <c r="D27" s="53">
        <v>0</v>
      </c>
      <c r="E27" s="53">
        <v>0</v>
      </c>
      <c r="F27" s="53">
        <v>0</v>
      </c>
      <c r="G27" s="53">
        <v>0</v>
      </c>
      <c r="H27" s="53">
        <v>0</v>
      </c>
      <c r="I27" s="53">
        <v>0</v>
      </c>
      <c r="J27" s="53">
        <v>0</v>
      </c>
      <c r="K27" s="53">
        <v>0</v>
      </c>
      <c r="L27" s="53">
        <v>0</v>
      </c>
      <c r="M27" s="53">
        <v>0</v>
      </c>
      <c r="N27" s="53">
        <v>0</v>
      </c>
      <c r="O27" s="53">
        <v>0</v>
      </c>
      <c r="P27" s="53">
        <v>0</v>
      </c>
      <c r="Q27" s="53">
        <v>0</v>
      </c>
      <c r="R27" s="53">
        <v>0</v>
      </c>
      <c r="S27" s="53">
        <v>0</v>
      </c>
      <c r="T27" s="53">
        <v>0</v>
      </c>
      <c r="U27" s="53">
        <v>0</v>
      </c>
      <c r="V27" s="53">
        <v>0</v>
      </c>
      <c r="W27" s="53">
        <v>0</v>
      </c>
      <c r="X27" s="53">
        <v>0</v>
      </c>
      <c r="Y27" s="53">
        <v>0</v>
      </c>
      <c r="Z27" s="53">
        <v>0</v>
      </c>
      <c r="AA27" s="53">
        <v>0</v>
      </c>
      <c r="AB27" s="53">
        <v>0</v>
      </c>
      <c r="AC27" s="53">
        <v>0</v>
      </c>
      <c r="AD27" s="53">
        <v>0</v>
      </c>
    </row>
    <row r="28" spans="1:30" x14ac:dyDescent="0.35">
      <c r="A28" s="72" t="s">
        <v>39</v>
      </c>
      <c r="B28" s="176"/>
      <c r="C28" s="72" t="s">
        <v>32</v>
      </c>
      <c r="D28" s="53">
        <v>0</v>
      </c>
      <c r="E28" s="53">
        <v>0</v>
      </c>
      <c r="F28" s="53">
        <v>0</v>
      </c>
      <c r="G28" s="53">
        <v>0</v>
      </c>
      <c r="H28" s="53">
        <v>0</v>
      </c>
      <c r="I28" s="53">
        <v>0</v>
      </c>
      <c r="J28" s="53">
        <v>0</v>
      </c>
      <c r="K28" s="53">
        <v>0</v>
      </c>
      <c r="L28" s="53">
        <v>0</v>
      </c>
      <c r="M28" s="53">
        <v>0</v>
      </c>
      <c r="N28" s="53">
        <v>0</v>
      </c>
      <c r="O28" s="53">
        <v>0</v>
      </c>
      <c r="P28" s="53">
        <v>0</v>
      </c>
      <c r="Q28" s="53">
        <v>0</v>
      </c>
      <c r="R28" s="53">
        <v>0</v>
      </c>
      <c r="S28" s="53">
        <v>0</v>
      </c>
      <c r="T28" s="53">
        <v>0</v>
      </c>
      <c r="U28" s="53">
        <v>0</v>
      </c>
      <c r="V28" s="53">
        <v>0</v>
      </c>
      <c r="W28" s="53">
        <v>0</v>
      </c>
      <c r="X28" s="53">
        <v>0</v>
      </c>
      <c r="Y28" s="53">
        <v>0</v>
      </c>
      <c r="Z28" s="53">
        <v>0</v>
      </c>
      <c r="AA28" s="53">
        <v>0</v>
      </c>
      <c r="AB28" s="53">
        <v>0</v>
      </c>
      <c r="AC28" s="53">
        <v>0</v>
      </c>
      <c r="AD28" s="53">
        <v>0</v>
      </c>
    </row>
    <row r="29" spans="1:30" x14ac:dyDescent="0.35">
      <c r="A29" s="72" t="s">
        <v>39</v>
      </c>
      <c r="B29" s="176"/>
      <c r="C29" s="72" t="s">
        <v>33</v>
      </c>
      <c r="D29" s="53">
        <v>0</v>
      </c>
      <c r="E29" s="53">
        <v>0</v>
      </c>
      <c r="F29" s="53">
        <v>0</v>
      </c>
      <c r="G29" s="53">
        <v>0</v>
      </c>
      <c r="H29" s="53">
        <v>0</v>
      </c>
      <c r="I29" s="53">
        <v>0</v>
      </c>
      <c r="J29" s="53">
        <v>0</v>
      </c>
      <c r="K29" s="53">
        <v>0</v>
      </c>
      <c r="L29" s="53">
        <v>0</v>
      </c>
      <c r="M29" s="53">
        <v>0</v>
      </c>
      <c r="N29" s="53">
        <v>0</v>
      </c>
      <c r="O29" s="53">
        <v>0</v>
      </c>
      <c r="P29" s="53">
        <v>0</v>
      </c>
      <c r="Q29" s="53">
        <v>0</v>
      </c>
      <c r="R29" s="53">
        <v>0</v>
      </c>
      <c r="S29" s="53">
        <v>0</v>
      </c>
      <c r="T29" s="53">
        <v>0</v>
      </c>
      <c r="U29" s="53">
        <v>0</v>
      </c>
      <c r="V29" s="53">
        <v>0</v>
      </c>
      <c r="W29" s="53">
        <v>0</v>
      </c>
      <c r="X29" s="53">
        <v>0</v>
      </c>
      <c r="Y29" s="53">
        <v>0</v>
      </c>
      <c r="Z29" s="53">
        <v>0</v>
      </c>
      <c r="AA29" s="53">
        <v>0</v>
      </c>
      <c r="AB29" s="53">
        <v>0</v>
      </c>
      <c r="AC29" s="53">
        <v>0</v>
      </c>
      <c r="AD29" s="53">
        <v>0</v>
      </c>
    </row>
    <row r="30" spans="1:30" x14ac:dyDescent="0.35">
      <c r="A30" s="72" t="s">
        <v>39</v>
      </c>
      <c r="B30" s="176"/>
      <c r="C30" s="72" t="s">
        <v>34</v>
      </c>
      <c r="D30" s="53">
        <v>0</v>
      </c>
      <c r="E30" s="53">
        <v>0</v>
      </c>
      <c r="F30" s="53">
        <v>0</v>
      </c>
      <c r="G30" s="53">
        <v>0</v>
      </c>
      <c r="H30" s="53">
        <v>0</v>
      </c>
      <c r="I30" s="53">
        <v>0</v>
      </c>
      <c r="J30" s="53">
        <v>0</v>
      </c>
      <c r="K30" s="53">
        <v>0</v>
      </c>
      <c r="L30" s="53">
        <v>0</v>
      </c>
      <c r="M30" s="53">
        <v>0</v>
      </c>
      <c r="N30" s="53">
        <v>0</v>
      </c>
      <c r="O30" s="53">
        <v>0</v>
      </c>
      <c r="P30" s="53">
        <v>0</v>
      </c>
      <c r="Q30" s="53">
        <v>0</v>
      </c>
      <c r="R30" s="53">
        <v>0</v>
      </c>
      <c r="S30" s="53">
        <v>0</v>
      </c>
      <c r="T30" s="53">
        <v>0</v>
      </c>
      <c r="U30" s="53">
        <v>0</v>
      </c>
      <c r="V30" s="53">
        <v>0</v>
      </c>
      <c r="W30" s="53">
        <v>0</v>
      </c>
      <c r="X30" s="53">
        <v>0</v>
      </c>
      <c r="Y30" s="53">
        <v>0</v>
      </c>
      <c r="Z30" s="53">
        <v>0</v>
      </c>
      <c r="AA30" s="53">
        <v>0</v>
      </c>
      <c r="AB30" s="53">
        <v>0</v>
      </c>
      <c r="AC30" s="53">
        <v>0</v>
      </c>
      <c r="AD30" s="53">
        <v>0</v>
      </c>
    </row>
    <row r="31" spans="1:30" x14ac:dyDescent="0.35">
      <c r="A31" s="72" t="s">
        <v>39</v>
      </c>
      <c r="B31" s="176"/>
      <c r="C31" s="72" t="s">
        <v>35</v>
      </c>
      <c r="D31" s="53">
        <v>0</v>
      </c>
      <c r="E31" s="53">
        <v>0</v>
      </c>
      <c r="F31" s="53">
        <v>0</v>
      </c>
      <c r="G31" s="53">
        <v>0</v>
      </c>
      <c r="H31" s="53">
        <v>0</v>
      </c>
      <c r="I31" s="53">
        <v>0</v>
      </c>
      <c r="J31" s="53">
        <v>0</v>
      </c>
      <c r="K31" s="53">
        <v>0</v>
      </c>
      <c r="L31" s="53">
        <v>0</v>
      </c>
      <c r="M31" s="53">
        <v>0</v>
      </c>
      <c r="N31" s="53">
        <v>0</v>
      </c>
      <c r="O31" s="53">
        <v>0</v>
      </c>
      <c r="P31" s="53">
        <v>0</v>
      </c>
      <c r="Q31" s="53">
        <v>0</v>
      </c>
      <c r="R31" s="53">
        <v>0</v>
      </c>
      <c r="S31" s="53">
        <v>0</v>
      </c>
      <c r="T31" s="53">
        <v>0</v>
      </c>
      <c r="U31" s="53">
        <v>0</v>
      </c>
      <c r="V31" s="53">
        <v>0</v>
      </c>
      <c r="W31" s="53">
        <v>0</v>
      </c>
      <c r="X31" s="53">
        <v>0</v>
      </c>
      <c r="Y31" s="53">
        <v>0</v>
      </c>
      <c r="Z31" s="53">
        <v>0</v>
      </c>
      <c r="AA31" s="53">
        <v>0</v>
      </c>
      <c r="AB31" s="53">
        <v>0</v>
      </c>
      <c r="AC31" s="53">
        <v>0</v>
      </c>
      <c r="AD31" s="53">
        <v>0</v>
      </c>
    </row>
    <row r="32" spans="1:30" x14ac:dyDescent="0.35">
      <c r="A32" s="72" t="s">
        <v>130</v>
      </c>
      <c r="B32" s="72" t="s">
        <v>111</v>
      </c>
      <c r="C32" s="72" t="s">
        <v>131</v>
      </c>
      <c r="D32" s="53">
        <v>0</v>
      </c>
      <c r="E32" s="53">
        <v>0</v>
      </c>
      <c r="F32" s="53">
        <v>0</v>
      </c>
      <c r="G32" s="53">
        <v>0</v>
      </c>
      <c r="H32" s="53">
        <v>0</v>
      </c>
      <c r="I32" s="53">
        <v>0</v>
      </c>
      <c r="J32" s="53">
        <v>0</v>
      </c>
      <c r="K32" s="53">
        <v>0</v>
      </c>
      <c r="L32" s="53">
        <v>0</v>
      </c>
      <c r="M32" s="53">
        <v>0</v>
      </c>
      <c r="N32" s="53">
        <v>0</v>
      </c>
      <c r="O32" s="53">
        <v>0</v>
      </c>
      <c r="P32" s="53">
        <v>0</v>
      </c>
      <c r="Q32" s="53">
        <v>0</v>
      </c>
      <c r="R32" s="53">
        <v>0</v>
      </c>
      <c r="S32" s="53">
        <v>0</v>
      </c>
      <c r="T32" s="53">
        <v>0</v>
      </c>
      <c r="U32" s="53">
        <v>0</v>
      </c>
      <c r="V32" s="53">
        <v>0</v>
      </c>
      <c r="W32" s="53">
        <v>0</v>
      </c>
      <c r="X32" s="53">
        <v>0</v>
      </c>
      <c r="Y32" s="53">
        <v>0</v>
      </c>
      <c r="Z32" s="53">
        <v>0</v>
      </c>
      <c r="AA32" s="53">
        <v>0</v>
      </c>
      <c r="AB32" s="53">
        <v>0</v>
      </c>
      <c r="AC32" s="53">
        <v>0</v>
      </c>
      <c r="AD32" s="53">
        <v>0</v>
      </c>
    </row>
    <row r="33" spans="1:30" x14ac:dyDescent="0.35">
      <c r="A33" s="72" t="s">
        <v>130</v>
      </c>
      <c r="B33" s="72" t="s">
        <v>132</v>
      </c>
      <c r="C33" s="72" t="s">
        <v>131</v>
      </c>
      <c r="D33" s="53">
        <v>0</v>
      </c>
      <c r="E33" s="53">
        <v>0</v>
      </c>
      <c r="F33" s="53">
        <v>0</v>
      </c>
      <c r="G33" s="53">
        <v>0</v>
      </c>
      <c r="H33" s="53">
        <v>0</v>
      </c>
      <c r="I33" s="53">
        <v>0</v>
      </c>
      <c r="J33" s="53">
        <v>0</v>
      </c>
      <c r="K33" s="53">
        <v>0</v>
      </c>
      <c r="L33" s="53">
        <v>0</v>
      </c>
      <c r="M33" s="53">
        <v>0</v>
      </c>
      <c r="N33" s="53">
        <v>0</v>
      </c>
      <c r="O33" s="53">
        <v>0</v>
      </c>
      <c r="P33" s="53">
        <v>0</v>
      </c>
      <c r="Q33" s="53">
        <v>0</v>
      </c>
      <c r="R33" s="53">
        <v>0</v>
      </c>
      <c r="S33" s="53">
        <v>0</v>
      </c>
      <c r="T33" s="53">
        <v>0</v>
      </c>
      <c r="U33" s="53">
        <v>0</v>
      </c>
      <c r="V33" s="53">
        <v>0</v>
      </c>
      <c r="W33" s="53">
        <v>0</v>
      </c>
      <c r="X33" s="53">
        <v>0</v>
      </c>
      <c r="Y33" s="53">
        <v>0</v>
      </c>
      <c r="Z33" s="53">
        <v>0</v>
      </c>
      <c r="AA33" s="53">
        <v>0</v>
      </c>
      <c r="AB33" s="53">
        <v>0</v>
      </c>
      <c r="AC33" s="53">
        <v>0</v>
      </c>
      <c r="AD33" s="53">
        <v>0</v>
      </c>
    </row>
    <row r="34" spans="1:30" x14ac:dyDescent="0.35">
      <c r="A34" s="72" t="s">
        <v>133</v>
      </c>
      <c r="B34" s="72" t="s">
        <v>111</v>
      </c>
      <c r="C34" s="72" t="s">
        <v>131</v>
      </c>
      <c r="D34" s="53">
        <v>0</v>
      </c>
      <c r="E34" s="53">
        <v>0</v>
      </c>
      <c r="F34" s="53">
        <v>0</v>
      </c>
      <c r="G34" s="53">
        <v>0</v>
      </c>
      <c r="H34" s="53">
        <v>0</v>
      </c>
      <c r="I34" s="53">
        <v>0</v>
      </c>
      <c r="J34" s="53">
        <v>0</v>
      </c>
      <c r="K34" s="53">
        <v>0</v>
      </c>
      <c r="L34" s="53">
        <v>0</v>
      </c>
      <c r="M34" s="53">
        <v>0</v>
      </c>
      <c r="N34" s="53">
        <v>0</v>
      </c>
      <c r="O34" s="53">
        <v>0</v>
      </c>
      <c r="P34" s="53">
        <v>0</v>
      </c>
      <c r="Q34" s="53">
        <v>0</v>
      </c>
      <c r="R34" s="53">
        <v>0</v>
      </c>
      <c r="S34" s="53">
        <v>0</v>
      </c>
      <c r="T34" s="53">
        <v>0</v>
      </c>
      <c r="U34" s="53">
        <v>0</v>
      </c>
      <c r="V34" s="53">
        <v>0</v>
      </c>
      <c r="W34" s="53">
        <v>0</v>
      </c>
      <c r="X34" s="53">
        <v>0</v>
      </c>
      <c r="Y34" s="53">
        <v>1482.8582384231654</v>
      </c>
      <c r="Z34" s="53">
        <v>2025.145585490779</v>
      </c>
      <c r="AA34" s="53">
        <v>2567.4329325583926</v>
      </c>
      <c r="AB34" s="53">
        <v>3109.7202796260062</v>
      </c>
      <c r="AC34" s="53">
        <v>3652.0076266936198</v>
      </c>
      <c r="AD34" s="53">
        <v>4194.2949737612335</v>
      </c>
    </row>
    <row r="35" spans="1:30" x14ac:dyDescent="0.35">
      <c r="A35" s="72" t="s">
        <v>133</v>
      </c>
      <c r="B35" s="72" t="s">
        <v>132</v>
      </c>
      <c r="C35" s="72" t="s">
        <v>131</v>
      </c>
      <c r="D35" s="53">
        <v>0</v>
      </c>
      <c r="E35" s="53">
        <v>0</v>
      </c>
      <c r="F35" s="53">
        <v>0</v>
      </c>
      <c r="G35" s="53">
        <v>0</v>
      </c>
      <c r="H35" s="53">
        <v>0</v>
      </c>
      <c r="I35" s="53">
        <v>0</v>
      </c>
      <c r="J35" s="53">
        <v>0</v>
      </c>
      <c r="K35" s="53">
        <v>0</v>
      </c>
      <c r="L35" s="53">
        <v>0</v>
      </c>
      <c r="M35" s="53">
        <v>0</v>
      </c>
      <c r="N35" s="53">
        <v>0</v>
      </c>
      <c r="O35" s="53">
        <v>0</v>
      </c>
      <c r="P35" s="53">
        <v>0</v>
      </c>
      <c r="Q35" s="53">
        <v>0</v>
      </c>
      <c r="R35" s="53">
        <v>0</v>
      </c>
      <c r="S35" s="53">
        <v>0</v>
      </c>
      <c r="T35" s="53">
        <v>0</v>
      </c>
      <c r="U35" s="53">
        <v>0</v>
      </c>
      <c r="V35" s="53">
        <v>0</v>
      </c>
      <c r="W35" s="53">
        <v>0</v>
      </c>
      <c r="X35" s="53">
        <v>0</v>
      </c>
      <c r="Y35" s="53">
        <v>6153.0992466698872</v>
      </c>
      <c r="Z35" s="53">
        <v>8403.3129085426226</v>
      </c>
      <c r="AA35" s="53">
        <v>10653.526570415357</v>
      </c>
      <c r="AB35" s="53">
        <v>12903.740232288092</v>
      </c>
      <c r="AC35" s="53">
        <v>15153.953894160826</v>
      </c>
      <c r="AD35" s="53">
        <v>17404.167556033564</v>
      </c>
    </row>
    <row r="36" spans="1:30" ht="29" x14ac:dyDescent="0.35">
      <c r="A36" s="3" t="s">
        <v>134</v>
      </c>
      <c r="B36" s="3" t="s">
        <v>135</v>
      </c>
      <c r="C36" s="72" t="s">
        <v>131</v>
      </c>
      <c r="D36" s="53">
        <v>0</v>
      </c>
      <c r="E36" s="53">
        <v>0</v>
      </c>
      <c r="F36" s="53">
        <v>0</v>
      </c>
      <c r="G36" s="53">
        <v>0</v>
      </c>
      <c r="H36" s="53">
        <v>0</v>
      </c>
      <c r="I36" s="53">
        <v>0</v>
      </c>
      <c r="J36" s="53">
        <v>0</v>
      </c>
      <c r="K36" s="53">
        <v>0</v>
      </c>
      <c r="L36" s="53">
        <v>0</v>
      </c>
      <c r="M36" s="53">
        <v>0</v>
      </c>
      <c r="N36" s="53">
        <v>0</v>
      </c>
      <c r="O36" s="53">
        <v>0</v>
      </c>
      <c r="P36" s="53">
        <v>0</v>
      </c>
      <c r="Q36" s="53">
        <v>0</v>
      </c>
      <c r="R36" s="53">
        <v>0</v>
      </c>
      <c r="S36" s="53">
        <v>0</v>
      </c>
      <c r="T36" s="53">
        <v>0</v>
      </c>
      <c r="U36" s="53">
        <v>0</v>
      </c>
      <c r="V36" s="53">
        <v>0</v>
      </c>
      <c r="W36" s="53">
        <v>0</v>
      </c>
      <c r="X36" s="53">
        <v>0</v>
      </c>
      <c r="Y36" s="53">
        <v>0</v>
      </c>
      <c r="Z36" s="53">
        <v>0</v>
      </c>
      <c r="AA36" s="53">
        <v>0</v>
      </c>
      <c r="AB36" s="53">
        <v>0</v>
      </c>
      <c r="AC36" s="53">
        <v>0</v>
      </c>
      <c r="AD36" s="53">
        <v>0</v>
      </c>
    </row>
    <row r="38" spans="1:30" x14ac:dyDescent="0.35">
      <c r="A38" s="72"/>
      <c r="B38" s="53"/>
      <c r="C38" s="53" t="s">
        <v>136</v>
      </c>
      <c r="D38" s="39">
        <f>'Cost Assumptions'!$B$4</f>
        <v>40</v>
      </c>
      <c r="E38" s="39">
        <f>D38*'Cost Assumptions'!$B$5</f>
        <v>41</v>
      </c>
      <c r="F38" s="39">
        <f>E38*'Cost Assumptions'!$B$5</f>
        <v>42.024999999999999</v>
      </c>
      <c r="G38" s="39">
        <f>F38*'Cost Assumptions'!$B$5</f>
        <v>43.075624999999995</v>
      </c>
      <c r="H38" s="39">
        <f>G38*'Cost Assumptions'!$B$5</f>
        <v>44.152515624999992</v>
      </c>
      <c r="I38" s="39">
        <f>H38*'Cost Assumptions'!$B$5</f>
        <v>45.256328515624986</v>
      </c>
      <c r="J38" s="39">
        <f>I38*'Cost Assumptions'!$B$5</f>
        <v>46.387736728515605</v>
      </c>
      <c r="K38" s="39">
        <f>J38*'Cost Assumptions'!$B$5</f>
        <v>47.547430146728495</v>
      </c>
      <c r="L38" s="39">
        <f>K38*'Cost Assumptions'!$B$5</f>
        <v>48.736115900396705</v>
      </c>
      <c r="M38" s="39">
        <f>L38*'Cost Assumptions'!$B$5</f>
        <v>49.954518797906616</v>
      </c>
      <c r="N38" s="39">
        <f>M38*'Cost Assumptions'!$B$5</f>
        <v>51.203381767854275</v>
      </c>
      <c r="O38" s="39">
        <f>N38*'Cost Assumptions'!$B$5</f>
        <v>52.483466312050624</v>
      </c>
      <c r="P38" s="39">
        <f>O38*'Cost Assumptions'!$B$5</f>
        <v>53.795552969851883</v>
      </c>
      <c r="Q38" s="39">
        <f>P38*'Cost Assumptions'!$B$5</f>
        <v>55.140441794098173</v>
      </c>
      <c r="R38" s="39">
        <f>Q38*'Cost Assumptions'!$B$5</f>
        <v>56.518952838950625</v>
      </c>
      <c r="S38" s="39">
        <f>R38*'Cost Assumptions'!$B$5</f>
        <v>57.931926659924386</v>
      </c>
      <c r="T38" s="39">
        <f>S38*'Cost Assumptions'!$B$5</f>
        <v>59.380224826422491</v>
      </c>
      <c r="U38" s="39">
        <f>T38*'Cost Assumptions'!$B$5</f>
        <v>60.864730447083048</v>
      </c>
      <c r="V38" s="39">
        <f>U38*'Cost Assumptions'!$B$5</f>
        <v>62.386348708260115</v>
      </c>
      <c r="W38" s="39">
        <f>V38*'Cost Assumptions'!$B$5</f>
        <v>63.946007425966613</v>
      </c>
      <c r="X38" s="39">
        <f>W38*'Cost Assumptions'!$B$5</f>
        <v>65.544657611615776</v>
      </c>
      <c r="Y38" s="39">
        <f>X38*'Cost Assumptions'!$B$5</f>
        <v>67.183274051906167</v>
      </c>
      <c r="Z38" s="39">
        <f>Y38*'Cost Assumptions'!$B$5</f>
        <v>68.862855903203823</v>
      </c>
      <c r="AA38" s="39">
        <f>Z38*'Cost Assumptions'!$B$5</f>
        <v>70.584427300783915</v>
      </c>
      <c r="AB38" s="39">
        <f>AA38*'Cost Assumptions'!$B$5</f>
        <v>72.349037983303504</v>
      </c>
      <c r="AC38" s="39">
        <f>AB38*'Cost Assumptions'!$B$5</f>
        <v>74.157763932886084</v>
      </c>
      <c r="AD38" s="39">
        <f>AC38*'Cost Assumptions'!$B$5</f>
        <v>76.011708031208229</v>
      </c>
    </row>
    <row r="39" spans="1:30" x14ac:dyDescent="0.35">
      <c r="A39" s="72"/>
      <c r="B39" s="53"/>
      <c r="C39" s="53"/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53"/>
      <c r="U39" s="53"/>
      <c r="V39" s="53"/>
      <c r="W39" s="53"/>
      <c r="X39" s="53"/>
      <c r="Y39" s="53"/>
      <c r="Z39" s="53"/>
      <c r="AA39" s="53"/>
      <c r="AB39" s="53"/>
      <c r="AC39" s="53"/>
      <c r="AD39" s="53"/>
    </row>
    <row r="40" spans="1:30" ht="18.5" x14ac:dyDescent="0.45">
      <c r="A40" s="72"/>
      <c r="B40" s="69" t="s">
        <v>137</v>
      </c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53"/>
      <c r="P40" s="53"/>
      <c r="Q40" s="53"/>
      <c r="R40" s="53"/>
      <c r="S40" s="53"/>
      <c r="T40" s="53"/>
      <c r="U40" s="53"/>
      <c r="V40" s="53"/>
      <c r="W40" s="53"/>
      <c r="X40" s="53"/>
      <c r="Y40" s="53"/>
      <c r="Z40" s="53"/>
      <c r="AA40" s="53"/>
      <c r="AB40" s="53"/>
      <c r="AC40" s="53"/>
      <c r="AD40" s="53"/>
    </row>
    <row r="41" spans="1:30" ht="20" thickBot="1" x14ac:dyDescent="0.5">
      <c r="A41" s="113"/>
      <c r="B41" s="122" t="s">
        <v>138</v>
      </c>
      <c r="C41" s="113" t="s">
        <v>105</v>
      </c>
      <c r="D41" s="113">
        <v>2022</v>
      </c>
      <c r="E41" s="113">
        <v>2023</v>
      </c>
      <c r="F41" s="113">
        <v>2024</v>
      </c>
      <c r="G41" s="113">
        <v>2025</v>
      </c>
      <c r="H41" s="113">
        <v>2026</v>
      </c>
      <c r="I41" s="113">
        <v>2027</v>
      </c>
      <c r="J41" s="113">
        <v>2028</v>
      </c>
      <c r="K41" s="113">
        <v>2029</v>
      </c>
      <c r="L41" s="113">
        <v>2030</v>
      </c>
      <c r="M41" s="113">
        <v>2031</v>
      </c>
      <c r="N41" s="113">
        <v>2032</v>
      </c>
      <c r="O41" s="113">
        <v>2033</v>
      </c>
      <c r="P41" s="113">
        <v>2034</v>
      </c>
      <c r="Q41" s="113">
        <v>2035</v>
      </c>
      <c r="R41" s="113">
        <v>2036</v>
      </c>
      <c r="S41" s="113">
        <v>2037</v>
      </c>
      <c r="T41" s="113">
        <v>2038</v>
      </c>
      <c r="U41" s="113">
        <v>2039</v>
      </c>
      <c r="V41" s="113">
        <v>2040</v>
      </c>
      <c r="W41" s="113">
        <v>2041</v>
      </c>
      <c r="X41" s="113">
        <v>2042</v>
      </c>
      <c r="Y41" s="113">
        <v>2043</v>
      </c>
      <c r="Z41" s="113">
        <v>2044</v>
      </c>
      <c r="AA41" s="113">
        <v>2045</v>
      </c>
      <c r="AB41" s="113">
        <v>2046</v>
      </c>
      <c r="AC41" s="113">
        <v>2047</v>
      </c>
      <c r="AD41" s="113">
        <v>2048</v>
      </c>
    </row>
    <row r="42" spans="1:30" ht="15" thickTop="1" x14ac:dyDescent="0.35">
      <c r="A42" s="72"/>
      <c r="B42" s="15">
        <f>NPV('Cost Assumptions'!$B$3,'Alberhill System Project'!D42:'Alberhill System Project'!AD42)</f>
        <v>90790.19378552679</v>
      </c>
      <c r="C42" s="11" t="s">
        <v>107</v>
      </c>
      <c r="D42" s="53">
        <f t="shared" ref="D42:AD42" si="0">D2-D18</f>
        <v>9046.1882352936518</v>
      </c>
      <c r="E42" s="53">
        <f t="shared" si="0"/>
        <v>9141.2338235289571</v>
      </c>
      <c r="F42" s="53">
        <f t="shared" si="0"/>
        <v>9236.2794117642625</v>
      </c>
      <c r="G42" s="53">
        <f t="shared" si="0"/>
        <v>9331.3249999995678</v>
      </c>
      <c r="H42" s="53">
        <f t="shared" si="0"/>
        <v>9426.3705882348731</v>
      </c>
      <c r="I42" s="53">
        <f t="shared" si="0"/>
        <v>9521.4161764701785</v>
      </c>
      <c r="J42" s="53">
        <f t="shared" si="0"/>
        <v>9616.4617647054838</v>
      </c>
      <c r="K42" s="53">
        <f t="shared" si="0"/>
        <v>9590.8904977366983</v>
      </c>
      <c r="L42" s="53">
        <f t="shared" si="0"/>
        <v>10068.412669682526</v>
      </c>
      <c r="M42" s="53">
        <f t="shared" si="0"/>
        <v>10534.405429863647</v>
      </c>
      <c r="N42" s="53">
        <f t="shared" si="0"/>
        <v>10541.602342293751</v>
      </c>
      <c r="O42" s="53">
        <f t="shared" si="0"/>
        <v>10548.799254723854</v>
      </c>
      <c r="P42" s="53">
        <f t="shared" si="0"/>
        <v>10555.996167153957</v>
      </c>
      <c r="Q42" s="53">
        <f t="shared" si="0"/>
        <v>10563.19307958406</v>
      </c>
      <c r="R42" s="53">
        <f t="shared" si="0"/>
        <v>10570.389992014163</v>
      </c>
      <c r="S42" s="53">
        <f t="shared" si="0"/>
        <v>10577.586904444266</v>
      </c>
      <c r="T42" s="53">
        <f t="shared" si="0"/>
        <v>10584.783816874369</v>
      </c>
      <c r="U42" s="53">
        <f t="shared" si="0"/>
        <v>10591.980729304472</v>
      </c>
      <c r="V42" s="53">
        <f t="shared" si="0"/>
        <v>10599.177641734575</v>
      </c>
      <c r="W42" s="53">
        <f t="shared" si="0"/>
        <v>10606.374554164679</v>
      </c>
      <c r="X42" s="53">
        <f t="shared" si="0"/>
        <v>10613.571466594782</v>
      </c>
      <c r="Y42" s="53">
        <f t="shared" si="0"/>
        <v>10620.768379024885</v>
      </c>
      <c r="Z42" s="53">
        <f t="shared" si="0"/>
        <v>10627.965291454988</v>
      </c>
      <c r="AA42" s="53">
        <f t="shared" si="0"/>
        <v>10635.162203885091</v>
      </c>
      <c r="AB42" s="53">
        <f t="shared" si="0"/>
        <v>10642.359116315194</v>
      </c>
      <c r="AC42" s="53">
        <f t="shared" si="0"/>
        <v>10649.556028745297</v>
      </c>
      <c r="AD42" s="53">
        <f t="shared" si="0"/>
        <v>10656.752941175379</v>
      </c>
    </row>
    <row r="43" spans="1:30" x14ac:dyDescent="0.35">
      <c r="A43" s="72"/>
      <c r="B43" s="15">
        <f>NPV('Cost Assumptions'!$B$3,'Alberhill System Project'!D43:'Alberhill System Project'!AD43)</f>
        <v>4506963.0130318115</v>
      </c>
      <c r="C43" s="11" t="s">
        <v>139</v>
      </c>
      <c r="D43" s="53">
        <f>D42*D38</f>
        <v>361847.52941174607</v>
      </c>
      <c r="E43" s="53">
        <f>E42*E38</f>
        <v>374790.58676468726</v>
      </c>
      <c r="F43" s="53">
        <f t="shared" ref="F43:AD43" si="1">F42*F38</f>
        <v>388154.6422793931</v>
      </c>
      <c r="G43" s="53">
        <f t="shared" si="1"/>
        <v>401952.65645310632</v>
      </c>
      <c r="H43" s="53">
        <f t="shared" si="1"/>
        <v>416197.97468408063</v>
      </c>
      <c r="I43" s="53">
        <f t="shared" si="1"/>
        <v>430904.33841632039</v>
      </c>
      <c r="J43" s="53">
        <f t="shared" si="1"/>
        <v>446085.89660099457</v>
      </c>
      <c r="K43" s="53">
        <f t="shared" si="1"/>
        <v>456022.19598605775</v>
      </c>
      <c r="L43" s="53">
        <f t="shared" si="1"/>
        <v>490695.3268026702</v>
      </c>
      <c r="M43" s="53">
        <f t="shared" si="1"/>
        <v>526241.15407089307</v>
      </c>
      <c r="N43" s="53">
        <f t="shared" si="1"/>
        <v>539765.68917737377</v>
      </c>
      <c r="O43" s="53">
        <f t="shared" si="1"/>
        <v>553637.55031788407</v>
      </c>
      <c r="P43" s="53">
        <f t="shared" si="1"/>
        <v>567865.65095968416</v>
      </c>
      <c r="Q43" s="53">
        <f t="shared" si="1"/>
        <v>582459.1331646255</v>
      </c>
      <c r="R43" s="53">
        <f t="shared" si="1"/>
        <v>597427.3734479642</v>
      </c>
      <c r="S43" s="53">
        <f t="shared" si="1"/>
        <v>612779.98878724186</v>
      </c>
      <c r="T43" s="53">
        <f t="shared" si="1"/>
        <v>628526.84278507845</v>
      </c>
      <c r="U43" s="53">
        <f t="shared" si="1"/>
        <v>644678.05198981485</v>
      </c>
      <c r="V43" s="53">
        <f t="shared" si="1"/>
        <v>661243.99237804732</v>
      </c>
      <c r="W43" s="53">
        <f t="shared" si="1"/>
        <v>678235.30600319791</v>
      </c>
      <c r="X43" s="53">
        <f t="shared" si="1"/>
        <v>695662.90781436965</v>
      </c>
      <c r="Y43" s="53">
        <f t="shared" si="1"/>
        <v>713537.99264984811</v>
      </c>
      <c r="Z43" s="53">
        <f t="shared" si="1"/>
        <v>731872.04240971641</v>
      </c>
      <c r="AA43" s="53">
        <f t="shared" si="1"/>
        <v>750676.83341217204</v>
      </c>
      <c r="AB43" s="53">
        <f t="shared" si="1"/>
        <v>769964.44393824425</v>
      </c>
      <c r="AC43" s="53">
        <f t="shared" si="1"/>
        <v>789747.26196973759</v>
      </c>
      <c r="AD43" s="53">
        <f t="shared" si="1"/>
        <v>810037.99312534241</v>
      </c>
    </row>
    <row r="44" spans="1:30" x14ac:dyDescent="0.35">
      <c r="A44" s="72" t="s">
        <v>30</v>
      </c>
      <c r="B44" s="15">
        <f>NPV('Cost Assumptions'!$B$3,'Alberhill System Project'!D44:'Alberhill System Project'!AD44)</f>
        <v>1000.4961604206891</v>
      </c>
      <c r="C44" s="11" t="s">
        <v>31</v>
      </c>
      <c r="D44" s="53">
        <f t="shared" ref="D44:AD44" si="2">D3-D19</f>
        <v>10</v>
      </c>
      <c r="E44" s="53">
        <f t="shared" si="2"/>
        <v>20.5</v>
      </c>
      <c r="F44" s="53">
        <f t="shared" si="2"/>
        <v>29.879999999999995</v>
      </c>
      <c r="G44" s="53">
        <f t="shared" si="2"/>
        <v>39.259999999999991</v>
      </c>
      <c r="H44" s="53">
        <f t="shared" si="2"/>
        <v>48.639999999999986</v>
      </c>
      <c r="I44" s="53">
        <f t="shared" si="2"/>
        <v>58.019999999999982</v>
      </c>
      <c r="J44" s="53">
        <f t="shared" si="2"/>
        <v>67.399999999999977</v>
      </c>
      <c r="K44" s="53">
        <f t="shared" si="2"/>
        <v>57.599999999999966</v>
      </c>
      <c r="L44" s="53">
        <f t="shared" si="2"/>
        <v>49.800000000000011</v>
      </c>
      <c r="M44" s="53">
        <f t="shared" si="2"/>
        <v>41.5</v>
      </c>
      <c r="N44" s="53">
        <f t="shared" si="2"/>
        <v>53.700000000000017</v>
      </c>
      <c r="O44" s="53">
        <f t="shared" si="2"/>
        <v>75.066666666666691</v>
      </c>
      <c r="P44" s="53">
        <f t="shared" si="2"/>
        <v>96.433333333333366</v>
      </c>
      <c r="Q44" s="53">
        <f t="shared" si="2"/>
        <v>117.80000000000004</v>
      </c>
      <c r="R44" s="53">
        <f t="shared" si="2"/>
        <v>139.16666666666671</v>
      </c>
      <c r="S44" s="53">
        <f t="shared" si="2"/>
        <v>160.53333333333339</v>
      </c>
      <c r="T44" s="53">
        <f t="shared" si="2"/>
        <v>181.90000000000003</v>
      </c>
      <c r="U44" s="53">
        <f t="shared" si="2"/>
        <v>244.23000000000002</v>
      </c>
      <c r="V44" s="53">
        <f t="shared" si="2"/>
        <v>306.56</v>
      </c>
      <c r="W44" s="53">
        <f t="shared" si="2"/>
        <v>368.89</v>
      </c>
      <c r="X44" s="53">
        <f t="shared" si="2"/>
        <v>431.21999999999997</v>
      </c>
      <c r="Y44" s="53">
        <f t="shared" si="2"/>
        <v>447.2000000000001</v>
      </c>
      <c r="Z44" s="53">
        <f t="shared" si="2"/>
        <v>514.48000000000013</v>
      </c>
      <c r="AA44" s="53">
        <f t="shared" si="2"/>
        <v>581.7600000000001</v>
      </c>
      <c r="AB44" s="53">
        <f t="shared" si="2"/>
        <v>649.04</v>
      </c>
      <c r="AC44" s="53">
        <f t="shared" si="2"/>
        <v>716.31999999999994</v>
      </c>
      <c r="AD44" s="53">
        <f t="shared" si="2"/>
        <v>775</v>
      </c>
    </row>
    <row r="45" spans="1:30" x14ac:dyDescent="0.35">
      <c r="A45" s="72" t="s">
        <v>30</v>
      </c>
      <c r="B45" s="15">
        <f>NPV('Cost Assumptions'!$B$3,'Alberhill System Project'!D45:'Alberhill System Project'!AD45)</f>
        <v>96.619128021308569</v>
      </c>
      <c r="C45" s="11" t="s">
        <v>32</v>
      </c>
      <c r="D45" s="53">
        <f t="shared" ref="D45:AD45" si="3">D4-D20</f>
        <v>2</v>
      </c>
      <c r="E45" s="53">
        <f t="shared" si="3"/>
        <v>3</v>
      </c>
      <c r="F45" s="53">
        <f t="shared" si="3"/>
        <v>4.6799999999999953</v>
      </c>
      <c r="G45" s="53">
        <f t="shared" si="3"/>
        <v>6.3599999999999905</v>
      </c>
      <c r="H45" s="53">
        <f t="shared" si="3"/>
        <v>8.0399999999999867</v>
      </c>
      <c r="I45" s="53">
        <f t="shared" si="3"/>
        <v>9.7199999999999829</v>
      </c>
      <c r="J45" s="53">
        <f t="shared" si="3"/>
        <v>11.399999999999977</v>
      </c>
      <c r="K45" s="53">
        <f t="shared" si="3"/>
        <v>10.199999999999989</v>
      </c>
      <c r="L45" s="53">
        <f t="shared" si="3"/>
        <v>8.5999999999999943</v>
      </c>
      <c r="M45" s="53">
        <f t="shared" si="3"/>
        <v>6.8000000000000114</v>
      </c>
      <c r="N45" s="53">
        <f t="shared" si="3"/>
        <v>9.6000000000000227</v>
      </c>
      <c r="O45" s="53">
        <f t="shared" si="3"/>
        <v>11.333333333333352</v>
      </c>
      <c r="P45" s="53">
        <f t="shared" si="3"/>
        <v>13.066666666666681</v>
      </c>
      <c r="Q45" s="53">
        <f t="shared" si="3"/>
        <v>14.80000000000001</v>
      </c>
      <c r="R45" s="53">
        <f t="shared" si="3"/>
        <v>16.533333333333339</v>
      </c>
      <c r="S45" s="53">
        <f t="shared" si="3"/>
        <v>18.266666666666669</v>
      </c>
      <c r="T45" s="53">
        <f t="shared" si="3"/>
        <v>20</v>
      </c>
      <c r="U45" s="53">
        <f t="shared" si="3"/>
        <v>21.860000000000003</v>
      </c>
      <c r="V45" s="53">
        <f t="shared" si="3"/>
        <v>23.720000000000006</v>
      </c>
      <c r="W45" s="53">
        <f t="shared" si="3"/>
        <v>25.580000000000009</v>
      </c>
      <c r="X45" s="53">
        <f t="shared" si="3"/>
        <v>27.440000000000012</v>
      </c>
      <c r="Y45" s="53">
        <f t="shared" si="3"/>
        <v>25.600000000000023</v>
      </c>
      <c r="Z45" s="53">
        <f t="shared" si="3"/>
        <v>25.800000000000018</v>
      </c>
      <c r="AA45" s="53">
        <f t="shared" si="3"/>
        <v>26.000000000000014</v>
      </c>
      <c r="AB45" s="53">
        <f t="shared" si="3"/>
        <v>26.200000000000003</v>
      </c>
      <c r="AC45" s="53">
        <f t="shared" si="3"/>
        <v>26.399999999999995</v>
      </c>
      <c r="AD45" s="53">
        <f t="shared" si="3"/>
        <v>25.399999999999977</v>
      </c>
    </row>
    <row r="46" spans="1:30" x14ac:dyDescent="0.35">
      <c r="A46" s="72" t="s">
        <v>30</v>
      </c>
      <c r="B46" s="15">
        <f>NPV('Cost Assumptions'!$B$3,'Alberhill System Project'!D46:'Alberhill System Project'!AD46)</f>
        <v>73.255240797392332</v>
      </c>
      <c r="C46" s="11" t="s">
        <v>33</v>
      </c>
      <c r="D46" s="53">
        <f t="shared" ref="D46:AD46" si="4">D5-D21</f>
        <v>8.4812112193331513E-2</v>
      </c>
      <c r="E46" s="53">
        <f t="shared" si="4"/>
        <v>0.24283371212350299</v>
      </c>
      <c r="F46" s="53">
        <f t="shared" si="4"/>
        <v>0.34046276046663143</v>
      </c>
      <c r="G46" s="53">
        <f t="shared" si="4"/>
        <v>0.43809180880975984</v>
      </c>
      <c r="H46" s="53">
        <f t="shared" si="4"/>
        <v>0.53572085715288831</v>
      </c>
      <c r="I46" s="53">
        <f t="shared" si="4"/>
        <v>0.63334990549601677</v>
      </c>
      <c r="J46" s="53">
        <f t="shared" si="4"/>
        <v>0.73097895383914513</v>
      </c>
      <c r="K46" s="53">
        <f t="shared" si="4"/>
        <v>0.61764830497225676</v>
      </c>
      <c r="L46" s="53">
        <f t="shared" si="4"/>
        <v>0.52957812632109091</v>
      </c>
      <c r="M46" s="53">
        <f t="shared" si="4"/>
        <v>0.48185121670948772</v>
      </c>
      <c r="N46" s="53">
        <f t="shared" si="4"/>
        <v>0.56680711827214547</v>
      </c>
      <c r="O46" s="53">
        <f t="shared" si="4"/>
        <v>0.96980348799493798</v>
      </c>
      <c r="P46" s="53">
        <f t="shared" si="4"/>
        <v>1.3727998577177305</v>
      </c>
      <c r="Q46" s="53">
        <f t="shared" si="4"/>
        <v>1.775796227440523</v>
      </c>
      <c r="R46" s="53">
        <f t="shared" si="4"/>
        <v>2.1787925971633153</v>
      </c>
      <c r="S46" s="53">
        <f t="shared" si="4"/>
        <v>2.5817889668861076</v>
      </c>
      <c r="T46" s="53">
        <f t="shared" si="4"/>
        <v>2.9847853366089003</v>
      </c>
      <c r="U46" s="53">
        <f t="shared" si="4"/>
        <v>21.070525908414965</v>
      </c>
      <c r="V46" s="53">
        <f t="shared" si="4"/>
        <v>39.156266480221028</v>
      </c>
      <c r="W46" s="53">
        <f t="shared" si="4"/>
        <v>57.242007052027091</v>
      </c>
      <c r="X46" s="53">
        <f t="shared" si="4"/>
        <v>75.327747623833147</v>
      </c>
      <c r="Y46" s="53">
        <f t="shared" si="4"/>
        <v>93.380605299058487</v>
      </c>
      <c r="Z46" s="53">
        <f t="shared" si="4"/>
        <v>80.991134375406901</v>
      </c>
      <c r="AA46" s="53">
        <f t="shared" si="4"/>
        <v>68.601663451755314</v>
      </c>
      <c r="AB46" s="53">
        <f t="shared" si="4"/>
        <v>56.212192528103728</v>
      </c>
      <c r="AC46" s="53">
        <f t="shared" si="4"/>
        <v>43.822721604452141</v>
      </c>
      <c r="AD46" s="53">
        <f t="shared" si="4"/>
        <v>31.275159831854765</v>
      </c>
    </row>
    <row r="47" spans="1:30" x14ac:dyDescent="0.35">
      <c r="A47" s="72" t="s">
        <v>30</v>
      </c>
      <c r="B47" s="15">
        <f>NPV('Cost Assumptions'!$B$3,'Alberhill System Project'!D47:'Alberhill System Project'!AD47)</f>
        <v>1.4508387539359031</v>
      </c>
      <c r="C47" s="11" t="s">
        <v>34</v>
      </c>
      <c r="D47" s="53">
        <f t="shared" ref="D47:AD47" si="5">D6-D22</f>
        <v>6.0580080138093939E-3</v>
      </c>
      <c r="E47" s="53">
        <f t="shared" si="5"/>
        <v>1.7771756236396739E-2</v>
      </c>
      <c r="F47" s="53">
        <f t="shared" si="5"/>
        <v>2.504677784712513E-2</v>
      </c>
      <c r="G47" s="53">
        <f t="shared" si="5"/>
        <v>3.2321799457853517E-2</v>
      </c>
      <c r="H47" s="53">
        <f t="shared" si="5"/>
        <v>3.9596821068581908E-2</v>
      </c>
      <c r="I47" s="53">
        <f t="shared" si="5"/>
        <v>4.6871842679310299E-2</v>
      </c>
      <c r="J47" s="53">
        <f t="shared" si="5"/>
        <v>5.414686429003869E-2</v>
      </c>
      <c r="K47" s="53">
        <f t="shared" si="5"/>
        <v>4.57170533491131E-2</v>
      </c>
      <c r="L47" s="53">
        <f t="shared" si="5"/>
        <v>3.8991796004088156E-2</v>
      </c>
      <c r="M47" s="53">
        <f t="shared" si="5"/>
        <v>3.1792887361975948E-2</v>
      </c>
      <c r="N47" s="53">
        <f t="shared" si="5"/>
        <v>4.2212624824281168E-2</v>
      </c>
      <c r="O47" s="53">
        <f t="shared" si="5"/>
        <v>5.9766414638595444E-2</v>
      </c>
      <c r="P47" s="53">
        <f t="shared" si="5"/>
        <v>7.7320204452909727E-2</v>
      </c>
      <c r="Q47" s="53">
        <f t="shared" si="5"/>
        <v>9.487399426722401E-2</v>
      </c>
      <c r="R47" s="53">
        <f t="shared" si="5"/>
        <v>0.11242778408153829</v>
      </c>
      <c r="S47" s="53">
        <f t="shared" si="5"/>
        <v>0.12998157389585258</v>
      </c>
      <c r="T47" s="53">
        <f t="shared" si="5"/>
        <v>0.14753536371016684</v>
      </c>
      <c r="U47" s="53">
        <f t="shared" si="5"/>
        <v>0.40051087482777559</v>
      </c>
      <c r="V47" s="53">
        <f t="shared" si="5"/>
        <v>0.65348638594538433</v>
      </c>
      <c r="W47" s="53">
        <f t="shared" si="5"/>
        <v>0.90646189706299307</v>
      </c>
      <c r="X47" s="53">
        <f t="shared" si="5"/>
        <v>1.1594374081806018</v>
      </c>
      <c r="Y47" s="53">
        <f t="shared" si="5"/>
        <v>1.3959714710078484</v>
      </c>
      <c r="Z47" s="53">
        <f t="shared" si="5"/>
        <v>1.2469429217885655</v>
      </c>
      <c r="AA47" s="53">
        <f t="shared" si="5"/>
        <v>1.0979143725692826</v>
      </c>
      <c r="AB47" s="53">
        <f t="shared" si="5"/>
        <v>0.9488858233499996</v>
      </c>
      <c r="AC47" s="53">
        <f t="shared" si="5"/>
        <v>0.79985727413071661</v>
      </c>
      <c r="AD47" s="53">
        <f t="shared" si="5"/>
        <v>0.62907542409649275</v>
      </c>
    </row>
    <row r="48" spans="1:30" x14ac:dyDescent="0.35">
      <c r="A48" s="72" t="s">
        <v>30</v>
      </c>
      <c r="B48" s="15">
        <f>NPV('Cost Assumptions'!$B$3,'Alberhill System Project'!D48:'Alberhill System Project'!AD48)</f>
        <v>314.08858385263613</v>
      </c>
      <c r="C48" s="11" t="s">
        <v>35</v>
      </c>
      <c r="D48" s="53">
        <f t="shared" ref="D48:AD48" si="6">D7-D23</f>
        <v>14</v>
      </c>
      <c r="E48" s="53">
        <f t="shared" si="6"/>
        <v>21</v>
      </c>
      <c r="F48" s="53">
        <f t="shared" si="6"/>
        <v>23.2</v>
      </c>
      <c r="G48" s="53">
        <f t="shared" si="6"/>
        <v>25.4</v>
      </c>
      <c r="H48" s="53">
        <f t="shared" si="6"/>
        <v>27.599999999999998</v>
      </c>
      <c r="I48" s="53">
        <f t="shared" si="6"/>
        <v>29.799999999999997</v>
      </c>
      <c r="J48" s="53">
        <f t="shared" si="6"/>
        <v>32</v>
      </c>
      <c r="K48" s="53">
        <f t="shared" si="6"/>
        <v>30</v>
      </c>
      <c r="L48" s="53">
        <f t="shared" si="6"/>
        <v>29</v>
      </c>
      <c r="M48" s="53">
        <f t="shared" si="6"/>
        <v>29</v>
      </c>
      <c r="N48" s="53">
        <f t="shared" si="6"/>
        <v>29</v>
      </c>
      <c r="O48" s="53">
        <f t="shared" si="6"/>
        <v>32.666666666666664</v>
      </c>
      <c r="P48" s="53">
        <f t="shared" si="6"/>
        <v>36.333333333333329</v>
      </c>
      <c r="Q48" s="53">
        <f t="shared" si="6"/>
        <v>39.999999999999993</v>
      </c>
      <c r="R48" s="53">
        <f t="shared" si="6"/>
        <v>43.666666666666657</v>
      </c>
      <c r="S48" s="53">
        <f t="shared" si="6"/>
        <v>47.333333333333321</v>
      </c>
      <c r="T48" s="53">
        <f t="shared" si="6"/>
        <v>51</v>
      </c>
      <c r="U48" s="53">
        <f t="shared" si="6"/>
        <v>56.6</v>
      </c>
      <c r="V48" s="53">
        <f t="shared" si="6"/>
        <v>62.2</v>
      </c>
      <c r="W48" s="53">
        <f t="shared" si="6"/>
        <v>67.8</v>
      </c>
      <c r="X48" s="53">
        <f t="shared" si="6"/>
        <v>73.399999999999991</v>
      </c>
      <c r="Y48" s="53">
        <f t="shared" si="6"/>
        <v>77</v>
      </c>
      <c r="Z48" s="53">
        <f t="shared" si="6"/>
        <v>79.5</v>
      </c>
      <c r="AA48" s="53">
        <f t="shared" si="6"/>
        <v>82</v>
      </c>
      <c r="AB48" s="53">
        <f t="shared" si="6"/>
        <v>84.5</v>
      </c>
      <c r="AC48" s="53">
        <f t="shared" si="6"/>
        <v>87</v>
      </c>
      <c r="AD48" s="53">
        <f t="shared" si="6"/>
        <v>89</v>
      </c>
    </row>
    <row r="49" spans="1:30" x14ac:dyDescent="0.35">
      <c r="A49" s="72" t="s">
        <v>30</v>
      </c>
      <c r="B49" s="15">
        <f>NPV('Cost Assumptions'!$B$3,'Alberhill System Project'!D49:'Alberhill System Project'!AD49)</f>
        <v>133706.04616425443</v>
      </c>
      <c r="C49" s="11" t="s">
        <v>140</v>
      </c>
      <c r="D49" s="53">
        <f>D13-D24</f>
        <v>5445.825674993449</v>
      </c>
      <c r="E49" s="53">
        <f t="shared" ref="E49:AD49" si="7">E13-E24</f>
        <v>7241.293555071361</v>
      </c>
      <c r="F49" s="53">
        <f t="shared" si="7"/>
        <v>9036.7614351492721</v>
      </c>
      <c r="G49" s="53">
        <f t="shared" si="7"/>
        <v>10832.229315227183</v>
      </c>
      <c r="H49" s="53">
        <f t="shared" si="7"/>
        <v>12627.697195305094</v>
      </c>
      <c r="I49" s="53">
        <f t="shared" si="7"/>
        <v>14423.165075383005</v>
      </c>
      <c r="J49" s="53">
        <f t="shared" si="7"/>
        <v>16218.632955460916</v>
      </c>
      <c r="K49" s="53">
        <f t="shared" si="7"/>
        <v>15620.143662101613</v>
      </c>
      <c r="L49" s="53">
        <f t="shared" si="7"/>
        <v>15021.654368742309</v>
      </c>
      <c r="M49" s="53">
        <f t="shared" si="7"/>
        <v>13525.43113534405</v>
      </c>
      <c r="N49" s="53">
        <f t="shared" si="7"/>
        <v>14423.165075383005</v>
      </c>
      <c r="O49" s="53">
        <f t="shared" si="7"/>
        <v>16913.232955460899</v>
      </c>
      <c r="P49" s="53">
        <f t="shared" si="7"/>
        <v>17831.369243247562</v>
      </c>
      <c r="Q49" s="53">
        <f t="shared" si="7"/>
        <v>18749.505531034225</v>
      </c>
      <c r="R49" s="53">
        <f t="shared" si="7"/>
        <v>19667.641818820888</v>
      </c>
      <c r="S49" s="53">
        <f t="shared" si="7"/>
        <v>20585.778106607551</v>
      </c>
      <c r="T49" s="53">
        <f t="shared" si="7"/>
        <v>21503.914394394214</v>
      </c>
      <c r="U49" s="53">
        <f t="shared" si="7"/>
        <v>22422.050682180878</v>
      </c>
      <c r="V49" s="53">
        <f t="shared" si="7"/>
        <v>23340.186969967541</v>
      </c>
      <c r="W49" s="53">
        <f t="shared" si="7"/>
        <v>24258.323257754204</v>
      </c>
      <c r="X49" s="53">
        <f t="shared" si="7"/>
        <v>25176.459545540867</v>
      </c>
      <c r="Y49" s="53">
        <f t="shared" si="7"/>
        <v>26094.59583332753</v>
      </c>
      <c r="Z49" s="53">
        <f t="shared" si="7"/>
        <v>27012.732121114193</v>
      </c>
      <c r="AA49" s="53">
        <f t="shared" si="7"/>
        <v>27930.868408900857</v>
      </c>
      <c r="AB49" s="53">
        <f t="shared" si="7"/>
        <v>28849.00469668752</v>
      </c>
      <c r="AC49" s="53">
        <f t="shared" si="7"/>
        <v>29767.140984474183</v>
      </c>
      <c r="AD49" s="53">
        <f t="shared" si="7"/>
        <v>30685.277272260842</v>
      </c>
    </row>
    <row r="50" spans="1:30" x14ac:dyDescent="0.35">
      <c r="A50" s="72" t="s">
        <v>30</v>
      </c>
      <c r="B50" s="15">
        <f>NPV('Cost Assumptions'!$B$3,'Alberhill System Project'!D50:'Alberhill System Project'!AD50)</f>
        <v>1769189.923760046</v>
      </c>
      <c r="C50" s="11" t="s">
        <v>141</v>
      </c>
      <c r="D50" s="53">
        <f t="shared" ref="D50:AD50" si="8">D14-D25</f>
        <v>185054.77578835975</v>
      </c>
      <c r="E50" s="53">
        <f t="shared" si="8"/>
        <v>186903.57177610067</v>
      </c>
      <c r="F50" s="53">
        <f t="shared" si="8"/>
        <v>187776.97366399891</v>
      </c>
      <c r="G50" s="53">
        <f t="shared" si="8"/>
        <v>188669.80837829885</v>
      </c>
      <c r="H50" s="53">
        <f t="shared" si="8"/>
        <v>189601.19069506708</v>
      </c>
      <c r="I50" s="53">
        <f t="shared" si="8"/>
        <v>190664.92579368845</v>
      </c>
      <c r="J50" s="53">
        <f t="shared" si="8"/>
        <v>191724.00953520823</v>
      </c>
      <c r="K50" s="53">
        <f t="shared" si="8"/>
        <v>191025.97624314664</v>
      </c>
      <c r="L50" s="53">
        <f t="shared" si="8"/>
        <v>190326.84428008387</v>
      </c>
      <c r="M50" s="53">
        <f t="shared" si="8"/>
        <v>189625.1064343614</v>
      </c>
      <c r="N50" s="53">
        <f t="shared" si="8"/>
        <v>190748.07466023159</v>
      </c>
      <c r="O50" s="53">
        <f t="shared" si="8"/>
        <v>191897.17125092237</v>
      </c>
      <c r="P50" s="53">
        <f t="shared" si="8"/>
        <v>193074.93188209328</v>
      </c>
      <c r="Q50" s="53">
        <f t="shared" si="8"/>
        <v>194214.8303354925</v>
      </c>
      <c r="R50" s="53">
        <f t="shared" si="8"/>
        <v>195374.18048588041</v>
      </c>
      <c r="S50" s="53">
        <f t="shared" si="8"/>
        <v>196551.42325538729</v>
      </c>
      <c r="T50" s="53">
        <f t="shared" si="8"/>
        <v>197750.80593985942</v>
      </c>
      <c r="U50" s="53">
        <f t="shared" si="8"/>
        <v>198834.04694151258</v>
      </c>
      <c r="V50" s="53">
        <f t="shared" si="8"/>
        <v>199914.91115455315</v>
      </c>
      <c r="W50" s="53">
        <f t="shared" si="8"/>
        <v>200992.16028087595</v>
      </c>
      <c r="X50" s="53">
        <f t="shared" si="8"/>
        <v>202073.72201336425</v>
      </c>
      <c r="Y50" s="53">
        <f t="shared" si="8"/>
        <v>202973.62656656644</v>
      </c>
      <c r="Z50" s="53">
        <f t="shared" si="8"/>
        <v>203848.86844772371</v>
      </c>
      <c r="AA50" s="53">
        <f t="shared" si="8"/>
        <v>204688.41253851927</v>
      </c>
      <c r="AB50" s="53">
        <f t="shared" si="8"/>
        <v>205501.81588998562</v>
      </c>
      <c r="AC50" s="53">
        <f t="shared" si="8"/>
        <v>206079.60722765024</v>
      </c>
      <c r="AD50" s="53">
        <f t="shared" si="8"/>
        <v>206594.00896373854</v>
      </c>
    </row>
    <row r="51" spans="1:30" s="52" customFormat="1" x14ac:dyDescent="0.35">
      <c r="A51" s="72" t="s">
        <v>30</v>
      </c>
      <c r="B51" s="15">
        <f>NPV('Cost Assumptions'!$B$3,'Alberhill System Project'!D51:'Alberhill System Project'!AD51)</f>
        <v>694321.87057146919</v>
      </c>
      <c r="C51" s="11" t="s">
        <v>142</v>
      </c>
      <c r="D51" s="53">
        <f>D15-D26</f>
        <v>57814.1637958055</v>
      </c>
      <c r="E51" s="53">
        <f t="shared" ref="E51:AD51" si="9">E15-E26</f>
        <v>62191.746894023359</v>
      </c>
      <c r="F51" s="53">
        <f t="shared" si="9"/>
        <v>64361.105239567863</v>
      </c>
      <c r="G51" s="53">
        <f t="shared" si="9"/>
        <v>66628.501001105484</v>
      </c>
      <c r="H51" s="53">
        <f t="shared" si="9"/>
        <v>69068.22672153436</v>
      </c>
      <c r="I51" s="53">
        <f t="shared" si="9"/>
        <v>71918.961016641551</v>
      </c>
      <c r="J51" s="53">
        <f t="shared" si="9"/>
        <v>74820.679205256296</v>
      </c>
      <c r="K51" s="53">
        <f t="shared" si="9"/>
        <v>72899.28225345345</v>
      </c>
      <c r="L51" s="53">
        <f t="shared" si="9"/>
        <v>71006.352594376862</v>
      </c>
      <c r="M51" s="53">
        <f t="shared" si="9"/>
        <v>69131.616141376318</v>
      </c>
      <c r="N51" s="53">
        <f t="shared" si="9"/>
        <v>72143.764963991809</v>
      </c>
      <c r="O51" s="53">
        <f t="shared" si="9"/>
        <v>75301.925896232133</v>
      </c>
      <c r="P51" s="53">
        <f t="shared" si="9"/>
        <v>78629.627518656707</v>
      </c>
      <c r="Q51" s="53">
        <f t="shared" si="9"/>
        <v>81951.057574073071</v>
      </c>
      <c r="R51" s="53">
        <f t="shared" si="9"/>
        <v>85383.424638269789</v>
      </c>
      <c r="S51" s="53">
        <f t="shared" si="9"/>
        <v>88945.971119594135</v>
      </c>
      <c r="T51" s="53">
        <f t="shared" si="9"/>
        <v>92676.895920951385</v>
      </c>
      <c r="U51" s="53">
        <f t="shared" si="9"/>
        <v>96145.729908431153</v>
      </c>
      <c r="V51" s="53">
        <f t="shared" si="9"/>
        <v>99700.858162341799</v>
      </c>
      <c r="W51" s="53">
        <f t="shared" si="9"/>
        <v>103340.20977892888</v>
      </c>
      <c r="X51" s="53">
        <f t="shared" si="9"/>
        <v>107065.51818072386</v>
      </c>
      <c r="Y51" s="53">
        <f t="shared" si="9"/>
        <v>110237.64392344528</v>
      </c>
      <c r="Z51" s="53">
        <f t="shared" si="9"/>
        <v>113355.67104643886</v>
      </c>
      <c r="AA51" s="53">
        <f t="shared" si="9"/>
        <v>116394.79841235251</v>
      </c>
      <c r="AB51" s="53">
        <f t="shared" si="9"/>
        <v>119393.94598127359</v>
      </c>
      <c r="AC51" s="53">
        <f t="shared" si="9"/>
        <v>121552.79504833522</v>
      </c>
      <c r="AD51" s="53">
        <f t="shared" si="9"/>
        <v>123501.36707164065</v>
      </c>
    </row>
    <row r="52" spans="1:30" x14ac:dyDescent="0.35">
      <c r="A52" s="72" t="s">
        <v>39</v>
      </c>
      <c r="B52" s="15">
        <f>NPV('Cost Assumptions'!$B$3,'Alberhill System Project'!D52:'Alberhill System Project'!AD52)</f>
        <v>3662.4319152534908</v>
      </c>
      <c r="C52" s="11" t="s">
        <v>31</v>
      </c>
      <c r="D52" s="53">
        <f t="shared" ref="D52:AD52" si="10">D8-D27</f>
        <v>22.2</v>
      </c>
      <c r="E52" s="53">
        <f t="shared" si="10"/>
        <v>65.8</v>
      </c>
      <c r="F52" s="53">
        <f t="shared" si="10"/>
        <v>102.72</v>
      </c>
      <c r="G52" s="53">
        <f t="shared" si="10"/>
        <v>139.63999999999999</v>
      </c>
      <c r="H52" s="53">
        <f t="shared" si="10"/>
        <v>176.56</v>
      </c>
      <c r="I52" s="53">
        <f t="shared" si="10"/>
        <v>213.48000000000002</v>
      </c>
      <c r="J52" s="53">
        <f t="shared" si="10"/>
        <v>250.4</v>
      </c>
      <c r="K52" s="53">
        <f t="shared" si="10"/>
        <v>216.60000000000014</v>
      </c>
      <c r="L52" s="53">
        <f t="shared" si="10"/>
        <v>182.59999999999991</v>
      </c>
      <c r="M52" s="53">
        <f t="shared" si="10"/>
        <v>151.20000000000005</v>
      </c>
      <c r="N52" s="53">
        <f t="shared" si="10"/>
        <v>202.60000000000014</v>
      </c>
      <c r="O52" s="53">
        <f t="shared" si="10"/>
        <v>292.1666666666668</v>
      </c>
      <c r="P52" s="53">
        <f t="shared" si="10"/>
        <v>381.73333333333346</v>
      </c>
      <c r="Q52" s="53">
        <f t="shared" si="10"/>
        <v>471.30000000000013</v>
      </c>
      <c r="R52" s="53">
        <f t="shared" si="10"/>
        <v>560.86666666666679</v>
      </c>
      <c r="S52" s="53">
        <f t="shared" si="10"/>
        <v>650.43333333333339</v>
      </c>
      <c r="T52" s="53">
        <f t="shared" si="10"/>
        <v>740</v>
      </c>
      <c r="U52" s="53">
        <f t="shared" si="10"/>
        <v>930.87999999999988</v>
      </c>
      <c r="V52" s="53">
        <f t="shared" si="10"/>
        <v>1121.7599999999998</v>
      </c>
      <c r="W52" s="53">
        <f t="shared" si="10"/>
        <v>1312.6399999999996</v>
      </c>
      <c r="X52" s="53">
        <f t="shared" si="10"/>
        <v>1503.5199999999995</v>
      </c>
      <c r="Y52" s="53">
        <f t="shared" si="10"/>
        <v>1694.3999999999994</v>
      </c>
      <c r="Z52" s="53">
        <f t="shared" si="10"/>
        <v>1887.3999999999994</v>
      </c>
      <c r="AA52" s="53">
        <f t="shared" si="10"/>
        <v>2080.3999999999996</v>
      </c>
      <c r="AB52" s="53">
        <f t="shared" si="10"/>
        <v>2273.3999999999996</v>
      </c>
      <c r="AC52" s="53">
        <f t="shared" si="10"/>
        <v>2466.3999999999996</v>
      </c>
      <c r="AD52" s="53">
        <f t="shared" si="10"/>
        <v>2659.3999999999996</v>
      </c>
    </row>
    <row r="53" spans="1:30" x14ac:dyDescent="0.35">
      <c r="A53" s="72" t="s">
        <v>39</v>
      </c>
      <c r="B53" s="15">
        <f>NPV('Cost Assumptions'!$B$3,'Alberhill System Project'!D53:'Alberhill System Project'!AD53)</f>
        <v>603.3370677068466</v>
      </c>
      <c r="C53" s="11" t="s">
        <v>32</v>
      </c>
      <c r="D53" s="53">
        <f t="shared" ref="D53:AD53" si="11">D9-D28</f>
        <v>13</v>
      </c>
      <c r="E53" s="53">
        <f t="shared" si="11"/>
        <v>27</v>
      </c>
      <c r="F53" s="53">
        <f t="shared" si="11"/>
        <v>34.519999999999982</v>
      </c>
      <c r="G53" s="53">
        <f t="shared" si="11"/>
        <v>42.039999999999964</v>
      </c>
      <c r="H53" s="53">
        <f t="shared" si="11"/>
        <v>49.559999999999945</v>
      </c>
      <c r="I53" s="53">
        <f t="shared" si="11"/>
        <v>57.079999999999927</v>
      </c>
      <c r="J53" s="53">
        <f t="shared" si="11"/>
        <v>64.599999999999909</v>
      </c>
      <c r="K53" s="53">
        <f t="shared" si="11"/>
        <v>59.799999999999955</v>
      </c>
      <c r="L53" s="53">
        <f t="shared" si="11"/>
        <v>52.799999999999955</v>
      </c>
      <c r="M53" s="53">
        <f t="shared" si="11"/>
        <v>46</v>
      </c>
      <c r="N53" s="53">
        <f t="shared" si="11"/>
        <v>57.400000000000091</v>
      </c>
      <c r="O53" s="53">
        <f t="shared" si="11"/>
        <v>67.333333333333414</v>
      </c>
      <c r="P53" s="53">
        <f t="shared" si="11"/>
        <v>77.266666666666737</v>
      </c>
      <c r="Q53" s="53">
        <f t="shared" si="11"/>
        <v>87.20000000000006</v>
      </c>
      <c r="R53" s="53">
        <f t="shared" si="11"/>
        <v>97.133333333333383</v>
      </c>
      <c r="S53" s="53">
        <f t="shared" si="11"/>
        <v>107.06666666666671</v>
      </c>
      <c r="T53" s="53">
        <f t="shared" si="11"/>
        <v>117</v>
      </c>
      <c r="U53" s="53">
        <f t="shared" si="11"/>
        <v>126.6</v>
      </c>
      <c r="V53" s="53">
        <f t="shared" si="11"/>
        <v>136.19999999999999</v>
      </c>
      <c r="W53" s="53">
        <f t="shared" si="11"/>
        <v>145.79999999999998</v>
      </c>
      <c r="X53" s="53">
        <f t="shared" si="11"/>
        <v>155.39999999999998</v>
      </c>
      <c r="Y53" s="53">
        <f t="shared" si="11"/>
        <v>165</v>
      </c>
      <c r="Z53" s="53">
        <f t="shared" si="11"/>
        <v>171.84</v>
      </c>
      <c r="AA53" s="53">
        <f t="shared" si="11"/>
        <v>178.68</v>
      </c>
      <c r="AB53" s="53">
        <f t="shared" si="11"/>
        <v>185.52</v>
      </c>
      <c r="AC53" s="53">
        <f t="shared" si="11"/>
        <v>192.36</v>
      </c>
      <c r="AD53" s="53">
        <f t="shared" si="11"/>
        <v>199.20000000000005</v>
      </c>
    </row>
    <row r="54" spans="1:30" x14ac:dyDescent="0.35">
      <c r="A54" s="72" t="s">
        <v>39</v>
      </c>
      <c r="B54" s="15">
        <f>NPV('Cost Assumptions'!$B$3,'Alberhill System Project'!D54:'Alberhill System Project'!AD54)</f>
        <v>54.089806048569208</v>
      </c>
      <c r="C54" s="11" t="s">
        <v>33</v>
      </c>
      <c r="D54" s="53">
        <f t="shared" ref="D54:AD54" si="12">D10-D29</f>
        <v>4.7253529883901121E-2</v>
      </c>
      <c r="E54" s="53">
        <f t="shared" si="12"/>
        <v>0.28011551949195379</v>
      </c>
      <c r="F54" s="53">
        <f t="shared" si="12"/>
        <v>0.59718244793816533</v>
      </c>
      <c r="G54" s="53">
        <f t="shared" si="12"/>
        <v>0.91424937638437687</v>
      </c>
      <c r="H54" s="53">
        <f t="shared" si="12"/>
        <v>1.2313163048305884</v>
      </c>
      <c r="I54" s="53">
        <f t="shared" si="12"/>
        <v>1.5483832332767999</v>
      </c>
      <c r="J54" s="53">
        <f t="shared" si="12"/>
        <v>1.8654501617230115</v>
      </c>
      <c r="K54" s="53">
        <f t="shared" si="12"/>
        <v>1.6136441894137561</v>
      </c>
      <c r="L54" s="53">
        <f t="shared" si="12"/>
        <v>1.1660127779459895</v>
      </c>
      <c r="M54" s="53">
        <f t="shared" si="12"/>
        <v>0.80458713045561225</v>
      </c>
      <c r="N54" s="53">
        <f t="shared" si="12"/>
        <v>0.56680711827214547</v>
      </c>
      <c r="O54" s="53">
        <f t="shared" si="12"/>
        <v>3.0445179689462347</v>
      </c>
      <c r="P54" s="53">
        <f t="shared" si="12"/>
        <v>4.5886299372095039</v>
      </c>
      <c r="Q54" s="53">
        <f t="shared" si="12"/>
        <v>6.1327419054727734</v>
      </c>
      <c r="R54" s="53">
        <f t="shared" si="12"/>
        <v>7.676853873736043</v>
      </c>
      <c r="S54" s="53">
        <f t="shared" si="12"/>
        <v>9.2209658419993126</v>
      </c>
      <c r="T54" s="53">
        <f t="shared" si="12"/>
        <v>10.765077810262582</v>
      </c>
      <c r="U54" s="53">
        <f t="shared" si="12"/>
        <v>11.285969377257926</v>
      </c>
      <c r="V54" s="53">
        <f t="shared" si="12"/>
        <v>11.80686094425327</v>
      </c>
      <c r="W54" s="53">
        <f t="shared" si="12"/>
        <v>12.327752511248613</v>
      </c>
      <c r="X54" s="53">
        <f t="shared" si="12"/>
        <v>12.848644078243957</v>
      </c>
      <c r="Y54" s="53">
        <f t="shared" si="12"/>
        <v>13.369535645239303</v>
      </c>
      <c r="Z54" s="53">
        <f t="shared" si="12"/>
        <v>31.024884631077057</v>
      </c>
      <c r="AA54" s="53">
        <f t="shared" si="12"/>
        <v>48.680233616914812</v>
      </c>
      <c r="AB54" s="53">
        <f t="shared" si="12"/>
        <v>66.335582602752567</v>
      </c>
      <c r="AC54" s="53">
        <f t="shared" si="12"/>
        <v>83.990931588590314</v>
      </c>
      <c r="AD54" s="53">
        <f t="shared" si="12"/>
        <v>101.64628057442808</v>
      </c>
    </row>
    <row r="55" spans="1:30" x14ac:dyDescent="0.35">
      <c r="A55" s="72" t="s">
        <v>39</v>
      </c>
      <c r="B55" s="15">
        <f>NPV('Cost Assumptions'!$B$3,'Alberhill System Project'!D55:'Alberhill System Project'!AD55)</f>
        <v>2.9078711043982364</v>
      </c>
      <c r="C55" s="11" t="s">
        <v>34</v>
      </c>
      <c r="D55" s="53">
        <f t="shared" ref="D55:AD55" si="13">D11-D30</f>
        <v>2.3626764941950561E-2</v>
      </c>
      <c r="E55" s="53">
        <f t="shared" si="13"/>
        <v>7.0028879872988448E-2</v>
      </c>
      <c r="F55" s="53">
        <f t="shared" si="13"/>
        <v>0.10932167994761965</v>
      </c>
      <c r="G55" s="53">
        <f t="shared" si="13"/>
        <v>0.14861448002225086</v>
      </c>
      <c r="H55" s="53">
        <f t="shared" si="13"/>
        <v>0.18790728009688207</v>
      </c>
      <c r="I55" s="53">
        <f t="shared" si="13"/>
        <v>0.22720008017151327</v>
      </c>
      <c r="J55" s="53">
        <f t="shared" si="13"/>
        <v>0.26649288024614448</v>
      </c>
      <c r="K55" s="53">
        <f t="shared" si="13"/>
        <v>0.23052059848767945</v>
      </c>
      <c r="L55" s="53">
        <f t="shared" si="13"/>
        <v>0.19433546299099821</v>
      </c>
      <c r="M55" s="53">
        <f t="shared" si="13"/>
        <v>0.16091742609112245</v>
      </c>
      <c r="N55" s="53">
        <f t="shared" si="13"/>
        <v>4.2212624824281168E-2</v>
      </c>
      <c r="O55" s="53">
        <f t="shared" si="13"/>
        <v>0.30677545020347896</v>
      </c>
      <c r="P55" s="53">
        <f t="shared" si="13"/>
        <v>0.39920718602367722</v>
      </c>
      <c r="Q55" s="53">
        <f t="shared" si="13"/>
        <v>0.49163892184387548</v>
      </c>
      <c r="R55" s="53">
        <f t="shared" si="13"/>
        <v>0.58407065766407373</v>
      </c>
      <c r="S55" s="53">
        <f t="shared" si="13"/>
        <v>0.67650239348427199</v>
      </c>
      <c r="T55" s="53">
        <f t="shared" si="13"/>
        <v>0.76893412930447014</v>
      </c>
      <c r="U55" s="53">
        <f t="shared" si="13"/>
        <v>0.69278283231502535</v>
      </c>
      <c r="V55" s="53">
        <f t="shared" si="13"/>
        <v>0.61663153532558057</v>
      </c>
      <c r="W55" s="53">
        <f t="shared" si="13"/>
        <v>0.54048023833613579</v>
      </c>
      <c r="X55" s="53">
        <f t="shared" si="13"/>
        <v>0.464328941346691</v>
      </c>
      <c r="Y55" s="53">
        <f t="shared" si="13"/>
        <v>0.38817764435724611</v>
      </c>
      <c r="Z55" s="53">
        <f t="shared" si="13"/>
        <v>0.85998146994216484</v>
      </c>
      <c r="AA55" s="53">
        <f t="shared" si="13"/>
        <v>1.3317852955270837</v>
      </c>
      <c r="AB55" s="53">
        <f t="shared" si="13"/>
        <v>1.8035891211120025</v>
      </c>
      <c r="AC55" s="53">
        <f t="shared" si="13"/>
        <v>2.2753929466969214</v>
      </c>
      <c r="AD55" s="53">
        <f t="shared" si="13"/>
        <v>2.74719677228184</v>
      </c>
    </row>
    <row r="56" spans="1:30" x14ac:dyDescent="0.35">
      <c r="A56" s="72" t="s">
        <v>39</v>
      </c>
      <c r="B56" s="15">
        <f>NPV('Cost Assumptions'!$B$3,'Alberhill System Project'!D56:'Alberhill System Project'!AD56)</f>
        <v>81.976482418430209</v>
      </c>
      <c r="C56" s="11" t="s">
        <v>35</v>
      </c>
      <c r="D56" s="53">
        <f t="shared" ref="D56:AD56" si="14">D12-D31</f>
        <v>2</v>
      </c>
      <c r="E56" s="53">
        <f t="shared" si="14"/>
        <v>4</v>
      </c>
      <c r="F56" s="53">
        <f t="shared" si="14"/>
        <v>4.5999999999999996</v>
      </c>
      <c r="G56" s="53">
        <f t="shared" si="14"/>
        <v>5.1999999999999993</v>
      </c>
      <c r="H56" s="53">
        <f t="shared" si="14"/>
        <v>5.7999999999999989</v>
      </c>
      <c r="I56" s="53">
        <f t="shared" si="14"/>
        <v>6.3999999999999986</v>
      </c>
      <c r="J56" s="53">
        <f t="shared" si="14"/>
        <v>7</v>
      </c>
      <c r="K56" s="53">
        <f t="shared" si="14"/>
        <v>7</v>
      </c>
      <c r="L56" s="53">
        <f t="shared" si="14"/>
        <v>6</v>
      </c>
      <c r="M56" s="53">
        <f t="shared" si="14"/>
        <v>5</v>
      </c>
      <c r="N56" s="53">
        <f t="shared" si="14"/>
        <v>7</v>
      </c>
      <c r="O56" s="53">
        <f t="shared" si="14"/>
        <v>8.1666666666666661</v>
      </c>
      <c r="P56" s="53">
        <f t="shared" si="14"/>
        <v>9.3333333333333321</v>
      </c>
      <c r="Q56" s="53">
        <f t="shared" si="14"/>
        <v>10.499999999999998</v>
      </c>
      <c r="R56" s="53">
        <f t="shared" si="14"/>
        <v>11.666666666666664</v>
      </c>
      <c r="S56" s="53">
        <f t="shared" si="14"/>
        <v>12.83333333333333</v>
      </c>
      <c r="T56" s="53">
        <f t="shared" si="14"/>
        <v>14</v>
      </c>
      <c r="U56" s="53">
        <f t="shared" si="14"/>
        <v>17</v>
      </c>
      <c r="V56" s="53">
        <f t="shared" si="14"/>
        <v>20</v>
      </c>
      <c r="W56" s="53">
        <f t="shared" si="14"/>
        <v>23</v>
      </c>
      <c r="X56" s="53">
        <f t="shared" si="14"/>
        <v>26</v>
      </c>
      <c r="Y56" s="53">
        <f t="shared" si="14"/>
        <v>29</v>
      </c>
      <c r="Z56" s="53">
        <f t="shared" si="14"/>
        <v>30.6</v>
      </c>
      <c r="AA56" s="53">
        <f t="shared" si="14"/>
        <v>32.200000000000003</v>
      </c>
      <c r="AB56" s="53">
        <f t="shared" si="14"/>
        <v>33.800000000000004</v>
      </c>
      <c r="AC56" s="53">
        <f t="shared" si="14"/>
        <v>35.400000000000006</v>
      </c>
      <c r="AD56" s="53">
        <f t="shared" si="14"/>
        <v>37</v>
      </c>
    </row>
    <row r="58" spans="1:30" ht="15" thickBot="1" x14ac:dyDescent="0.4">
      <c r="A58" s="177" t="s">
        <v>143</v>
      </c>
      <c r="B58" s="177"/>
      <c r="C58" s="177"/>
      <c r="D58" s="177"/>
      <c r="E58" s="177"/>
      <c r="F58" s="177"/>
      <c r="G58" s="177"/>
      <c r="H58" s="177"/>
      <c r="I58" s="177"/>
      <c r="J58" s="177"/>
      <c r="K58" s="177"/>
      <c r="L58" s="177"/>
      <c r="M58" s="177"/>
      <c r="N58" s="177"/>
      <c r="O58" s="177"/>
      <c r="P58" s="177"/>
      <c r="Q58" s="177"/>
      <c r="R58" s="177"/>
      <c r="S58" s="177"/>
      <c r="T58" s="177"/>
      <c r="U58" s="177"/>
      <c r="V58" s="177"/>
      <c r="W58" s="177"/>
      <c r="X58" s="177"/>
      <c r="Y58" s="177"/>
      <c r="Z58" s="177"/>
      <c r="AA58" s="177"/>
      <c r="AB58" s="177"/>
      <c r="AC58" s="177"/>
      <c r="AD58" s="177"/>
    </row>
    <row r="59" spans="1:30" ht="15.5" thickTop="1" thickBot="1" x14ac:dyDescent="0.4">
      <c r="A59" s="177"/>
      <c r="B59" s="177"/>
      <c r="C59" s="177"/>
      <c r="D59" s="177"/>
      <c r="E59" s="177"/>
      <c r="F59" s="177"/>
      <c r="G59" s="177"/>
      <c r="H59" s="177"/>
      <c r="I59" s="177"/>
      <c r="J59" s="177"/>
      <c r="K59" s="177"/>
      <c r="L59" s="177"/>
      <c r="M59" s="177"/>
      <c r="N59" s="177"/>
      <c r="O59" s="177"/>
      <c r="P59" s="177"/>
      <c r="Q59" s="177"/>
      <c r="R59" s="177"/>
      <c r="S59" s="177"/>
      <c r="T59" s="177"/>
      <c r="U59" s="177"/>
      <c r="V59" s="177"/>
      <c r="W59" s="177"/>
      <c r="X59" s="177"/>
      <c r="Y59" s="177"/>
      <c r="Z59" s="177"/>
      <c r="AA59" s="177"/>
      <c r="AB59" s="177"/>
      <c r="AC59" s="177"/>
      <c r="AD59" s="177"/>
    </row>
    <row r="60" spans="1:30" ht="15" thickTop="1" x14ac:dyDescent="0.35">
      <c r="A60" s="72" t="str">
        <f>'Baseline System Analysis'!A17</f>
        <v>Residential</v>
      </c>
      <c r="B60" s="72" t="str">
        <f>'Baseline System Analysis'!B17</f>
        <v>Cost of Reliability (N-1)</v>
      </c>
      <c r="C60" s="72" t="str">
        <f>'Baseline System Analysis'!C17</f>
        <v>$/kWh</v>
      </c>
      <c r="D60" s="4">
        <f>'Baseline System Analysis'!D17</f>
        <v>4.4933261328125003</v>
      </c>
      <c r="E60" s="4">
        <f>'Baseline System Analysis'!E17</f>
        <v>4.6056592861328127</v>
      </c>
      <c r="F60" s="4">
        <f>'Baseline System Analysis'!F17</f>
        <v>4.720800768286133</v>
      </c>
      <c r="G60" s="4">
        <f>'Baseline System Analysis'!G17</f>
        <v>4.8388207874932858</v>
      </c>
      <c r="H60" s="4">
        <f>'Baseline System Analysis'!H17</f>
        <v>4.9597913071806179</v>
      </c>
      <c r="I60" s="4">
        <f>'Baseline System Analysis'!I17</f>
        <v>5.0837860898601326</v>
      </c>
      <c r="J60" s="4">
        <f>'Baseline System Analysis'!J17</f>
        <v>5.2108807421066352</v>
      </c>
      <c r="K60" s="4">
        <f>'Baseline System Analysis'!K17</f>
        <v>5.341152760659301</v>
      </c>
      <c r="L60" s="4">
        <f>'Baseline System Analysis'!L17</f>
        <v>5.4746815796757833</v>
      </c>
      <c r="M60" s="4">
        <f>'Baseline System Analysis'!M17</f>
        <v>5.6115486191676771</v>
      </c>
      <c r="N60" s="4">
        <f>'Baseline System Analysis'!N17</f>
        <v>5.7518373346468685</v>
      </c>
      <c r="O60" s="4">
        <f>'Baseline System Analysis'!O17</f>
        <v>5.8956332680130394</v>
      </c>
      <c r="P60" s="4">
        <f>'Baseline System Analysis'!P17</f>
        <v>6.0430240997133646</v>
      </c>
      <c r="Q60" s="4">
        <f>'Baseline System Analysis'!Q17</f>
        <v>6.1940997022061985</v>
      </c>
      <c r="R60" s="4">
        <f>'Baseline System Analysis'!R17</f>
        <v>6.3489521947613525</v>
      </c>
      <c r="S60" s="4">
        <f>'Baseline System Analysis'!S17</f>
        <v>6.5076759996303855</v>
      </c>
      <c r="T60" s="4">
        <f>'Baseline System Analysis'!T17</f>
        <v>6.6703678996211444</v>
      </c>
      <c r="U60" s="4">
        <f>'Baseline System Analysis'!U17</f>
        <v>6.8371270971116722</v>
      </c>
      <c r="V60" s="4">
        <f>'Baseline System Analysis'!V17</f>
        <v>7.0080552745394638</v>
      </c>
      <c r="W60" s="4">
        <f>'Baseline System Analysis'!W17</f>
        <v>7.1832566564029499</v>
      </c>
      <c r="X60" s="4">
        <f>'Baseline System Analysis'!X17</f>
        <v>7.3628380728130232</v>
      </c>
      <c r="Y60" s="4">
        <f>'Baseline System Analysis'!Y17</f>
        <v>7.5469090246333481</v>
      </c>
      <c r="Z60" s="4">
        <f>'Baseline System Analysis'!Z17</f>
        <v>7.7355817502491808</v>
      </c>
      <c r="AA60" s="4">
        <f>'Baseline System Analysis'!AA17</f>
        <v>7.92897129400541</v>
      </c>
      <c r="AB60" s="4">
        <f>'Baseline System Analysis'!AB17</f>
        <v>8.127195576355545</v>
      </c>
      <c r="AC60" s="4">
        <f>'Baseline System Analysis'!AC17</f>
        <v>8.3303754657644333</v>
      </c>
      <c r="AD60" s="4">
        <f>'Baseline System Analysis'!AD17</f>
        <v>8.5386348524085438</v>
      </c>
    </row>
    <row r="61" spans="1:30" x14ac:dyDescent="0.35">
      <c r="A61" s="72" t="str">
        <f>'Baseline System Analysis'!A18</f>
        <v>Residential</v>
      </c>
      <c r="B61" s="72" t="str">
        <f>'Baseline System Analysis'!B18</f>
        <v>Cost of Reliability (N-0)</v>
      </c>
      <c r="C61" s="72" t="str">
        <f>'Baseline System Analysis'!C18</f>
        <v>$/kWh</v>
      </c>
      <c r="D61" s="4">
        <f>'Baseline System Analysis'!D18</f>
        <v>3.7920011132812497</v>
      </c>
      <c r="E61" s="4">
        <f>'Baseline System Analysis'!E18</f>
        <v>3.8868011411132808</v>
      </c>
      <c r="F61" s="4">
        <f>'Baseline System Analysis'!F18</f>
        <v>3.9839711696411126</v>
      </c>
      <c r="G61" s="4">
        <f>'Baseline System Analysis'!G18</f>
        <v>4.0835704488821403</v>
      </c>
      <c r="H61" s="4">
        <f>'Baseline System Analysis'!H18</f>
        <v>4.1856597101041935</v>
      </c>
      <c r="I61" s="4">
        <f>'Baseline System Analysis'!I18</f>
        <v>4.2903012028567975</v>
      </c>
      <c r="J61" s="4">
        <f>'Baseline System Analysis'!J18</f>
        <v>4.3975587329282169</v>
      </c>
      <c r="K61" s="4">
        <f>'Baseline System Analysis'!K18</f>
        <v>4.5074977012514221</v>
      </c>
      <c r="L61" s="4">
        <f>'Baseline System Analysis'!L18</f>
        <v>4.6201851437827068</v>
      </c>
      <c r="M61" s="4">
        <f>'Baseline System Analysis'!M18</f>
        <v>4.735689772377274</v>
      </c>
      <c r="N61" s="4">
        <f>'Baseline System Analysis'!N18</f>
        <v>4.8540820166867054</v>
      </c>
      <c r="O61" s="4">
        <f>'Baseline System Analysis'!O18</f>
        <v>4.9754340671038726</v>
      </c>
      <c r="P61" s="4">
        <f>'Baseline System Analysis'!P18</f>
        <v>5.0998199187814688</v>
      </c>
      <c r="Q61" s="4">
        <f>'Baseline System Analysis'!Q18</f>
        <v>5.2273154167510052</v>
      </c>
      <c r="R61" s="4">
        <f>'Baseline System Analysis'!R18</f>
        <v>5.3579983021697801</v>
      </c>
      <c r="S61" s="4">
        <f>'Baseline System Analysis'!S18</f>
        <v>5.4919482597240243</v>
      </c>
      <c r="T61" s="4">
        <f>'Baseline System Analysis'!T18</f>
        <v>5.6292469662171243</v>
      </c>
      <c r="U61" s="4">
        <f>'Baseline System Analysis'!U18</f>
        <v>5.7699781403725519</v>
      </c>
      <c r="V61" s="4">
        <f>'Baseline System Analysis'!V18</f>
        <v>5.9142275938818649</v>
      </c>
      <c r="W61" s="4">
        <f>'Baseline System Analysis'!W18</f>
        <v>6.0620832837289109</v>
      </c>
      <c r="X61" s="4">
        <f>'Baseline System Analysis'!X18</f>
        <v>6.2136353658221335</v>
      </c>
      <c r="Y61" s="4">
        <f>'Baseline System Analysis'!Y18</f>
        <v>6.3689762499676865</v>
      </c>
      <c r="Z61" s="4">
        <f>'Baseline System Analysis'!Z18</f>
        <v>6.5282006562168782</v>
      </c>
      <c r="AA61" s="4">
        <f>'Baseline System Analysis'!AA18</f>
        <v>6.6914056726222997</v>
      </c>
      <c r="AB61" s="4">
        <f>'Baseline System Analysis'!AB18</f>
        <v>6.8586908144378569</v>
      </c>
      <c r="AC61" s="4">
        <f>'Baseline System Analysis'!AC18</f>
        <v>7.0301580847988028</v>
      </c>
      <c r="AD61" s="4">
        <f>'Baseline System Analysis'!AD18</f>
        <v>7.2059120369187726</v>
      </c>
    </row>
    <row r="62" spans="1:30" x14ac:dyDescent="0.35">
      <c r="A62" s="72" t="str">
        <f>'Baseline System Analysis'!A19</f>
        <v>Commerical</v>
      </c>
      <c r="B62" s="72" t="str">
        <f>'Baseline System Analysis'!B19</f>
        <v>Cost of Reliability (N-1)</v>
      </c>
      <c r="C62" s="72" t="str">
        <f>'Baseline System Analysis'!C19</f>
        <v>$/kWh</v>
      </c>
      <c r="D62" s="4">
        <f>'Baseline System Analysis'!D19</f>
        <v>166.59767191406246</v>
      </c>
      <c r="E62" s="4">
        <f>'Baseline System Analysis'!E19</f>
        <v>170.76261371191401</v>
      </c>
      <c r="F62" s="4">
        <f>'Baseline System Analysis'!F19</f>
        <v>175.03167905471184</v>
      </c>
      <c r="G62" s="4">
        <f>'Baseline System Analysis'!G19</f>
        <v>179.40747103107964</v>
      </c>
      <c r="H62" s="4">
        <f>'Baseline System Analysis'!H19</f>
        <v>183.89265780685662</v>
      </c>
      <c r="I62" s="4">
        <f>'Baseline System Analysis'!I19</f>
        <v>188.48997425202802</v>
      </c>
      <c r="J62" s="4">
        <f>'Baseline System Analysis'!J19</f>
        <v>193.20222360832869</v>
      </c>
      <c r="K62" s="4">
        <f>'Baseline System Analysis'!K19</f>
        <v>198.03227919853688</v>
      </c>
      <c r="L62" s="4">
        <f>'Baseline System Analysis'!L19</f>
        <v>202.98308617850029</v>
      </c>
      <c r="M62" s="4">
        <f>'Baseline System Analysis'!M19</f>
        <v>208.05766333296279</v>
      </c>
      <c r="N62" s="4">
        <f>'Baseline System Analysis'!N19</f>
        <v>213.25910491628684</v>
      </c>
      <c r="O62" s="4">
        <f>'Baseline System Analysis'!O19</f>
        <v>218.590582539194</v>
      </c>
      <c r="P62" s="4">
        <f>'Baseline System Analysis'!P19</f>
        <v>224.05534710267384</v>
      </c>
      <c r="Q62" s="4">
        <f>'Baseline System Analysis'!Q19</f>
        <v>229.65673078024065</v>
      </c>
      <c r="R62" s="4">
        <f>'Baseline System Analysis'!R19</f>
        <v>235.39814904974665</v>
      </c>
      <c r="S62" s="4">
        <f>'Baseline System Analysis'!S19</f>
        <v>241.2831027759903</v>
      </c>
      <c r="T62" s="4">
        <f>'Baseline System Analysis'!T19</f>
        <v>247.31518034539005</v>
      </c>
      <c r="U62" s="4">
        <f>'Baseline System Analysis'!U19</f>
        <v>253.49805985402477</v>
      </c>
      <c r="V62" s="4">
        <f>'Baseline System Analysis'!V19</f>
        <v>259.83551135037538</v>
      </c>
      <c r="W62" s="4">
        <f>'Baseline System Analysis'!W19</f>
        <v>266.33139913413476</v>
      </c>
      <c r="X62" s="4">
        <f>'Baseline System Analysis'!X19</f>
        <v>272.98968411248808</v>
      </c>
      <c r="Y62" s="4">
        <f>'Baseline System Analysis'!Y19</f>
        <v>279.81442621530027</v>
      </c>
      <c r="Z62" s="4">
        <f>'Baseline System Analysis'!Z19</f>
        <v>286.80978687068273</v>
      </c>
      <c r="AA62" s="4">
        <f>'Baseline System Analysis'!AA19</f>
        <v>293.98003154244975</v>
      </c>
      <c r="AB62" s="4">
        <f>'Baseline System Analysis'!AB19</f>
        <v>301.32953233101097</v>
      </c>
      <c r="AC62" s="4">
        <f>'Baseline System Analysis'!AC19</f>
        <v>308.86277063928623</v>
      </c>
      <c r="AD62" s="4">
        <f>'Baseline System Analysis'!AD19</f>
        <v>316.58433990526834</v>
      </c>
    </row>
    <row r="63" spans="1:30" x14ac:dyDescent="0.35">
      <c r="A63" s="72" t="str">
        <f>'Baseline System Analysis'!A20</f>
        <v>Commerical</v>
      </c>
      <c r="B63" s="72" t="str">
        <f>'Baseline System Analysis'!B20</f>
        <v>Cost of Reliability (N-0)</v>
      </c>
      <c r="C63" s="72" t="str">
        <f>'Baseline System Analysis'!C20</f>
        <v>$/kWh</v>
      </c>
      <c r="D63" s="4">
        <f>'Baseline System Analysis'!D20</f>
        <v>153.83719106445315</v>
      </c>
      <c r="E63" s="4">
        <f>'Baseline System Analysis'!E20</f>
        <v>157.68312084106446</v>
      </c>
      <c r="F63" s="4">
        <f>'Baseline System Analysis'!F20</f>
        <v>161.62519886209105</v>
      </c>
      <c r="G63" s="4">
        <f>'Baseline System Analysis'!G20</f>
        <v>165.6658288336433</v>
      </c>
      <c r="H63" s="4">
        <f>'Baseline System Analysis'!H20</f>
        <v>169.80747455448437</v>
      </c>
      <c r="I63" s="4">
        <f>'Baseline System Analysis'!I20</f>
        <v>174.05266141834647</v>
      </c>
      <c r="J63" s="4">
        <f>'Baseline System Analysis'!J20</f>
        <v>178.40397795380511</v>
      </c>
      <c r="K63" s="4">
        <f>'Baseline System Analysis'!K20</f>
        <v>182.86407740265022</v>
      </c>
      <c r="L63" s="4">
        <f>'Baseline System Analysis'!L20</f>
        <v>187.43567933771646</v>
      </c>
      <c r="M63" s="4">
        <f>'Baseline System Analysis'!M20</f>
        <v>192.12157132115937</v>
      </c>
      <c r="N63" s="4">
        <f>'Baseline System Analysis'!N20</f>
        <v>196.92461060418833</v>
      </c>
      <c r="O63" s="4">
        <f>'Baseline System Analysis'!O20</f>
        <v>201.84772586929301</v>
      </c>
      <c r="P63" s="4">
        <f>'Baseline System Analysis'!P20</f>
        <v>206.89391901602534</v>
      </c>
      <c r="Q63" s="4">
        <f>'Baseline System Analysis'!Q20</f>
        <v>212.06626699142595</v>
      </c>
      <c r="R63" s="4">
        <f>'Baseline System Analysis'!R20</f>
        <v>217.36792366621157</v>
      </c>
      <c r="S63" s="4">
        <f>'Baseline System Analysis'!S20</f>
        <v>222.80212175786684</v>
      </c>
      <c r="T63" s="4">
        <f>'Baseline System Analysis'!T20</f>
        <v>228.37217480181349</v>
      </c>
      <c r="U63" s="4">
        <f>'Baseline System Analysis'!U20</f>
        <v>234.0814791718588</v>
      </c>
      <c r="V63" s="4">
        <f>'Baseline System Analysis'!V20</f>
        <v>239.93351615115526</v>
      </c>
      <c r="W63" s="4">
        <f>'Baseline System Analysis'!W20</f>
        <v>245.93185405493412</v>
      </c>
      <c r="X63" s="4">
        <f>'Baseline System Analysis'!X20</f>
        <v>252.08015040630744</v>
      </c>
      <c r="Y63" s="4">
        <f>'Baseline System Analysis'!Y20</f>
        <v>258.38215416646511</v>
      </c>
      <c r="Z63" s="4">
        <f>'Baseline System Analysis'!Z20</f>
        <v>264.8417080206267</v>
      </c>
      <c r="AA63" s="4">
        <f>'Baseline System Analysis'!AA20</f>
        <v>271.46275072114236</v>
      </c>
      <c r="AB63" s="4">
        <f>'Baseline System Analysis'!AB20</f>
        <v>278.24931948917089</v>
      </c>
      <c r="AC63" s="4">
        <f>'Baseline System Analysis'!AC20</f>
        <v>285.20555247640016</v>
      </c>
      <c r="AD63" s="4">
        <f>'Baseline System Analysis'!AD20</f>
        <v>292.33569128831016</v>
      </c>
    </row>
    <row r="65" spans="1:30" x14ac:dyDescent="0.35">
      <c r="A65" s="72" t="s">
        <v>117</v>
      </c>
      <c r="B65" s="72" t="s">
        <v>31</v>
      </c>
      <c r="C65" s="18">
        <f>NPV('Cost Assumptions'!$B$3,D65:AD65)</f>
        <v>353448.19084770646</v>
      </c>
      <c r="D65" s="4">
        <f>'Baseline System Analysis'!D24-'Alberhill System Project'!D34</f>
        <v>1354.9655166582397</v>
      </c>
      <c r="E65" s="4">
        <f>'Baseline System Analysis'!E24-'Alberhill System Project'!E34</f>
        <v>3468.8297365152371</v>
      </c>
      <c r="F65" s="4">
        <f>'Baseline System Analysis'!F24-'Alberhill System Project'!F34</f>
        <v>5582.6939563722344</v>
      </c>
      <c r="G65" s="4">
        <f>'Baseline System Analysis'!G24-'Alberhill System Project'!G34</f>
        <v>7696.5581762292313</v>
      </c>
      <c r="H65" s="4">
        <f>'Baseline System Analysis'!H24-'Alberhill System Project'!H34</f>
        <v>9810.4223960862291</v>
      </c>
      <c r="I65" s="4">
        <f>'Baseline System Analysis'!I24-'Alberhill System Project'!I34</f>
        <v>11924.286615943227</v>
      </c>
      <c r="J65" s="4">
        <f>'Baseline System Analysis'!J24-'Alberhill System Project'!J34</f>
        <v>14038.150835800225</v>
      </c>
      <c r="K65" s="4">
        <f>'Baseline System Analysis'!K24-'Alberhill System Project'!K34</f>
        <v>12087.145216369783</v>
      </c>
      <c r="L65" s="4">
        <f>'Baseline System Analysis'!L24-'Alberhill System Project'!L34</f>
        <v>10461.587725478241</v>
      </c>
      <c r="M65" s="4">
        <f>'Baseline System Analysis'!M24-'Alberhill System Project'!M34</f>
        <v>8610.5229271837234</v>
      </c>
      <c r="N65" s="4">
        <f>'Baseline System Analysis'!N24-'Alberhill System Project'!N34</f>
        <v>12532.452943108336</v>
      </c>
      <c r="O65" s="4">
        <f>'Baseline System Analysis'!O24-'Alberhill System Project'!O34</f>
        <v>19218.807474313555</v>
      </c>
      <c r="P65" s="4">
        <f>'Baseline System Analysis'!P24-'Alberhill System Project'!P34</f>
        <v>25905.162005518774</v>
      </c>
      <c r="Q65" s="4">
        <f>'Baseline System Analysis'!Q24-'Alberhill System Project'!Q34</f>
        <v>32591.516536723993</v>
      </c>
      <c r="R65" s="4">
        <f>'Baseline System Analysis'!R24-'Alberhill System Project'!R34</f>
        <v>39277.871067929213</v>
      </c>
      <c r="S65" s="4">
        <f>'Baseline System Analysis'!S24-'Alberhill System Project'!S34</f>
        <v>45964.225599134428</v>
      </c>
      <c r="T65" s="4">
        <f>'Baseline System Analysis'!T24-'Alberhill System Project'!T34</f>
        <v>52650.580130339644</v>
      </c>
      <c r="U65" s="4">
        <f>'Baseline System Analysis'!U24-'Alberhill System Project'!U34</f>
        <v>81297.38310850531</v>
      </c>
      <c r="V65" s="4">
        <f>'Baseline System Analysis'!V24-'Alberhill System Project'!V34</f>
        <v>109944.18608667096</v>
      </c>
      <c r="W65" s="4">
        <f>'Baseline System Analysis'!W24-'Alberhill System Project'!W34</f>
        <v>138590.98906483661</v>
      </c>
      <c r="X65" s="4">
        <f>'Baseline System Analysis'!X24-'Alberhill System Project'!X34</f>
        <v>167237.79204300226</v>
      </c>
      <c r="Y65" s="4">
        <f>'Baseline System Analysis'!Y24-'Alberhill System Project'!Y34</f>
        <v>194401.73678274476</v>
      </c>
      <c r="Z65" s="4">
        <f>'Baseline System Analysis'!Z24-'Alberhill System Project'!Z34</f>
        <v>240130.92711799772</v>
      </c>
      <c r="AA65" s="4">
        <f>'Baseline System Analysis'!AA24-'Alberhill System Project'!AA34</f>
        <v>285860.11745325063</v>
      </c>
      <c r="AB65" s="4">
        <f>'Baseline System Analysis'!AB24-'Alberhill System Project'!AB34</f>
        <v>331589.30778850359</v>
      </c>
      <c r="AC65" s="4">
        <f>'Baseline System Analysis'!AC24-'Alberhill System Project'!AC34</f>
        <v>377318.49812375655</v>
      </c>
      <c r="AD65" s="4">
        <f>'Baseline System Analysis'!AD24-'Alberhill System Project'!AD34</f>
        <v>423047.68845900951</v>
      </c>
    </row>
    <row r="66" spans="1:30" x14ac:dyDescent="0.35">
      <c r="A66" s="72" t="s">
        <v>119</v>
      </c>
      <c r="B66" s="72" t="s">
        <v>31</v>
      </c>
      <c r="C66" s="18">
        <f>NPV('Cost Assumptions'!$B$3,D66:AD66)</f>
        <v>1466628.2591884756</v>
      </c>
      <c r="D66" s="4">
        <f>'Baseline System Analysis'!D25-'Alberhill System Project'!D35</f>
        <v>5622.4102100812415</v>
      </c>
      <c r="E66" s="4">
        <f>'Baseline System Analysis'!E25-'Alberhill System Project'!E35</f>
        <v>14393.85983468976</v>
      </c>
      <c r="F66" s="4">
        <f>'Baseline System Analysis'!F25-'Alberhill System Project'!F35</f>
        <v>23165.309459298278</v>
      </c>
      <c r="G66" s="4">
        <f>'Baseline System Analysis'!G25-'Alberhill System Project'!G35</f>
        <v>31936.759083906796</v>
      </c>
      <c r="H66" s="4">
        <f>'Baseline System Analysis'!H25-'Alberhill System Project'!H35</f>
        <v>40708.208708515318</v>
      </c>
      <c r="I66" s="4">
        <f>'Baseline System Analysis'!I25-'Alberhill System Project'!I35</f>
        <v>49479.658333123836</v>
      </c>
      <c r="J66" s="4">
        <f>'Baseline System Analysis'!J25-'Alberhill System Project'!J35</f>
        <v>58251.107957732347</v>
      </c>
      <c r="K66" s="4">
        <f>'Baseline System Analysis'!K25-'Alberhill System Project'!K35</f>
        <v>50155.437787715477</v>
      </c>
      <c r="L66" s="4">
        <f>'Baseline System Analysis'!L25-'Alberhill System Project'!L35</f>
        <v>43410.210015127152</v>
      </c>
      <c r="M66" s="4">
        <f>'Baseline System Analysis'!M25-'Alberhill System Project'!M35</f>
        <v>35729.242866146844</v>
      </c>
      <c r="N66" s="4">
        <f>'Baseline System Analysis'!N25-'Alberhill System Project'!N35</f>
        <v>52003.235889336414</v>
      </c>
      <c r="O66" s="4">
        <f>'Baseline System Analysis'!O25-'Alberhill System Project'!O35</f>
        <v>79748.169263868404</v>
      </c>
      <c r="P66" s="4">
        <f>'Baseline System Analysis'!P25-'Alberhill System Project'!P35</f>
        <v>107493.10263840039</v>
      </c>
      <c r="Q66" s="4">
        <f>'Baseline System Analysis'!Q25-'Alberhill System Project'!Q35</f>
        <v>135238.03601293237</v>
      </c>
      <c r="R66" s="4">
        <f>'Baseline System Analysis'!R25-'Alberhill System Project'!R35</f>
        <v>162982.96938746434</v>
      </c>
      <c r="S66" s="4">
        <f>'Baseline System Analysis'!S25-'Alberhill System Project'!S35</f>
        <v>190727.90276199632</v>
      </c>
      <c r="T66" s="4">
        <f>'Baseline System Analysis'!T25-'Alberhill System Project'!T35</f>
        <v>218472.83613652832</v>
      </c>
      <c r="U66" s="4">
        <f>'Baseline System Analysis'!U25-'Alberhill System Project'!U35</f>
        <v>337342.33913897944</v>
      </c>
      <c r="V66" s="4">
        <f>'Baseline System Analysis'!V25-'Alberhill System Project'!V35</f>
        <v>456211.84214143053</v>
      </c>
      <c r="W66" s="4">
        <f>'Baseline System Analysis'!W25-'Alberhill System Project'!W35</f>
        <v>575081.34514388163</v>
      </c>
      <c r="X66" s="4">
        <f>'Baseline System Analysis'!X25-'Alberhill System Project'!X35</f>
        <v>693950.84814633278</v>
      </c>
      <c r="Y66" s="4">
        <f>'Baseline System Analysis'!Y25-'Alberhill System Project'!Y35</f>
        <v>806667.2519021139</v>
      </c>
      <c r="Z66" s="4">
        <f>'Baseline System Analysis'!Z25-'Alberhill System Project'!Z35</f>
        <v>996419.87916733196</v>
      </c>
      <c r="AA66" s="4">
        <f>'Baseline System Analysis'!AA25-'Alberhill System Project'!AA35</f>
        <v>1186172.50643255</v>
      </c>
      <c r="AB66" s="4">
        <f>'Baseline System Analysis'!AB25-'Alberhill System Project'!AB35</f>
        <v>1375925.133697768</v>
      </c>
      <c r="AC66" s="4">
        <f>'Baseline System Analysis'!AC25-'Alberhill System Project'!AC35</f>
        <v>1565677.7609629859</v>
      </c>
      <c r="AD66" s="4">
        <f>'Baseline System Analysis'!AD25-'Alberhill System Project'!AD35</f>
        <v>1755430.3882282041</v>
      </c>
    </row>
    <row r="67" spans="1:30" x14ac:dyDescent="0.35">
      <c r="A67" s="72" t="s">
        <v>24</v>
      </c>
      <c r="B67" s="72" t="s">
        <v>31</v>
      </c>
      <c r="C67" s="18">
        <f>NPV('Cost Assumptions'!$B$3,D67:AD67)</f>
        <v>1820076.4500361823</v>
      </c>
      <c r="D67" s="4">
        <f>SUM(D65:D66)</f>
        <v>6977.3757267394813</v>
      </c>
      <c r="E67" s="4">
        <f t="shared" ref="E67:AD67" si="15">SUM(E65:E66)</f>
        <v>17862.689571204995</v>
      </c>
      <c r="F67" s="4">
        <f t="shared" si="15"/>
        <v>28748.003415670511</v>
      </c>
      <c r="G67" s="4">
        <f t="shared" si="15"/>
        <v>39633.317260136027</v>
      </c>
      <c r="H67" s="4">
        <f t="shared" si="15"/>
        <v>50518.631104601547</v>
      </c>
      <c r="I67" s="4">
        <f t="shared" si="15"/>
        <v>61403.944949067067</v>
      </c>
      <c r="J67" s="4">
        <f t="shared" si="15"/>
        <v>72289.258793532572</v>
      </c>
      <c r="K67" s="4">
        <f t="shared" si="15"/>
        <v>62242.58300408526</v>
      </c>
      <c r="L67" s="4">
        <f t="shared" si="15"/>
        <v>53871.797740605391</v>
      </c>
      <c r="M67" s="4">
        <f t="shared" si="15"/>
        <v>44339.765793330567</v>
      </c>
      <c r="N67" s="4">
        <f t="shared" si="15"/>
        <v>64535.68883244475</v>
      </c>
      <c r="O67" s="4">
        <f t="shared" si="15"/>
        <v>98966.976738181955</v>
      </c>
      <c r="P67" s="4">
        <f t="shared" si="15"/>
        <v>133398.26464391916</v>
      </c>
      <c r="Q67" s="4">
        <f t="shared" si="15"/>
        <v>167829.55254965636</v>
      </c>
      <c r="R67" s="4">
        <f t="shared" si="15"/>
        <v>202260.84045539354</v>
      </c>
      <c r="S67" s="4">
        <f t="shared" si="15"/>
        <v>236692.12836113074</v>
      </c>
      <c r="T67" s="4">
        <f t="shared" si="15"/>
        <v>271123.41626686795</v>
      </c>
      <c r="U67" s="4">
        <f t="shared" si="15"/>
        <v>418639.72224748472</v>
      </c>
      <c r="V67" s="4">
        <f t="shared" si="15"/>
        <v>566156.02822810155</v>
      </c>
      <c r="W67" s="4">
        <f t="shared" si="15"/>
        <v>713672.33420871827</v>
      </c>
      <c r="X67" s="4">
        <f t="shared" si="15"/>
        <v>861188.64018933498</v>
      </c>
      <c r="Y67" s="4">
        <f t="shared" si="15"/>
        <v>1001068.9886848587</v>
      </c>
      <c r="Z67" s="4">
        <f t="shared" si="15"/>
        <v>1236550.8062853296</v>
      </c>
      <c r="AA67" s="4">
        <f t="shared" si="15"/>
        <v>1472032.6238858006</v>
      </c>
      <c r="AB67" s="4">
        <f t="shared" si="15"/>
        <v>1707514.4414862716</v>
      </c>
      <c r="AC67" s="4">
        <f t="shared" si="15"/>
        <v>1942996.2590867425</v>
      </c>
      <c r="AD67" s="4">
        <f t="shared" si="15"/>
        <v>2178478.0766872135</v>
      </c>
    </row>
    <row r="68" spans="1:30" x14ac:dyDescent="0.35">
      <c r="A68" s="72"/>
      <c r="B68" s="72"/>
      <c r="C68" s="45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</row>
    <row r="69" spans="1:30" x14ac:dyDescent="0.35">
      <c r="A69" s="72" t="s">
        <v>120</v>
      </c>
      <c r="B69" s="72" t="s">
        <v>31</v>
      </c>
      <c r="C69" s="18">
        <f>NPV('Cost Assumptions'!$B$3,D69:AD69)</f>
        <v>24322736.867207415</v>
      </c>
      <c r="D69" s="4">
        <f>'Baseline System Analysis'!D28-'Alberhill System Project'!D32</f>
        <v>160311.2620318876</v>
      </c>
      <c r="E69" s="4">
        <f>'Baseline System Analysis'!E28-'Alberhill System Project'!E32</f>
        <v>426681.41358302307</v>
      </c>
      <c r="F69" s="4">
        <f>'Baseline System Analysis'!F28-'Alberhill System Project'!F32</f>
        <v>622797.58403751405</v>
      </c>
      <c r="G69" s="4">
        <f>'Baseline System Analysis'!G28-'Alberhill System Project'!G32</f>
        <v>833710.68965832237</v>
      </c>
      <c r="H69" s="4">
        <f>'Baseline System Analysis'!H28-'Alberhill System Project'!H32</f>
        <v>1064544.9637495263</v>
      </c>
      <c r="I69" s="4">
        <f>'Baseline System Analysis'!I28-'Alberhill System Project'!I32</f>
        <v>1155248.1483230039</v>
      </c>
      <c r="J69" s="4">
        <f>'Baseline System Analysis'!J28-'Alberhill System Project'!J32</f>
        <v>1567795.6535710837</v>
      </c>
      <c r="K69" s="4">
        <f>'Baseline System Analysis'!K28-'Alberhill System Project'!K32</f>
        <v>1347745.4554885479</v>
      </c>
      <c r="L69" s="4">
        <f>'Baseline System Analysis'!L28-'Alberhill System Project'!L32</f>
        <v>1143199.8672408643</v>
      </c>
      <c r="M69" s="4">
        <f>'Baseline System Analysis'!M28-'Alberhill System Project'!M32</f>
        <v>1340230.0479167867</v>
      </c>
      <c r="N69" s="4">
        <f>'Baseline System Analysis'!N28-'Alberhill System Project'!N32</f>
        <v>1211871.2277846751</v>
      </c>
      <c r="O69" s="4">
        <f>'Baseline System Analysis'!O28-'Alberhill System Project'!O32</f>
        <v>1844840.0090543826</v>
      </c>
      <c r="P69" s="4">
        <f>'Baseline System Analysis'!P28-'Alberhill System Project'!P32</f>
        <v>2356895.0256503327</v>
      </c>
      <c r="Q69" s="4">
        <f>'Baseline System Analysis'!Q28-'Alberhill System Project'!Q32</f>
        <v>2752240.7792296447</v>
      </c>
      <c r="R69" s="4">
        <f>'Baseline System Analysis'!R28-'Alberhill System Project'!R32</f>
        <v>3112959.3920374792</v>
      </c>
      <c r="S69" s="4">
        <f>'Baseline System Analysis'!S28-'Alberhill System Project'!S32</f>
        <v>3866030.048087935</v>
      </c>
      <c r="T69" s="4">
        <f>'Baseline System Analysis'!T28-'Alberhill System Project'!T32</f>
        <v>4800043.3764840001</v>
      </c>
      <c r="U69" s="4">
        <f>'Baseline System Analysis'!U28-'Alberhill System Project'!U32</f>
        <v>5605356.4974824116</v>
      </c>
      <c r="V69" s="4">
        <f>'Baseline System Analysis'!V28-'Alberhill System Project'!V32</f>
        <v>6874181.4866932966</v>
      </c>
      <c r="W69" s="4">
        <f>'Baseline System Analysis'!W28-'Alberhill System Project'!W32</f>
        <v>7999576.6636784412</v>
      </c>
      <c r="X69" s="4">
        <f>'Baseline System Analysis'!X28-'Alberhill System Project'!X32</f>
        <v>9754283.3840660583</v>
      </c>
      <c r="Y69" s="4">
        <f>'Baseline System Analysis'!Y28-'Alberhill System Project'!Y32</f>
        <v>11535617.976796627</v>
      </c>
      <c r="Z69" s="4">
        <f>'Baseline System Analysis'!Z28-'Alberhill System Project'!Z32</f>
        <v>13419029.134060645</v>
      </c>
      <c r="AA69" s="4">
        <f>'Baseline System Analysis'!AA28-'Alberhill System Project'!AA32</f>
        <v>15550241.498579893</v>
      </c>
      <c r="AB69" s="4">
        <f>'Baseline System Analysis'!AB28-'Alberhill System Project'!AB32</f>
        <v>17751814.256896835</v>
      </c>
      <c r="AC69" s="4">
        <f>'Baseline System Analysis'!AC28-'Alberhill System Project'!AC32</f>
        <v>19753092.153455924</v>
      </c>
      <c r="AD69" s="4">
        <f>'Baseline System Analysis'!AD28-'Alberhill System Project'!AD32</f>
        <v>21673528.399512697</v>
      </c>
    </row>
    <row r="70" spans="1:30" x14ac:dyDescent="0.35">
      <c r="A70" s="72" t="s">
        <v>121</v>
      </c>
      <c r="B70" s="72" t="s">
        <v>31</v>
      </c>
      <c r="C70" s="18">
        <f>NPV('Cost Assumptions'!$B$3,D70:AD70)</f>
        <v>111616614.01387709</v>
      </c>
      <c r="D70" s="4">
        <f>'Baseline System Analysis'!D29-'Alberhill System Project'!D33</f>
        <v>903346.68264248176</v>
      </c>
      <c r="E70" s="4">
        <f>'Baseline System Analysis'!E29-'Alberhill System Project'!E33</f>
        <v>2253380.2014470203</v>
      </c>
      <c r="F70" s="4">
        <f>'Baseline System Analysis'!F29-'Alberhill System Project'!F33</f>
        <v>3310518.2522157584</v>
      </c>
      <c r="G70" s="4">
        <f>'Baseline System Analysis'!G29-'Alberhill System Project'!G33</f>
        <v>4447479.3478986584</v>
      </c>
      <c r="H70" s="4">
        <f>'Baseline System Analysis'!H29-'Alberhill System Project'!H33</f>
        <v>5587189.795765399</v>
      </c>
      <c r="I70" s="4">
        <f>'Baseline System Analysis'!I29-'Alberhill System Project'!I33</f>
        <v>5454549.1605001325</v>
      </c>
      <c r="J70" s="4">
        <f>'Baseline System Analysis'!J29-'Alberhill System Project'!J33</f>
        <v>7543147.8061243081</v>
      </c>
      <c r="K70" s="4">
        <f>'Baseline System Analysis'!K29-'Alberhill System Project'!K33</f>
        <v>6412592.364404032</v>
      </c>
      <c r="L70" s="4">
        <f>'Baseline System Analysis'!L29-'Alberhill System Project'!L33</f>
        <v>5385232.8797742622</v>
      </c>
      <c r="M70" s="4">
        <f>'Baseline System Analysis'!M29-'Alberhill System Project'!M33</f>
        <v>6340117.1212563487</v>
      </c>
      <c r="N70" s="4">
        <f>'Baseline System Analysis'!N29-'Alberhill System Project'!N33</f>
        <v>6361112.9189538537</v>
      </c>
      <c r="O70" s="4">
        <f>'Baseline System Analysis'!O29-'Alberhill System Project'!O33</f>
        <v>8895771.1264487375</v>
      </c>
      <c r="P70" s="4">
        <f>'Baseline System Analysis'!P29-'Alberhill System Project'!P33</f>
        <v>11481103.835917845</v>
      </c>
      <c r="Q70" s="4">
        <f>'Baseline System Analysis'!Q29-'Alberhill System Project'!Q33</f>
        <v>12843987.910857875</v>
      </c>
      <c r="R70" s="4">
        <f>'Baseline System Analysis'!R29-'Alberhill System Project'!R33</f>
        <v>13698596.18827603</v>
      </c>
      <c r="S70" s="4">
        <f>'Baseline System Analysis'!S29-'Alberhill System Project'!S33</f>
        <v>17199347.660875205</v>
      </c>
      <c r="T70" s="4">
        <f>'Baseline System Analysis'!T29-'Alberhill System Project'!T33</f>
        <v>21372792.810114369</v>
      </c>
      <c r="U70" s="4">
        <f>'Baseline System Analysis'!U29-'Alberhill System Project'!U33</f>
        <v>24257449.061312743</v>
      </c>
      <c r="V70" s="4">
        <f>'Baseline System Analysis'!V29-'Alberhill System Project'!V33</f>
        <v>29703520.689742472</v>
      </c>
      <c r="W70" s="4">
        <f>'Baseline System Analysis'!W29-'Alberhill System Project'!W33</f>
        <v>34774447.076135397</v>
      </c>
      <c r="X70" s="4">
        <f>'Baseline System Analysis'!X29-'Alberhill System Project'!X33</f>
        <v>42273498.74532187</v>
      </c>
      <c r="Y70" s="4">
        <f>'Baseline System Analysis'!Y29-'Alberhill System Project'!Y33</f>
        <v>50410415.488010727</v>
      </c>
      <c r="Z70" s="4">
        <f>'Baseline System Analysis'!Z29-'Alberhill System Project'!Z33</f>
        <v>59093268.855131164</v>
      </c>
      <c r="AA70" s="4">
        <f>'Baseline System Analysis'!AA29-'Alberhill System Project'!AA33</f>
        <v>69213486.158677086</v>
      </c>
      <c r="AB70" s="4">
        <f>'Baseline System Analysis'!AB29-'Alberhill System Project'!AB33</f>
        <v>79553492.093079031</v>
      </c>
      <c r="AC70" s="4">
        <f>'Baseline System Analysis'!AC29-'Alberhill System Project'!AC33</f>
        <v>89158920.062468082</v>
      </c>
      <c r="AD70" s="4">
        <f>'Baseline System Analysis'!AD29-'Alberhill System Project'!AD33</f>
        <v>98364469.734937131</v>
      </c>
    </row>
    <row r="71" spans="1:30" x14ac:dyDescent="0.35">
      <c r="A71" s="72" t="s">
        <v>24</v>
      </c>
      <c r="B71" s="72" t="s">
        <v>31</v>
      </c>
      <c r="C71" s="18">
        <f>NPV('Cost Assumptions'!$B$3,D71:AD71)</f>
        <v>135939350.88108453</v>
      </c>
      <c r="D71" s="4">
        <f>SUM(D69:D70)</f>
        <v>1063657.9446743694</v>
      </c>
      <c r="E71" s="4">
        <f>SUM(E69:E70)</f>
        <v>2680061.6150300433</v>
      </c>
      <c r="F71" s="4">
        <f t="shared" ref="F71:AD71" si="16">SUM(F69:F70)</f>
        <v>3933315.8362532724</v>
      </c>
      <c r="G71" s="4">
        <f t="shared" si="16"/>
        <v>5281190.0375569807</v>
      </c>
      <c r="H71" s="4">
        <f t="shared" si="16"/>
        <v>6651734.7595149251</v>
      </c>
      <c r="I71" s="4">
        <f t="shared" si="16"/>
        <v>6609797.3088231366</v>
      </c>
      <c r="J71" s="4">
        <f t="shared" si="16"/>
        <v>9110943.4596953914</v>
      </c>
      <c r="K71" s="4">
        <f t="shared" si="16"/>
        <v>7760337.8198925797</v>
      </c>
      <c r="L71" s="4">
        <f t="shared" si="16"/>
        <v>6528432.747015126</v>
      </c>
      <c r="M71" s="4">
        <f t="shared" si="16"/>
        <v>7680347.1691731354</v>
      </c>
      <c r="N71" s="4">
        <f t="shared" si="16"/>
        <v>7572984.1467385292</v>
      </c>
      <c r="O71" s="4">
        <f t="shared" si="16"/>
        <v>10740611.135503121</v>
      </c>
      <c r="P71" s="4">
        <f t="shared" si="16"/>
        <v>13837998.861568179</v>
      </c>
      <c r="Q71" s="4">
        <f t="shared" si="16"/>
        <v>15596228.69008752</v>
      </c>
      <c r="R71" s="4">
        <f t="shared" si="16"/>
        <v>16811555.580313511</v>
      </c>
      <c r="S71" s="4">
        <f t="shared" si="16"/>
        <v>21065377.708963141</v>
      </c>
      <c r="T71" s="4">
        <f t="shared" si="16"/>
        <v>26172836.186598368</v>
      </c>
      <c r="U71" s="4">
        <f t="shared" si="16"/>
        <v>29862805.558795154</v>
      </c>
      <c r="V71" s="4">
        <f t="shared" si="16"/>
        <v>36577702.176435769</v>
      </c>
      <c r="W71" s="4">
        <f t="shared" si="16"/>
        <v>42774023.739813834</v>
      </c>
      <c r="X71" s="4">
        <f t="shared" si="16"/>
        <v>52027782.12938793</v>
      </c>
      <c r="Y71" s="4">
        <f t="shared" si="16"/>
        <v>61946033.464807354</v>
      </c>
      <c r="Z71" s="4">
        <f t="shared" si="16"/>
        <v>72512297.989191815</v>
      </c>
      <c r="AA71" s="4">
        <f t="shared" si="16"/>
        <v>84763727.657256976</v>
      </c>
      <c r="AB71" s="4">
        <f t="shared" si="16"/>
        <v>97305306.349975869</v>
      </c>
      <c r="AC71" s="4">
        <f t="shared" si="16"/>
        <v>108912012.21592401</v>
      </c>
      <c r="AD71" s="4">
        <f t="shared" si="16"/>
        <v>120037998.13444982</v>
      </c>
    </row>
    <row r="72" spans="1:30" x14ac:dyDescent="0.35">
      <c r="A72" s="72"/>
      <c r="B72" s="72"/>
      <c r="C72" s="45"/>
      <c r="D72" s="72"/>
      <c r="E72" s="72"/>
      <c r="F72" s="72"/>
      <c r="G72" s="72"/>
      <c r="H72" s="72"/>
      <c r="I72" s="72"/>
      <c r="J72" s="72"/>
      <c r="K72" s="72"/>
      <c r="L72" s="72"/>
      <c r="M72" s="72"/>
      <c r="N72" s="72"/>
      <c r="O72" s="72"/>
      <c r="P72" s="72"/>
      <c r="Q72" s="72"/>
      <c r="R72" s="72"/>
      <c r="S72" s="72"/>
      <c r="T72" s="72"/>
      <c r="U72" s="72"/>
      <c r="V72" s="72"/>
      <c r="W72" s="72"/>
      <c r="X72" s="72"/>
      <c r="Y72" s="72"/>
      <c r="Z72" s="72"/>
      <c r="AA72" s="72"/>
      <c r="AB72" s="72"/>
      <c r="AC72" s="72"/>
      <c r="AD72" s="72"/>
    </row>
    <row r="73" spans="1:30" x14ac:dyDescent="0.35">
      <c r="A73" s="72" t="s">
        <v>117</v>
      </c>
      <c r="B73" s="72" t="s">
        <v>144</v>
      </c>
      <c r="C73" s="18">
        <f>NPV('Cost Assumptions'!$B$3,D73:AD73)</f>
        <v>712935284.09782958</v>
      </c>
      <c r="D73" s="53">
        <f>ABS((D49*D60*1000*'Cost Assumptions'!$B$6)/'Cost Assumptions'!$B$14)</f>
        <v>22022883.738170404</v>
      </c>
      <c r="E73" s="53">
        <f>ABS((E49*E60*1000*'Cost Assumptions'!$B$6)/'Cost Assumptions'!$B$14)</f>
        <v>30015837.814975295</v>
      </c>
      <c r="F73" s="53">
        <f>ABS((F49*F60*1000*'Cost Assumptions'!$B$6)/'Cost Assumptions'!$B$14)</f>
        <v>38394675.293284059</v>
      </c>
      <c r="G73" s="53">
        <f>ABS((G49*G60*1000*'Cost Assumptions'!$B$6)/'Cost Assumptions'!$B$14)</f>
        <v>47173694.746873915</v>
      </c>
      <c r="H73" s="53">
        <f>ABS((H49*H60*1000*'Cost Assumptions'!$B$6)/'Cost Assumptions'!$B$14)</f>
        <v>56367668.501084946</v>
      </c>
      <c r="I73" s="53">
        <f>ABS((I49*I60*1000*'Cost Assumptions'!$B$6)/'Cost Assumptions'!$B$14)</f>
        <v>65991857.383789733</v>
      </c>
      <c r="J73" s="53">
        <f>ABS((J49*J60*1000*'Cost Assumptions'!$B$6)/'Cost Assumptions'!$B$14)</f>
        <v>76062025.917816579</v>
      </c>
      <c r="K73" s="53">
        <f>ABS((K49*K60*1000*'Cost Assumptions'!$B$6)/'Cost Assumptions'!$B$14)</f>
        <v>75086616.098456025</v>
      </c>
      <c r="L73" s="53">
        <f>ABS((L49*L60*1000*'Cost Assumptions'!$B$6)/'Cost Assumptions'!$B$14)</f>
        <v>74014897.021928787</v>
      </c>
      <c r="M73" s="53">
        <f>ABS((M49*M60*1000*'Cost Assumptions'!$B$6)/'Cost Assumptions'!$B$14)</f>
        <v>68308752.970068678</v>
      </c>
      <c r="N73" s="53">
        <f>ABS((N49*N60*1000*'Cost Assumptions'!$B$6)/'Cost Assumptions'!$B$14)</f>
        <v>74663729.427926496</v>
      </c>
      <c r="O73" s="53">
        <f>ABS((O49*O60*1000*'Cost Assumptions'!$B$6)/'Cost Assumptions'!$B$14)</f>
        <v>89742796.993682802</v>
      </c>
      <c r="P73" s="53">
        <f>ABS((P49*P60*1000*'Cost Assumptions'!$B$6)/'Cost Assumptions'!$B$14)</f>
        <v>96979854.661049411</v>
      </c>
      <c r="Q73" s="53">
        <f>ABS((Q49*Q60*1000*'Cost Assumptions'!$B$6)/'Cost Assumptions'!$B$14)</f>
        <v>104522675.96366331</v>
      </c>
      <c r="R73" s="53">
        <f>ABS((R49*R60*1000*'Cost Assumptions'!$B$6)/'Cost Assumptions'!$B$14)</f>
        <v>112382025.92224473</v>
      </c>
      <c r="S73" s="53">
        <f>ABS((S49*S60*1000*'Cost Assumptions'!$B$6)/'Cost Assumptions'!$B$14)</f>
        <v>120569016.70627795</v>
      </c>
      <c r="T73" s="53">
        <f>ABS((T49*T60*1000*'Cost Assumptions'!$B$6)/'Cost Assumptions'!$B$14)</f>
        <v>129095118.26331142</v>
      </c>
      <c r="U73" s="53">
        <f>ABS((U49*U60*1000*'Cost Assumptions'!$B$6)/'Cost Assumptions'!$B$14)</f>
        <v>137972169.26275513</v>
      </c>
      <c r="V73" s="53">
        <f>ABS((V49*V60*1000*'Cost Assumptions'!$B$6)/'Cost Assumptions'!$B$14)</f>
        <v>147212388.36325648</v>
      </c>
      <c r="W73" s="53">
        <f>ABS((W49*W60*1000*'Cost Assumptions'!$B$6)/'Cost Assumptions'!$B$14)</f>
        <v>156828385.81299365</v>
      </c>
      <c r="X73" s="53">
        <f>ABS((X49*X60*1000*'Cost Assumptions'!$B$6)/'Cost Assumptions'!$B$14)</f>
        <v>166833175.39249066</v>
      </c>
      <c r="Y73" s="53">
        <f>ABS((Y49*Y60*1000*'Cost Assumptions'!$B$6)/'Cost Assumptions'!$B$14)</f>
        <v>177240186.70982936</v>
      </c>
      <c r="Z73" s="53">
        <f>ABS((Z49*Z60*1000*'Cost Assumptions'!$B$6)/'Cost Assumptions'!$B$14)</f>
        <v>188063277.85841471</v>
      </c>
      <c r="AA73" s="53">
        <f>ABS((AA49*AA60*1000*'Cost Assumptions'!$B$6)/'Cost Assumptions'!$B$14)</f>
        <v>199316748.44773573</v>
      </c>
      <c r="AB73" s="53">
        <f>ABS((AB49*AB60*1000*'Cost Assumptions'!$B$6)/'Cost Assumptions'!$B$14)</f>
        <v>211015353.01786122</v>
      </c>
      <c r="AC73" s="53">
        <f>ABS((AC49*AC60*1000*'Cost Assumptions'!$B$6)/'Cost Assumptions'!$B$14)</f>
        <v>223174314.84871322</v>
      </c>
      <c r="AD73" s="53">
        <f>ABS((AD49*AD60*1000*'Cost Assumptions'!$B$6)/'Cost Assumptions'!$B$14)</f>
        <v>235809340.1754716</v>
      </c>
    </row>
    <row r="74" spans="1:30" x14ac:dyDescent="0.35">
      <c r="A74" s="72" t="s">
        <v>119</v>
      </c>
      <c r="B74" s="72" t="s">
        <v>144</v>
      </c>
      <c r="C74" s="18">
        <f>NPV('Cost Assumptions'!$B$3,D74:AD74)</f>
        <v>2937031377.0892601</v>
      </c>
      <c r="D74" s="53">
        <f>ABS((D49*D62*1000*'Cost Assumptions'!$B$7)/'Cost Assumptions'!$B$14)</f>
        <v>90726187.910373613</v>
      </c>
      <c r="E74" s="53">
        <f>ABS((E49*E62*1000*'Cost Assumptions'!$B$7)/'Cost Assumptions'!$B$14)</f>
        <v>123654221.41192231</v>
      </c>
      <c r="F74" s="53">
        <f>ABS((F49*F62*1000*'Cost Assumptions'!$B$7)/'Cost Assumptions'!$B$14)</f>
        <v>158171952.72110444</v>
      </c>
      <c r="G74" s="53">
        <f>ABS((G49*G62*1000*'Cost Assumptions'!$B$7)/'Cost Assumptions'!$B$14)</f>
        <v>194338286.70736322</v>
      </c>
      <c r="H74" s="53">
        <f>ABS((H49*H62*1000*'Cost Assumptions'!$B$7)/'Cost Assumptions'!$B$14)</f>
        <v>232214079.92248425</v>
      </c>
      <c r="I74" s="53">
        <f>ABS((I49*I62*1000*'Cost Assumptions'!$B$7)/'Cost Assumptions'!$B$14)</f>
        <v>271862201.36916924</v>
      </c>
      <c r="J74" s="53">
        <f>ABS((J49*J62*1000*'Cost Assumptions'!$B$7)/'Cost Assumptions'!$B$14)</f>
        <v>313347595.08823681</v>
      </c>
      <c r="K74" s="53">
        <f>ABS((K49*K62*1000*'Cost Assumptions'!$B$7)/'Cost Assumptions'!$B$14)</f>
        <v>309329265.08145618</v>
      </c>
      <c r="L74" s="53">
        <f>ABS((L49*L62*1000*'Cost Assumptions'!$B$7)/'Cost Assumptions'!$B$14)</f>
        <v>304914176.32740641</v>
      </c>
      <c r="M74" s="53">
        <f>ABS((M49*M62*1000*'Cost Assumptions'!$B$7)/'Cost Assumptions'!$B$14)</f>
        <v>281406959.75905842</v>
      </c>
      <c r="N74" s="53">
        <f>ABS((N49*N62*1000*'Cost Assumptions'!$B$7)/'Cost Assumptions'!$B$14)</f>
        <v>307587127.40360278</v>
      </c>
      <c r="O74" s="53">
        <f>ABS((O49*O62*1000*'Cost Assumptions'!$B$7)/'Cost Assumptions'!$B$14)</f>
        <v>369707344.43552911</v>
      </c>
      <c r="P74" s="53">
        <f>ABS((P49*P62*1000*'Cost Assumptions'!$B$7)/'Cost Assumptions'!$B$14)</f>
        <v>399521362.51117742</v>
      </c>
      <c r="Q74" s="53">
        <f>ABS((Q49*Q62*1000*'Cost Assumptions'!$B$7)/'Cost Assumptions'!$B$14)</f>
        <v>430595014.40033591</v>
      </c>
      <c r="R74" s="53">
        <f>ABS((R49*R62*1000*'Cost Assumptions'!$B$7)/'Cost Assumptions'!$B$14)</f>
        <v>462972648.03238285</v>
      </c>
      <c r="S74" s="53">
        <f>ABS((S49*S62*1000*'Cost Assumptions'!$B$7)/'Cost Assumptions'!$B$14)</f>
        <v>496700041.46203202</v>
      </c>
      <c r="T74" s="53">
        <f>ABS((T49*T62*1000*'Cost Assumptions'!$B$7)/'Cost Assumptions'!$B$14)</f>
        <v>531824446.65814328</v>
      </c>
      <c r="U74" s="53">
        <f>ABS((U49*U62*1000*'Cost Assumptions'!$B$7)/'Cost Assumptions'!$B$14)</f>
        <v>568394634.58814633</v>
      </c>
      <c r="V74" s="53">
        <f>ABS((V49*V62*1000*'Cost Assumptions'!$B$7)/'Cost Assumptions'!$B$14)</f>
        <v>606460941.63548827</v>
      </c>
      <c r="W74" s="53">
        <f>ABS((W49*W62*1000*'Cost Assumptions'!$B$7)/'Cost Assumptions'!$B$14)</f>
        <v>646075317.38857985</v>
      </c>
      <c r="X74" s="53">
        <f>ABS((X49*X62*1000*'Cost Assumptions'!$B$7)/'Cost Assumptions'!$B$14)</f>
        <v>687291373.8408035</v>
      </c>
      <c r="Y74" s="53">
        <f>ABS((Y49*Y62*1000*'Cost Assumptions'!$B$7)/'Cost Assumptions'!$B$14)</f>
        <v>730164436.04227066</v>
      </c>
      <c r="Z74" s="53">
        <f>ABS((Z49*Z62*1000*'Cost Assumptions'!$B$7)/'Cost Assumptions'!$B$14)</f>
        <v>774751594.24516058</v>
      </c>
      <c r="AA74" s="53">
        <f>ABS((AA49*AA62*1000*'Cost Assumptions'!$B$7)/'Cost Assumptions'!$B$14)</f>
        <v>821111757.58566856</v>
      </c>
      <c r="AB74" s="53">
        <f>ABS((AB49*AB62*1000*'Cost Assumptions'!$B$7)/'Cost Assumptions'!$B$14)</f>
        <v>869305709.3467989</v>
      </c>
      <c r="AC74" s="53">
        <f>ABS((AC49*AC62*1000*'Cost Assumptions'!$B$7)/'Cost Assumptions'!$B$14)</f>
        <v>919396163.84749448</v>
      </c>
      <c r="AD74" s="53">
        <f>ABS((AD49*AD62*1000*'Cost Assumptions'!$B$7)/'Cost Assumptions'!$B$14)</f>
        <v>971447825.00488293</v>
      </c>
    </row>
    <row r="75" spans="1:30" x14ac:dyDescent="0.35">
      <c r="A75" s="72" t="s">
        <v>24</v>
      </c>
      <c r="B75" s="72" t="s">
        <v>144</v>
      </c>
      <c r="C75" s="18">
        <f>NPV('Cost Assumptions'!$B$3,D75:AD75)</f>
        <v>3649966661.1870899</v>
      </c>
      <c r="D75" s="53">
        <f>SUM(D73:D74)</f>
        <v>112749071.64854401</v>
      </c>
      <c r="E75" s="53">
        <f t="shared" ref="E75:AD75" si="17">SUM(E73:E74)</f>
        <v>153670059.2268976</v>
      </c>
      <c r="F75" s="53">
        <f t="shared" si="17"/>
        <v>196566628.0143885</v>
      </c>
      <c r="G75" s="53">
        <f t="shared" si="17"/>
        <v>241511981.45423713</v>
      </c>
      <c r="H75" s="53">
        <f t="shared" si="17"/>
        <v>288581748.4235692</v>
      </c>
      <c r="I75" s="53">
        <f t="shared" si="17"/>
        <v>337854058.75295895</v>
      </c>
      <c r="J75" s="53">
        <f t="shared" si="17"/>
        <v>389409621.00605339</v>
      </c>
      <c r="K75" s="53">
        <f t="shared" si="17"/>
        <v>384415881.17991221</v>
      </c>
      <c r="L75" s="53">
        <f t="shared" si="17"/>
        <v>378929073.34933519</v>
      </c>
      <c r="M75" s="53">
        <f t="shared" si="17"/>
        <v>349715712.72912711</v>
      </c>
      <c r="N75" s="53">
        <f t="shared" si="17"/>
        <v>382250856.83152926</v>
      </c>
      <c r="O75" s="53">
        <f t="shared" si="17"/>
        <v>459450141.42921191</v>
      </c>
      <c r="P75" s="53">
        <f t="shared" si="17"/>
        <v>496501217.17222685</v>
      </c>
      <c r="Q75" s="53">
        <f t="shared" si="17"/>
        <v>535117690.36399925</v>
      </c>
      <c r="R75" s="53">
        <f t="shared" si="17"/>
        <v>575354673.95462751</v>
      </c>
      <c r="S75" s="53">
        <f t="shared" si="17"/>
        <v>617269058.16830993</v>
      </c>
      <c r="T75" s="53">
        <f t="shared" si="17"/>
        <v>660919564.92145467</v>
      </c>
      <c r="U75" s="53">
        <f t="shared" si="17"/>
        <v>706366803.85090148</v>
      </c>
      <c r="V75" s="53">
        <f t="shared" si="17"/>
        <v>753673329.99874473</v>
      </c>
      <c r="W75" s="53">
        <f t="shared" si="17"/>
        <v>802903703.20157349</v>
      </c>
      <c r="X75" s="53">
        <f t="shared" si="17"/>
        <v>854124549.23329413</v>
      </c>
      <c r="Y75" s="53">
        <f t="shared" si="17"/>
        <v>907404622.75209999</v>
      </c>
      <c r="Z75" s="53">
        <f t="shared" si="17"/>
        <v>962814872.10357523</v>
      </c>
      <c r="AA75" s="53">
        <f t="shared" si="17"/>
        <v>1020428506.0334044</v>
      </c>
      <c r="AB75" s="53">
        <f t="shared" si="17"/>
        <v>1080321062.36466</v>
      </c>
      <c r="AC75" s="53">
        <f t="shared" si="17"/>
        <v>1142570478.6962078</v>
      </c>
      <c r="AD75" s="53">
        <f t="shared" si="17"/>
        <v>1207257165.1803546</v>
      </c>
    </row>
    <row r="76" spans="1:30" x14ac:dyDescent="0.35">
      <c r="A76" s="72"/>
      <c r="B76" s="72"/>
      <c r="C76" s="18"/>
      <c r="D76" s="53"/>
      <c r="E76" s="53"/>
      <c r="F76" s="53"/>
      <c r="G76" s="53"/>
      <c r="H76" s="53"/>
      <c r="I76" s="53"/>
      <c r="J76" s="53"/>
      <c r="K76" s="53"/>
      <c r="L76" s="53"/>
      <c r="M76" s="53"/>
      <c r="N76" s="53"/>
      <c r="O76" s="53"/>
      <c r="P76" s="53"/>
      <c r="Q76" s="53"/>
      <c r="R76" s="53"/>
      <c r="S76" s="53"/>
      <c r="T76" s="53"/>
      <c r="U76" s="53"/>
      <c r="V76" s="53"/>
      <c r="W76" s="53"/>
      <c r="X76" s="53"/>
      <c r="Y76" s="53"/>
      <c r="Z76" s="53"/>
      <c r="AA76" s="53"/>
      <c r="AB76" s="53"/>
      <c r="AC76" s="53"/>
      <c r="AD76" s="53"/>
    </row>
    <row r="77" spans="1:30" x14ac:dyDescent="0.35">
      <c r="A77" s="72" t="s">
        <v>117</v>
      </c>
      <c r="B77" s="72" t="s">
        <v>145</v>
      </c>
      <c r="C77" s="18">
        <f>NPV('Cost Assumptions'!$B$3,D77:AD77)</f>
        <v>74554084.472249746</v>
      </c>
      <c r="D77" s="53">
        <f>ABS(D50)*D61*1000*'Cost Assumptions'!$B$6*'Cost Assumptions'!$B$13</f>
        <v>6315551.2422672501</v>
      </c>
      <c r="E77" s="53">
        <f>ABS(E50)*E61*1000*'Cost Assumptions'!$B$6*'Cost Assumptions'!$B$13</f>
        <v>6538113.1445174646</v>
      </c>
      <c r="F77" s="53">
        <f>ABS(F50)*F61*1000*'Cost Assumptions'!$B$6*'Cost Assumptions'!$B$13</f>
        <v>6732882.4445984727</v>
      </c>
      <c r="G77" s="53">
        <f>ABS(G50)*G61*1000*'Cost Assumptions'!$B$6*'Cost Assumptions'!$B$13</f>
        <v>6934018.0868088948</v>
      </c>
      <c r="H77" s="53">
        <f>ABS(H50)*H61*1000*'Cost Assumptions'!$B$6*'Cost Assumptions'!$B$13</f>
        <v>7142454.5839211205</v>
      </c>
      <c r="I77" s="53">
        <f>ABS(I50)*I61*1000*'Cost Assumptions'!$B$6*'Cost Assumptions'!$B$13</f>
        <v>7362089.6442773724</v>
      </c>
      <c r="J77" s="53">
        <f>ABS(J50)*J61*1000*'Cost Assumptions'!$B$6*'Cost Assumptions'!$B$13</f>
        <v>7588058.3319921102</v>
      </c>
      <c r="K77" s="53">
        <f>ABS(K50)*K61*1000*'Cost Assumptions'!$B$6*'Cost Assumptions'!$B$13</f>
        <v>7749442.3391576307</v>
      </c>
      <c r="L77" s="53">
        <f>ABS(L50)*L61*1000*'Cost Assumptions'!$B$6*'Cost Assumptions'!$B$13</f>
        <v>7914107.3256529933</v>
      </c>
      <c r="M77" s="53">
        <f>ABS(M50)*M61*1000*'Cost Assumptions'!$B$6*'Cost Assumptions'!$B$13</f>
        <v>8082051.0941444151</v>
      </c>
      <c r="N77" s="53">
        <f>ABS(N50)*N61*1000*'Cost Assumptions'!$B$6*'Cost Assumptions'!$B$13</f>
        <v>8333161.1903325897</v>
      </c>
      <c r="O77" s="53">
        <f>ABS(O50)*O61*1000*'Cost Assumptions'!$B$6*'Cost Assumptions'!$B$13</f>
        <v>8592945.509004347</v>
      </c>
      <c r="P77" s="53">
        <f>ABS(P50)*P61*1000*'Cost Assumptions'!$B$6*'Cost Assumptions'!$B$13</f>
        <v>8861826.4508670717</v>
      </c>
      <c r="Q77" s="53">
        <f>ABS(Q50)*Q61*1000*'Cost Assumptions'!$B$6*'Cost Assumptions'!$B$13</f>
        <v>9136999.5909696072</v>
      </c>
      <c r="R77" s="53">
        <f>ABS(R50)*R61*1000*'Cost Assumptions'!$B$6*'Cost Assumptions'!$B$13</f>
        <v>9421330.745980436</v>
      </c>
      <c r="S77" s="53">
        <f>ABS(S50)*S61*1000*'Cost Assumptions'!$B$6*'Cost Assumptions'!$B$13</f>
        <v>9715052.222043341</v>
      </c>
      <c r="T77" s="53">
        <f>ABS(T50)*T61*1000*'Cost Assumptions'!$B$6*'Cost Assumptions'!$B$13</f>
        <v>10018693.119635506</v>
      </c>
      <c r="U77" s="53">
        <f>ABS(U50)*U61*1000*'Cost Assumptions'!$B$6*'Cost Assumptions'!$B$13</f>
        <v>10325412.939729039</v>
      </c>
      <c r="V77" s="53">
        <f>ABS(V50)*V61*1000*'Cost Assumptions'!$B$6*'Cost Assumptions'!$B$13</f>
        <v>10641080.555808298</v>
      </c>
      <c r="W77" s="53">
        <f>ABS(W50)*W61*1000*'Cost Assumptions'!$B$6*'Cost Assumptions'!$B$13</f>
        <v>10965880.934993342</v>
      </c>
      <c r="X77" s="53">
        <f>ABS(X50)*X61*1000*'Cost Assumptions'!$B$6*'Cost Assumptions'!$B$13</f>
        <v>11300511.830449956</v>
      </c>
      <c r="Y77" s="53">
        <f>ABS(Y50)*Y61*1000*'Cost Assumptions'!$B$6*'Cost Assumptions'!$B$13</f>
        <v>11634607.862750446</v>
      </c>
      <c r="Z77" s="53">
        <f>ABS(Z50)*Z61*1000*'Cost Assumptions'!$B$6*'Cost Assumptions'!$B$13</f>
        <v>11976896.850925481</v>
      </c>
      <c r="AA77" s="53">
        <f>ABS(AA50)*AA61*1000*'Cost Assumptions'!$B$6*'Cost Assumptions'!$B$13</f>
        <v>12326878.843022712</v>
      </c>
      <c r="AB77" s="53">
        <f>ABS(AB50)*AB61*1000*'Cost Assumptions'!$B$6*'Cost Assumptions'!$B$13</f>
        <v>12685260.752954498</v>
      </c>
      <c r="AC77" s="53">
        <f>ABS(AC50)*AC61*1000*'Cost Assumptions'!$B$6*'Cost Assumptions'!$B$13</f>
        <v>13038949.951772645</v>
      </c>
      <c r="AD77" s="53">
        <f>ABS(AD50)*AD61*1000*'Cost Assumptions'!$B$6*'Cost Assumptions'!$B$13</f>
        <v>13398284.303523974</v>
      </c>
    </row>
    <row r="78" spans="1:30" x14ac:dyDescent="0.35">
      <c r="A78" s="72" t="s">
        <v>119</v>
      </c>
      <c r="B78" s="72" t="s">
        <v>145</v>
      </c>
      <c r="C78" s="18">
        <f>NPV('Cost Assumptions'!$B$3,D78:AD78)</f>
        <v>336063864.5801239</v>
      </c>
      <c r="D78" s="53">
        <f>ABS(D50)*D63*1000*'Cost Assumptions'!$B$7*'Cost Assumptions'!$B$13</f>
        <v>28468306.900343433</v>
      </c>
      <c r="E78" s="53">
        <f>ABS(E50)*E63*1000*'Cost Assumptions'!$B$7*'Cost Assumptions'!$B$13</f>
        <v>29471538.49399744</v>
      </c>
      <c r="F78" s="53">
        <f>ABS(F50)*F63*1000*'Cost Assumptions'!$B$7*'Cost Assumptions'!$B$13</f>
        <v>30349490.710165452</v>
      </c>
      <c r="G78" s="53">
        <f>ABS(G50)*G63*1000*'Cost Assumptions'!$B$7*'Cost Assumptions'!$B$13</f>
        <v>31256140.180875536</v>
      </c>
      <c r="H78" s="53">
        <f>ABS(H50)*H63*1000*'Cost Assumptions'!$B$7*'Cost Assumptions'!$B$13</f>
        <v>32195699.364452533</v>
      </c>
      <c r="I78" s="53">
        <f>ABS(I50)*I63*1000*'Cost Assumptions'!$B$7*'Cost Assumptions'!$B$13</f>
        <v>33185737.773523003</v>
      </c>
      <c r="J78" s="53">
        <f>ABS(J50)*J63*1000*'Cost Assumptions'!$B$7*'Cost Assumptions'!$B$13</f>
        <v>34204325.970334403</v>
      </c>
      <c r="K78" s="53">
        <f>ABS(K50)*K63*1000*'Cost Assumptions'!$B$7*'Cost Assumptions'!$B$13</f>
        <v>34931788.90564359</v>
      </c>
      <c r="L78" s="53">
        <f>ABS(L50)*L63*1000*'Cost Assumptions'!$B$7*'Cost Assumptions'!$B$13</f>
        <v>35674041.353841297</v>
      </c>
      <c r="M78" s="53">
        <f>ABS(M50)*M63*1000*'Cost Assumptions'!$B$7*'Cost Assumptions'!$B$13</f>
        <v>36431073.410111591</v>
      </c>
      <c r="N78" s="53">
        <f>ABS(N50)*N63*1000*'Cost Assumptions'!$B$7*'Cost Assumptions'!$B$13</f>
        <v>37562990.325964741</v>
      </c>
      <c r="O78" s="53">
        <f>ABS(O50)*O63*1000*'Cost Assumptions'!$B$7*'Cost Assumptions'!$B$13</f>
        <v>38734007.617748946</v>
      </c>
      <c r="P78" s="53">
        <f>ABS(P50)*P63*1000*'Cost Assumptions'!$B$7*'Cost Assumptions'!$B$13</f>
        <v>39946029.320838407</v>
      </c>
      <c r="Q78" s="53">
        <f>ABS(Q50)*Q63*1000*'Cost Assumptions'!$B$7*'Cost Assumptions'!$B$13</f>
        <v>41186414.063621037</v>
      </c>
      <c r="R78" s="53">
        <f>ABS(R50)*R63*1000*'Cost Assumptions'!$B$7*'Cost Assumptions'!$B$13</f>
        <v>42468079.950203478</v>
      </c>
      <c r="S78" s="53">
        <f>ABS(S50)*S63*1000*'Cost Assumptions'!$B$7*'Cost Assumptions'!$B$13</f>
        <v>43792074.1358288</v>
      </c>
      <c r="T78" s="53">
        <f>ABS(T50)*T63*1000*'Cost Assumptions'!$B$7*'Cost Assumptions'!$B$13</f>
        <v>45160781.621297054</v>
      </c>
      <c r="U78" s="53">
        <f>ABS(U50)*U63*1000*'Cost Assumptions'!$B$7*'Cost Assumptions'!$B$13</f>
        <v>46543367.817796066</v>
      </c>
      <c r="V78" s="53">
        <f>ABS(V50)*V63*1000*'Cost Assumptions'!$B$7*'Cost Assumptions'!$B$13</f>
        <v>47966287.564357743</v>
      </c>
      <c r="W78" s="53">
        <f>ABS(W50)*W63*1000*'Cost Assumptions'!$B$7*'Cost Assumptions'!$B$13</f>
        <v>49430374.628382303</v>
      </c>
      <c r="X78" s="53">
        <f>ABS(X50)*X63*1000*'Cost Assumptions'!$B$7*'Cost Assumptions'!$B$13</f>
        <v>50938774.238291204</v>
      </c>
      <c r="Y78" s="53">
        <f>ABS(Y50)*Y63*1000*'Cost Assumptions'!$B$7*'Cost Assumptions'!$B$13</f>
        <v>52444762.87124908</v>
      </c>
      <c r="Z78" s="53">
        <f>ABS(Z50)*Z63*1000*'Cost Assumptions'!$B$7*'Cost Assumptions'!$B$13</f>
        <v>53987682.49776718</v>
      </c>
      <c r="AA78" s="53">
        <f>ABS(AA50)*AA63*1000*'Cost Assumptions'!$B$7*'Cost Assumptions'!$B$13</f>
        <v>55565279.508450396</v>
      </c>
      <c r="AB78" s="53">
        <f>ABS(AB50)*AB63*1000*'Cost Assumptions'!$B$7*'Cost Assumptions'!$B$13</f>
        <v>57180740.425177373</v>
      </c>
      <c r="AC78" s="53">
        <f>ABS(AC50)*AC63*1000*'Cost Assumptions'!$B$7*'Cost Assumptions'!$B$13</f>
        <v>58775048.233481526</v>
      </c>
      <c r="AD78" s="53">
        <f>ABS(AD50)*AD63*1000*'Cost Assumptions'!$B$7*'Cost Assumptions'!$B$13</f>
        <v>60394802.42643784</v>
      </c>
    </row>
    <row r="79" spans="1:30" ht="47.5" customHeight="1" x14ac:dyDescent="0.35">
      <c r="A79" s="3" t="s">
        <v>146</v>
      </c>
      <c r="B79" s="72" t="s">
        <v>145</v>
      </c>
      <c r="C79" s="18">
        <f>NPV('Cost Assumptions'!$B$3,D79:AD79)</f>
        <v>410617949.05237371</v>
      </c>
      <c r="D79" s="53">
        <f>SUM(D77:D78)</f>
        <v>34783858.142610684</v>
      </c>
      <c r="E79" s="53">
        <f t="shared" ref="E79:AD79" si="18">SUM(E77:E78)</f>
        <v>36009651.638514906</v>
      </c>
      <c r="F79" s="53">
        <f t="shared" si="18"/>
        <v>37082373.154763922</v>
      </c>
      <c r="G79" s="53">
        <f t="shared" si="18"/>
        <v>38190158.26768443</v>
      </c>
      <c r="H79" s="53">
        <f t="shared" si="18"/>
        <v>39338153.948373653</v>
      </c>
      <c r="I79" s="53">
        <f t="shared" si="18"/>
        <v>40547827.417800374</v>
      </c>
      <c r="J79" s="53">
        <f t="shared" si="18"/>
        <v>41792384.302326515</v>
      </c>
      <c r="K79" s="53">
        <f t="shared" si="18"/>
        <v>42681231.244801223</v>
      </c>
      <c r="L79" s="53">
        <f t="shared" si="18"/>
        <v>43588148.679494292</v>
      </c>
      <c r="M79" s="53">
        <f t="shared" si="18"/>
        <v>44513124.50425601</v>
      </c>
      <c r="N79" s="53">
        <f t="shared" si="18"/>
        <v>45896151.516297333</v>
      </c>
      <c r="O79" s="53">
        <f t="shared" si="18"/>
        <v>47326953.126753293</v>
      </c>
      <c r="P79" s="53">
        <f t="shared" si="18"/>
        <v>48807855.771705478</v>
      </c>
      <c r="Q79" s="53">
        <f t="shared" si="18"/>
        <v>50323413.654590644</v>
      </c>
      <c r="R79" s="53">
        <f t="shared" si="18"/>
        <v>51889410.696183912</v>
      </c>
      <c r="S79" s="53">
        <f t="shared" si="18"/>
        <v>53507126.357872143</v>
      </c>
      <c r="T79" s="53">
        <f t="shared" si="18"/>
        <v>55179474.740932561</v>
      </c>
      <c r="U79" s="53">
        <f t="shared" si="18"/>
        <v>56868780.757525101</v>
      </c>
      <c r="V79" s="53">
        <f t="shared" si="18"/>
        <v>58607368.120166041</v>
      </c>
      <c r="W79" s="53">
        <f t="shared" si="18"/>
        <v>60396255.563375644</v>
      </c>
      <c r="X79" s="53">
        <f t="shared" si="18"/>
        <v>62239286.068741158</v>
      </c>
      <c r="Y79" s="53">
        <f t="shared" si="18"/>
        <v>64079370.733999528</v>
      </c>
      <c r="Z79" s="53">
        <f t="shared" si="18"/>
        <v>65964579.348692663</v>
      </c>
      <c r="AA79" s="53">
        <f t="shared" si="18"/>
        <v>67892158.351473108</v>
      </c>
      <c r="AB79" s="53">
        <f t="shared" si="18"/>
        <v>69866001.178131878</v>
      </c>
      <c r="AC79" s="53">
        <f t="shared" si="18"/>
        <v>71813998.185254171</v>
      </c>
      <c r="AD79" s="53">
        <f t="shared" si="18"/>
        <v>73793086.729961812</v>
      </c>
    </row>
    <row r="80" spans="1:30" s="52" customFormat="1" ht="31.9" customHeight="1" x14ac:dyDescent="0.35">
      <c r="A80" s="3"/>
      <c r="B80" s="72"/>
      <c r="C80" s="18"/>
      <c r="D80" s="53"/>
      <c r="E80" s="53"/>
      <c r="F80" s="53"/>
      <c r="G80" s="53"/>
      <c r="H80" s="53"/>
      <c r="I80" s="53"/>
      <c r="J80" s="53"/>
      <c r="K80" s="53"/>
      <c r="L80" s="53"/>
      <c r="M80" s="53"/>
      <c r="N80" s="53"/>
      <c r="O80" s="53"/>
      <c r="P80" s="53"/>
      <c r="Q80" s="53"/>
      <c r="R80" s="53"/>
      <c r="S80" s="53"/>
      <c r="T80" s="53"/>
      <c r="U80" s="53"/>
      <c r="V80" s="53"/>
      <c r="W80" s="53"/>
      <c r="X80" s="53"/>
      <c r="Y80" s="53"/>
      <c r="Z80" s="53"/>
      <c r="AA80" s="53"/>
      <c r="AB80" s="53"/>
      <c r="AC80" s="53"/>
      <c r="AD80" s="53"/>
    </row>
    <row r="81" spans="1:30" s="52" customFormat="1" ht="29" x14ac:dyDescent="0.35">
      <c r="A81" s="3" t="s">
        <v>147</v>
      </c>
      <c r="B81" s="72" t="s">
        <v>148</v>
      </c>
      <c r="C81" s="18">
        <f>NPV('Cost Assumptions'!$B$3,D81:AD81)</f>
        <v>241639286.0361051</v>
      </c>
      <c r="D81" s="53">
        <f>('Baseline System Analysis'!D42-'Alberhill System Project'!D36)</f>
        <v>16072518.026194341</v>
      </c>
      <c r="E81" s="53">
        <f>('Baseline System Analysis'!E42-'Alberhill System Project'!E36)</f>
        <v>17693784.636761419</v>
      </c>
      <c r="F81" s="53">
        <f>('Baseline System Analysis'!F42-'Alberhill System Project'!F36)</f>
        <v>18741530.000010692</v>
      </c>
      <c r="G81" s="53">
        <f>('Baseline System Analysis'!G42-'Alberhill System Project'!G36)</f>
        <v>19912797.0166643</v>
      </c>
      <c r="H81" s="53">
        <f>('Baseline System Analysis'!H42-'Alberhill System Project'!H36)</f>
        <v>21061262.587471783</v>
      </c>
      <c r="I81" s="53">
        <f>('Baseline System Analysis'!I42-'Alberhill System Project'!I36)</f>
        <v>22431692.123183794</v>
      </c>
      <c r="J81" s="53">
        <f>('Baseline System Analysis'!J42-'Alberhill System Project'!J36)</f>
        <v>23867078.865797415</v>
      </c>
      <c r="K81" s="53">
        <f>('Baseline System Analysis'!K42-'Alberhill System Project'!K36)</f>
        <v>23900439.644328542</v>
      </c>
      <c r="L81" s="53">
        <f>('Baseline System Analysis'!L42-'Alberhill System Project'!L36)</f>
        <v>23873887.584590934</v>
      </c>
      <c r="M81" s="53">
        <f>('Baseline System Analysis'!M42-'Alberhill System Project'!M36)</f>
        <v>23853652.69629705</v>
      </c>
      <c r="N81" s="53">
        <f>('Baseline System Analysis'!N42-'Alberhill System Project'!N36)</f>
        <v>25467940.359077565</v>
      </c>
      <c r="O81" s="53">
        <f>('Baseline System Analysis'!O42-'Alberhill System Project'!O36)</f>
        <v>27169628.776181158</v>
      </c>
      <c r="P81" s="53">
        <f>('Baseline System Analysis'!P42-'Alberhill System Project'!P36)</f>
        <v>28990383.895163029</v>
      </c>
      <c r="Q81" s="53">
        <f>('Baseline System Analysis'!Q42-'Alberhill System Project'!Q36)</f>
        <v>30925393.93515034</v>
      </c>
      <c r="R81" s="53">
        <f>('Baseline System Analysis'!R42-'Alberhill System Project'!R36)</f>
        <v>33023282.528373543</v>
      </c>
      <c r="S81" s="53">
        <f>('Baseline System Analysis'!S42-'Alberhill System Project'!S36)</f>
        <v>34990489.957467817</v>
      </c>
      <c r="T81" s="53">
        <f>('Baseline System Analysis'!T42-'Alberhill System Project'!T36)</f>
        <v>37152312.794862121</v>
      </c>
      <c r="U81" s="53">
        <f>('Baseline System Analysis'!U42-'Alberhill System Project'!U36)</f>
        <v>39419811.372835189</v>
      </c>
      <c r="V81" s="53">
        <f>('Baseline System Analysis'!V42-'Alberhill System Project'!V36)</f>
        <v>41773477.551127993</v>
      </c>
      <c r="W81" s="53">
        <f>('Baseline System Analysis'!W42-'Alberhill System Project'!W36)</f>
        <v>44304354.711731181</v>
      </c>
      <c r="X81" s="53">
        <f>('Baseline System Analysis'!X42-'Alberhill System Project'!X36)</f>
        <v>46837125.471792877</v>
      </c>
      <c r="Y81" s="53">
        <f>('Baseline System Analysis'!Y42-'Alberhill System Project'!Y36)</f>
        <v>49342643.339211248</v>
      </c>
      <c r="Z81" s="53">
        <f>('Baseline System Analysis'!Z42-'Alberhill System Project'!Z36)</f>
        <v>52071072.257406987</v>
      </c>
      <c r="AA81" s="53">
        <f>('Baseline System Analysis'!AA42-'Alberhill System Project'!AA36)</f>
        <v>54610062.303096302</v>
      </c>
      <c r="AB81" s="53">
        <f>('Baseline System Analysis'!AB42-'Alberhill System Project'!AB36)</f>
        <v>57261862.323935367</v>
      </c>
      <c r="AC81" s="53">
        <f>('Baseline System Analysis'!AC42-'Alberhill System Project'!AC36)</f>
        <v>59636171.014847621</v>
      </c>
      <c r="AD81" s="53">
        <f>('Baseline System Analysis'!AD42-'Alberhill System Project'!AD36)</f>
        <v>61943151.332906574</v>
      </c>
    </row>
    <row r="82" spans="1:30" ht="47.5" customHeight="1" x14ac:dyDescent="0.35">
      <c r="A82" s="72"/>
      <c r="B82" s="72"/>
      <c r="C82" s="72"/>
      <c r="D82" s="72"/>
      <c r="E82" s="72"/>
      <c r="F82" s="72"/>
      <c r="G82" s="72"/>
      <c r="H82" s="72"/>
      <c r="I82" s="72"/>
      <c r="J82" s="72"/>
      <c r="K82" s="72"/>
      <c r="L82" s="72"/>
      <c r="M82" s="72"/>
      <c r="N82" s="72"/>
      <c r="O82" s="72"/>
      <c r="P82" s="72"/>
      <c r="Q82" s="72"/>
      <c r="R82" s="72"/>
      <c r="S82" s="72"/>
      <c r="T82" s="72"/>
      <c r="U82" s="72"/>
      <c r="V82" s="72"/>
      <c r="W82" s="72"/>
      <c r="X82" s="72"/>
      <c r="Y82" s="72"/>
      <c r="Z82" s="72"/>
      <c r="AA82" s="72"/>
      <c r="AB82" s="72"/>
      <c r="AC82" s="72"/>
      <c r="AD82" s="72"/>
    </row>
    <row r="83" spans="1:30" ht="20" thickBot="1" x14ac:dyDescent="0.5">
      <c r="A83" s="134" t="s">
        <v>61</v>
      </c>
      <c r="B83" s="134"/>
      <c r="C83" s="18">
        <f>NPV('Cost Assumptions'!$B$3,D83:AD83)/1000000</f>
        <v>4439.9833236066906</v>
      </c>
      <c r="D83" s="53">
        <f>SUM(D67,D71,D75,D79,D81)</f>
        <v>164676083.13775015</v>
      </c>
      <c r="E83" s="53">
        <f t="shared" ref="E83:AD83" si="19">SUM(E67,E71,E75,E79,E81)</f>
        <v>210071419.80677518</v>
      </c>
      <c r="F83" s="53">
        <f t="shared" si="19"/>
        <v>256352595.00883207</v>
      </c>
      <c r="G83" s="53">
        <f t="shared" si="19"/>
        <v>304935760.09340304</v>
      </c>
      <c r="H83" s="53">
        <f t="shared" si="19"/>
        <v>355683418.35003418</v>
      </c>
      <c r="I83" s="53">
        <f t="shared" si="19"/>
        <v>407504779.54771531</v>
      </c>
      <c r="J83" s="53">
        <f t="shared" si="19"/>
        <v>464252316.89266622</v>
      </c>
      <c r="K83" s="53">
        <f t="shared" si="19"/>
        <v>458820132.47193861</v>
      </c>
      <c r="L83" s="53">
        <f t="shared" si="19"/>
        <v>452973414.15817618</v>
      </c>
      <c r="M83" s="53">
        <f t="shared" si="19"/>
        <v>425807176.86464661</v>
      </c>
      <c r="N83" s="53">
        <f t="shared" si="19"/>
        <v>461252468.54247516</v>
      </c>
      <c r="O83" s="53">
        <f t="shared" si="19"/>
        <v>544786301.44438767</v>
      </c>
      <c r="P83" s="53">
        <f t="shared" si="19"/>
        <v>588270853.96530747</v>
      </c>
      <c r="Q83" s="53">
        <f t="shared" si="19"/>
        <v>632130556.1963774</v>
      </c>
      <c r="R83" s="53">
        <f t="shared" si="19"/>
        <v>677281183.59995389</v>
      </c>
      <c r="S83" s="53">
        <f t="shared" si="19"/>
        <v>727068744.32097411</v>
      </c>
      <c r="T83" s="53">
        <f t="shared" si="19"/>
        <v>779695312.06011462</v>
      </c>
      <c r="U83" s="53">
        <f t="shared" si="19"/>
        <v>832936841.26230443</v>
      </c>
      <c r="V83" s="53">
        <f t="shared" si="19"/>
        <v>891198033.87470269</v>
      </c>
      <c r="W83" s="53">
        <f t="shared" si="19"/>
        <v>951092009.55070281</v>
      </c>
      <c r="X83" s="53">
        <f t="shared" si="19"/>
        <v>1016089931.5434055</v>
      </c>
      <c r="Y83" s="53">
        <f t="shared" si="19"/>
        <v>1083773739.2788029</v>
      </c>
      <c r="Z83" s="53">
        <f t="shared" si="19"/>
        <v>1154599372.505152</v>
      </c>
      <c r="AA83" s="53">
        <f t="shared" si="19"/>
        <v>1229166486.9691164</v>
      </c>
      <c r="AB83" s="53">
        <f t="shared" si="19"/>
        <v>1306461746.6581893</v>
      </c>
      <c r="AC83" s="53">
        <f t="shared" si="19"/>
        <v>1384875656.37132</v>
      </c>
      <c r="AD83" s="53">
        <f t="shared" si="19"/>
        <v>1465209879.45436</v>
      </c>
    </row>
    <row r="84" spans="1:30" s="52" customFormat="1" ht="20.5" thickTop="1" thickBot="1" x14ac:dyDescent="0.5">
      <c r="A84" s="134" t="s">
        <v>149</v>
      </c>
      <c r="B84" s="134"/>
      <c r="C84" s="18">
        <f>NPV('Cost Assumptions'!$B$3,D84:AD84)/1000000</f>
        <v>4444.4902866197217</v>
      </c>
      <c r="D84" s="53">
        <f>D83+D43</f>
        <v>165037930.66716188</v>
      </c>
      <c r="E84" s="53">
        <f t="shared" ref="E84:AD84" si="20">E83+E43</f>
        <v>210446210.39353988</v>
      </c>
      <c r="F84" s="53">
        <f t="shared" si="20"/>
        <v>256740749.65111145</v>
      </c>
      <c r="G84" s="53">
        <f t="shared" si="20"/>
        <v>305337712.74985617</v>
      </c>
      <c r="H84" s="53">
        <f t="shared" si="20"/>
        <v>356099616.32471824</v>
      </c>
      <c r="I84" s="53">
        <f t="shared" si="20"/>
        <v>407935683.88613164</v>
      </c>
      <c r="J84" s="53">
        <f t="shared" si="20"/>
        <v>464698402.78926724</v>
      </c>
      <c r="K84" s="53">
        <f t="shared" si="20"/>
        <v>459276154.66792464</v>
      </c>
      <c r="L84" s="53">
        <f t="shared" si="20"/>
        <v>453464109.48497885</v>
      </c>
      <c r="M84" s="53">
        <f t="shared" si="20"/>
        <v>426333418.01871753</v>
      </c>
      <c r="N84" s="53">
        <f t="shared" si="20"/>
        <v>461792234.23165256</v>
      </c>
      <c r="O84" s="53">
        <f t="shared" si="20"/>
        <v>545339938.99470556</v>
      </c>
      <c r="P84" s="53">
        <f t="shared" si="20"/>
        <v>588838719.6162672</v>
      </c>
      <c r="Q84" s="53">
        <f t="shared" si="20"/>
        <v>632713015.32954204</v>
      </c>
      <c r="R84" s="53">
        <f t="shared" si="20"/>
        <v>677878610.9734019</v>
      </c>
      <c r="S84" s="53">
        <f t="shared" si="20"/>
        <v>727681524.3097614</v>
      </c>
      <c r="T84" s="53">
        <f t="shared" si="20"/>
        <v>780323838.90289974</v>
      </c>
      <c r="U84" s="53">
        <f t="shared" si="20"/>
        <v>833581519.31429422</v>
      </c>
      <c r="V84" s="53">
        <f t="shared" si="20"/>
        <v>891859277.86708069</v>
      </c>
      <c r="W84" s="53">
        <f t="shared" si="20"/>
        <v>951770244.85670602</v>
      </c>
      <c r="X84" s="53">
        <f t="shared" si="20"/>
        <v>1016785594.4512199</v>
      </c>
      <c r="Y84" s="53">
        <f t="shared" si="20"/>
        <v>1084487277.2714527</v>
      </c>
      <c r="Z84" s="53">
        <f t="shared" si="20"/>
        <v>1155331244.5475616</v>
      </c>
      <c r="AA84" s="53">
        <f t="shared" si="20"/>
        <v>1229917163.8025286</v>
      </c>
      <c r="AB84" s="53">
        <f t="shared" si="20"/>
        <v>1307231711.1021276</v>
      </c>
      <c r="AC84" s="53">
        <f t="shared" si="20"/>
        <v>1385665403.6332898</v>
      </c>
      <c r="AD84" s="53">
        <f t="shared" si="20"/>
        <v>1466019917.4474854</v>
      </c>
    </row>
    <row r="85" spans="1:30" ht="15" thickTop="1" x14ac:dyDescent="0.35">
      <c r="A85" s="72"/>
      <c r="B85" s="72"/>
      <c r="C85" s="72"/>
      <c r="D85" s="72"/>
      <c r="E85" s="72"/>
      <c r="F85" s="72"/>
      <c r="G85" s="72"/>
      <c r="H85" s="72"/>
      <c r="I85" s="72"/>
      <c r="J85" s="72"/>
      <c r="K85" s="72"/>
      <c r="L85" s="72"/>
      <c r="M85" s="72"/>
      <c r="N85" s="72"/>
      <c r="O85" s="72"/>
      <c r="P85" s="72"/>
      <c r="Q85" s="72"/>
      <c r="R85" s="72"/>
      <c r="S85" s="72"/>
      <c r="T85" s="72"/>
      <c r="U85" s="72"/>
      <c r="V85" s="72"/>
      <c r="W85" s="72"/>
      <c r="X85" s="72"/>
      <c r="Y85" s="72"/>
      <c r="Z85" s="72"/>
      <c r="AA85" s="72"/>
      <c r="AB85" s="72"/>
      <c r="AC85" s="72"/>
      <c r="AD85" s="72"/>
    </row>
    <row r="86" spans="1:30" ht="20" thickBot="1" x14ac:dyDescent="0.5">
      <c r="A86" s="134" t="s">
        <v>150</v>
      </c>
      <c r="B86" s="134"/>
      <c r="C86" s="18">
        <f>Summary!$D$7</f>
        <v>545</v>
      </c>
      <c r="D86" s="72"/>
      <c r="E86" s="72"/>
      <c r="F86" s="72"/>
      <c r="G86" s="72"/>
      <c r="H86" s="72"/>
      <c r="I86" s="72"/>
      <c r="J86" s="72"/>
      <c r="K86" s="72"/>
      <c r="L86" s="72"/>
      <c r="M86" s="72"/>
      <c r="N86" s="72"/>
      <c r="O86" s="72"/>
      <c r="P86" s="72"/>
      <c r="Q86" s="72"/>
      <c r="R86" s="72"/>
      <c r="S86" s="72"/>
      <c r="T86" s="72"/>
      <c r="U86" s="72"/>
      <c r="V86" s="72"/>
      <c r="W86" s="72"/>
      <c r="X86" s="72"/>
      <c r="Y86" s="72"/>
      <c r="Z86" s="72"/>
      <c r="AA86" s="72"/>
      <c r="AB86" s="72"/>
      <c r="AC86" s="72"/>
      <c r="AD86" s="72"/>
    </row>
    <row r="87" spans="1:30" ht="15" thickTop="1" x14ac:dyDescent="0.35">
      <c r="A87" s="72"/>
      <c r="B87" s="72"/>
      <c r="C87" s="72"/>
      <c r="D87" s="72"/>
      <c r="E87" s="72"/>
      <c r="F87" s="72"/>
      <c r="G87" s="72"/>
      <c r="H87" s="72"/>
      <c r="I87" s="72"/>
      <c r="J87" s="72"/>
      <c r="K87" s="72"/>
      <c r="L87" s="72"/>
      <c r="M87" s="72"/>
      <c r="N87" s="72"/>
      <c r="O87" s="72"/>
      <c r="P87" s="72"/>
      <c r="Q87" s="72"/>
      <c r="R87" s="72"/>
      <c r="S87" s="72"/>
      <c r="T87" s="72"/>
      <c r="U87" s="72"/>
      <c r="V87" s="72"/>
      <c r="W87" s="72"/>
      <c r="X87" s="72"/>
      <c r="Y87" s="72"/>
      <c r="Z87" s="72"/>
      <c r="AA87" s="72"/>
      <c r="AB87" s="72"/>
      <c r="AC87" s="72"/>
      <c r="AD87" s="72"/>
    </row>
    <row r="88" spans="1:30" ht="20" thickBot="1" x14ac:dyDescent="0.5">
      <c r="A88" s="134" t="s">
        <v>7</v>
      </c>
      <c r="B88" s="134"/>
      <c r="C88" s="46">
        <f>C84/C86</f>
        <v>8.1550280488435263</v>
      </c>
      <c r="D88" s="72"/>
      <c r="E88" s="72"/>
      <c r="F88" s="72"/>
      <c r="G88" s="72"/>
      <c r="H88" s="72"/>
      <c r="I88" s="72"/>
      <c r="J88" s="72"/>
      <c r="K88" s="72"/>
      <c r="L88" s="72"/>
      <c r="M88" s="72"/>
      <c r="N88" s="72"/>
      <c r="O88" s="72"/>
      <c r="P88" s="72"/>
      <c r="Q88" s="72"/>
      <c r="R88" s="72"/>
      <c r="S88" s="72"/>
      <c r="T88" s="72"/>
      <c r="U88" s="72"/>
      <c r="V88" s="72"/>
      <c r="W88" s="72"/>
      <c r="X88" s="72"/>
      <c r="Y88" s="72"/>
      <c r="Z88" s="72"/>
      <c r="AA88" s="72"/>
      <c r="AB88" s="72"/>
      <c r="AC88" s="72"/>
      <c r="AD88" s="72"/>
    </row>
    <row r="89" spans="1:30" ht="15" thickTop="1" x14ac:dyDescent="0.35">
      <c r="A89" s="72"/>
      <c r="B89" s="72"/>
      <c r="C89" s="72"/>
      <c r="D89" s="72"/>
      <c r="E89" s="72"/>
      <c r="F89" s="72"/>
      <c r="G89" s="72"/>
      <c r="H89" s="72"/>
      <c r="I89" s="72"/>
      <c r="J89" s="72"/>
      <c r="K89" s="72"/>
      <c r="L89" s="72"/>
      <c r="M89" s="72"/>
      <c r="N89" s="72"/>
      <c r="O89" s="72"/>
      <c r="P89" s="72"/>
      <c r="Q89" s="72"/>
      <c r="R89" s="72"/>
      <c r="S89" s="72"/>
      <c r="T89" s="72"/>
      <c r="U89" s="72"/>
      <c r="V89" s="72"/>
      <c r="W89" s="72"/>
      <c r="X89" s="72"/>
      <c r="Y89" s="72"/>
      <c r="Z89" s="72"/>
      <c r="AA89" s="72"/>
      <c r="AB89" s="72"/>
      <c r="AC89" s="72"/>
      <c r="AD89" s="72"/>
    </row>
  </sheetData>
  <mergeCells count="7">
    <mergeCell ref="B2:B15"/>
    <mergeCell ref="A88:B88"/>
    <mergeCell ref="B18:B31"/>
    <mergeCell ref="A58:AD59"/>
    <mergeCell ref="A83:B83"/>
    <mergeCell ref="A86:B86"/>
    <mergeCell ref="A84:B84"/>
  </mergeCells>
  <phoneticPr fontId="16" type="noConversion"/>
  <pageMargins left="0.7" right="0.7" top="0.75" bottom="0.75" header="0.3" footer="0.3"/>
  <pageSetup orientation="portrait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D89"/>
  <sheetViews>
    <sheetView zoomScale="87" zoomScaleNormal="87" workbookViewId="0"/>
  </sheetViews>
  <sheetFormatPr defaultRowHeight="14.5" x14ac:dyDescent="0.35"/>
  <cols>
    <col min="1" max="1" width="23.26953125" bestFit="1" customWidth="1"/>
    <col min="2" max="2" width="18.7265625" customWidth="1"/>
    <col min="3" max="3" width="18.26953125" customWidth="1"/>
    <col min="4" max="16" width="16.26953125" bestFit="1" customWidth="1"/>
    <col min="17" max="29" width="17.81640625" bestFit="1" customWidth="1"/>
    <col min="30" max="30" width="18" bestFit="1" customWidth="1"/>
  </cols>
  <sheetData>
    <row r="1" spans="1:30" ht="20" thickBot="1" x14ac:dyDescent="0.5">
      <c r="A1" s="113"/>
      <c r="B1" s="122"/>
      <c r="C1" s="113" t="s">
        <v>105</v>
      </c>
      <c r="D1" s="113">
        <v>2022</v>
      </c>
      <c r="E1" s="113">
        <v>2023</v>
      </c>
      <c r="F1" s="113">
        <v>2024</v>
      </c>
      <c r="G1" s="113">
        <v>2025</v>
      </c>
      <c r="H1" s="113">
        <v>2026</v>
      </c>
      <c r="I1" s="113">
        <v>2027</v>
      </c>
      <c r="J1" s="113">
        <v>2028</v>
      </c>
      <c r="K1" s="113">
        <v>2029</v>
      </c>
      <c r="L1" s="113">
        <v>2030</v>
      </c>
      <c r="M1" s="113">
        <v>2031</v>
      </c>
      <c r="N1" s="113">
        <v>2032</v>
      </c>
      <c r="O1" s="113">
        <v>2033</v>
      </c>
      <c r="P1" s="113">
        <v>2034</v>
      </c>
      <c r="Q1" s="113">
        <v>2035</v>
      </c>
      <c r="R1" s="113">
        <v>2036</v>
      </c>
      <c r="S1" s="113">
        <v>2037</v>
      </c>
      <c r="T1" s="113">
        <v>2038</v>
      </c>
      <c r="U1" s="113">
        <v>2039</v>
      </c>
      <c r="V1" s="113">
        <v>2040</v>
      </c>
      <c r="W1" s="113">
        <v>2041</v>
      </c>
      <c r="X1" s="113">
        <v>2042</v>
      </c>
      <c r="Y1" s="113">
        <v>2043</v>
      </c>
      <c r="Z1" s="113">
        <v>2044</v>
      </c>
      <c r="AA1" s="113">
        <v>2045</v>
      </c>
      <c r="AB1" s="113">
        <v>2046</v>
      </c>
      <c r="AC1" s="113">
        <v>2047</v>
      </c>
      <c r="AD1" s="113">
        <v>2048</v>
      </c>
    </row>
    <row r="2" spans="1:30" ht="15" thickTop="1" x14ac:dyDescent="0.35">
      <c r="A2" s="72"/>
      <c r="B2" s="174" t="s">
        <v>26</v>
      </c>
      <c r="C2" s="72" t="s">
        <v>107</v>
      </c>
      <c r="D2" s="53">
        <f>'Baseline System Analysis'!D2</f>
        <v>49666.999999999534</v>
      </c>
      <c r="E2" s="53">
        <f>'Baseline System Analysis'!E2</f>
        <v>50103.790384614935</v>
      </c>
      <c r="F2" s="53">
        <f>'Baseline System Analysis'!F2</f>
        <v>50540.580769230335</v>
      </c>
      <c r="G2" s="53">
        <f>'Baseline System Analysis'!G2</f>
        <v>50977.371153845736</v>
      </c>
      <c r="H2" s="53">
        <f>'Baseline System Analysis'!H2</f>
        <v>51414.161538461136</v>
      </c>
      <c r="I2" s="53">
        <f>'Baseline System Analysis'!I2</f>
        <v>51850.951923076536</v>
      </c>
      <c r="J2" s="53">
        <f>'Baseline System Analysis'!J2</f>
        <v>52287.742307691937</v>
      </c>
      <c r="K2" s="53">
        <f>'Baseline System Analysis'!K2</f>
        <v>51698.184615384183</v>
      </c>
      <c r="L2" s="53">
        <f>'Baseline System Analysis'!L2</f>
        <v>51988.353846153419</v>
      </c>
      <c r="M2" s="53">
        <f>'Baseline System Analysis'!M2</f>
        <v>52278.523076922655</v>
      </c>
      <c r="N2" s="53">
        <f>'Baseline System Analysis'!N2</f>
        <v>52568.69230769189</v>
      </c>
      <c r="O2" s="53">
        <f>'Baseline System Analysis'!O2</f>
        <v>52858.861538461126</v>
      </c>
      <c r="P2" s="53">
        <f>'Baseline System Analysis'!P2</f>
        <v>53149.030769230361</v>
      </c>
      <c r="Q2" s="53">
        <f>'Baseline System Analysis'!Q2</f>
        <v>53439.199999999597</v>
      </c>
      <c r="R2" s="53">
        <f>'Baseline System Analysis'!R2</f>
        <v>53729.369230768832</v>
      </c>
      <c r="S2" s="53">
        <f>'Baseline System Analysis'!S2</f>
        <v>54019.538461538068</v>
      </c>
      <c r="T2" s="53">
        <f>'Baseline System Analysis'!T2</f>
        <v>54309.707692307304</v>
      </c>
      <c r="U2" s="53">
        <f>'Baseline System Analysis'!U2</f>
        <v>54599.876923076539</v>
      </c>
      <c r="V2" s="53">
        <f>'Baseline System Analysis'!V2</f>
        <v>54890.046153845775</v>
      </c>
      <c r="W2" s="53">
        <f>'Baseline System Analysis'!W2</f>
        <v>55180.21538461501</v>
      </c>
      <c r="X2" s="53">
        <f>'Baseline System Analysis'!X2</f>
        <v>55470.384615384246</v>
      </c>
      <c r="Y2" s="53">
        <f>'Baseline System Analysis'!Y2</f>
        <v>55760.553846153482</v>
      </c>
      <c r="Z2" s="53">
        <f>'Baseline System Analysis'!Z2</f>
        <v>56050.723076922717</v>
      </c>
      <c r="AA2" s="53">
        <f>'Baseline System Analysis'!AA2</f>
        <v>56340.892307691953</v>
      </c>
      <c r="AB2" s="53">
        <f>'Baseline System Analysis'!AB2</f>
        <v>56631.061538461188</v>
      </c>
      <c r="AC2" s="53">
        <f>'Baseline System Analysis'!AC2</f>
        <v>56921.230769230424</v>
      </c>
      <c r="AD2" s="53">
        <f>'Baseline System Analysis'!AD2</f>
        <v>57211.399999999638</v>
      </c>
    </row>
    <row r="3" spans="1:30" x14ac:dyDescent="0.35">
      <c r="A3" s="72" t="s">
        <v>30</v>
      </c>
      <c r="B3" s="176"/>
      <c r="C3" s="72" t="s">
        <v>31</v>
      </c>
      <c r="D3" s="53">
        <f>'Baseline System Analysis'!D3</f>
        <v>10</v>
      </c>
      <c r="E3" s="53">
        <f>'Baseline System Analysis'!E3</f>
        <v>20.5</v>
      </c>
      <c r="F3" s="53">
        <f>'Baseline System Analysis'!F3</f>
        <v>29.879999999999995</v>
      </c>
      <c r="G3" s="53">
        <f>'Baseline System Analysis'!G3</f>
        <v>39.259999999999991</v>
      </c>
      <c r="H3" s="53">
        <f>'Baseline System Analysis'!H3</f>
        <v>48.639999999999986</v>
      </c>
      <c r="I3" s="53">
        <f>'Baseline System Analysis'!I3</f>
        <v>58.019999999999982</v>
      </c>
      <c r="J3" s="53">
        <f>'Baseline System Analysis'!J3</f>
        <v>67.399999999999977</v>
      </c>
      <c r="K3" s="53">
        <f>'Baseline System Analysis'!K3</f>
        <v>57.599999999999966</v>
      </c>
      <c r="L3" s="53">
        <f>'Baseline System Analysis'!L3</f>
        <v>49.800000000000011</v>
      </c>
      <c r="M3" s="53">
        <f>'Baseline System Analysis'!M3</f>
        <v>41.5</v>
      </c>
      <c r="N3" s="53">
        <f>'Baseline System Analysis'!N3</f>
        <v>53.700000000000017</v>
      </c>
      <c r="O3" s="53">
        <f>'Baseline System Analysis'!O3</f>
        <v>75.066666666666691</v>
      </c>
      <c r="P3" s="53">
        <f>'Baseline System Analysis'!P3</f>
        <v>96.433333333333366</v>
      </c>
      <c r="Q3" s="53">
        <f>'Baseline System Analysis'!Q3</f>
        <v>117.80000000000004</v>
      </c>
      <c r="R3" s="53">
        <f>'Baseline System Analysis'!R3</f>
        <v>139.16666666666671</v>
      </c>
      <c r="S3" s="53">
        <f>'Baseline System Analysis'!S3</f>
        <v>160.53333333333339</v>
      </c>
      <c r="T3" s="53">
        <f>'Baseline System Analysis'!T3</f>
        <v>181.90000000000003</v>
      </c>
      <c r="U3" s="53">
        <f>'Baseline System Analysis'!U3</f>
        <v>244.23000000000002</v>
      </c>
      <c r="V3" s="53">
        <f>'Baseline System Analysis'!V3</f>
        <v>306.56</v>
      </c>
      <c r="W3" s="53">
        <f>'Baseline System Analysis'!W3</f>
        <v>368.89</v>
      </c>
      <c r="X3" s="53">
        <f>'Baseline System Analysis'!X3</f>
        <v>431.21999999999997</v>
      </c>
      <c r="Y3" s="53">
        <f>'Baseline System Analysis'!Y3</f>
        <v>453.7000000000001</v>
      </c>
      <c r="Z3" s="53">
        <f>'Baseline System Analysis'!Z3</f>
        <v>524.00000000000011</v>
      </c>
      <c r="AA3" s="53">
        <f>'Baseline System Analysis'!AA3</f>
        <v>594.30000000000007</v>
      </c>
      <c r="AB3" s="53">
        <f>'Baseline System Analysis'!AB3</f>
        <v>664.6</v>
      </c>
      <c r="AC3" s="53">
        <f>'Baseline System Analysis'!AC3</f>
        <v>734.9</v>
      </c>
      <c r="AD3" s="53">
        <f>'Baseline System Analysis'!AD3</f>
        <v>805.2</v>
      </c>
    </row>
    <row r="4" spans="1:30" x14ac:dyDescent="0.35">
      <c r="A4" s="72" t="s">
        <v>30</v>
      </c>
      <c r="B4" s="176"/>
      <c r="C4" s="72" t="s">
        <v>32</v>
      </c>
      <c r="D4" s="53">
        <f>'Baseline System Analysis'!D4</f>
        <v>2</v>
      </c>
      <c r="E4" s="53">
        <f>'Baseline System Analysis'!E4</f>
        <v>3</v>
      </c>
      <c r="F4" s="53">
        <f>'Baseline System Analysis'!F4</f>
        <v>4.6799999999999953</v>
      </c>
      <c r="G4" s="53">
        <f>'Baseline System Analysis'!G4</f>
        <v>6.3599999999999905</v>
      </c>
      <c r="H4" s="53">
        <f>'Baseline System Analysis'!H4</f>
        <v>8.0399999999999867</v>
      </c>
      <c r="I4" s="53">
        <f>'Baseline System Analysis'!I4</f>
        <v>9.7199999999999829</v>
      </c>
      <c r="J4" s="53">
        <f>'Baseline System Analysis'!J4</f>
        <v>11.399999999999977</v>
      </c>
      <c r="K4" s="53">
        <f>'Baseline System Analysis'!K4</f>
        <v>10.199999999999989</v>
      </c>
      <c r="L4" s="53">
        <f>'Baseline System Analysis'!L4</f>
        <v>8.5999999999999943</v>
      </c>
      <c r="M4" s="53">
        <f>'Baseline System Analysis'!M4</f>
        <v>6.8000000000000114</v>
      </c>
      <c r="N4" s="53">
        <f>'Baseline System Analysis'!N4</f>
        <v>9.6000000000000227</v>
      </c>
      <c r="O4" s="53">
        <f>'Baseline System Analysis'!O4</f>
        <v>11.333333333333352</v>
      </c>
      <c r="P4" s="53">
        <f>'Baseline System Analysis'!P4</f>
        <v>13.066666666666681</v>
      </c>
      <c r="Q4" s="53">
        <f>'Baseline System Analysis'!Q4</f>
        <v>14.80000000000001</v>
      </c>
      <c r="R4" s="53">
        <f>'Baseline System Analysis'!R4</f>
        <v>16.533333333333339</v>
      </c>
      <c r="S4" s="53">
        <f>'Baseline System Analysis'!S4</f>
        <v>18.266666666666669</v>
      </c>
      <c r="T4" s="53">
        <f>'Baseline System Analysis'!T4</f>
        <v>20</v>
      </c>
      <c r="U4" s="53">
        <f>'Baseline System Analysis'!U4</f>
        <v>21.860000000000003</v>
      </c>
      <c r="V4" s="53">
        <f>'Baseline System Analysis'!V4</f>
        <v>23.720000000000006</v>
      </c>
      <c r="W4" s="53">
        <f>'Baseline System Analysis'!W4</f>
        <v>25.580000000000009</v>
      </c>
      <c r="X4" s="53">
        <f>'Baseline System Analysis'!X4</f>
        <v>27.440000000000012</v>
      </c>
      <c r="Y4" s="53">
        <f>'Baseline System Analysis'!Y4</f>
        <v>29.300000000000011</v>
      </c>
      <c r="Z4" s="53">
        <f>'Baseline System Analysis'!Z4</f>
        <v>30.480000000000008</v>
      </c>
      <c r="AA4" s="53">
        <f>'Baseline System Analysis'!AA4</f>
        <v>31.660000000000004</v>
      </c>
      <c r="AB4" s="53">
        <f>'Baseline System Analysis'!AB4</f>
        <v>32.839999999999996</v>
      </c>
      <c r="AC4" s="53">
        <f>'Baseline System Analysis'!AC4</f>
        <v>34.019999999999989</v>
      </c>
      <c r="AD4" s="53">
        <f>'Baseline System Analysis'!AD4</f>
        <v>35.199999999999989</v>
      </c>
    </row>
    <row r="5" spans="1:30" x14ac:dyDescent="0.35">
      <c r="A5" s="72" t="s">
        <v>30</v>
      </c>
      <c r="B5" s="176"/>
      <c r="C5" s="72" t="s">
        <v>33</v>
      </c>
      <c r="D5" s="53">
        <f>'Baseline System Analysis'!D5</f>
        <v>8.4812112193331513E-2</v>
      </c>
      <c r="E5" s="53">
        <f>'Baseline System Analysis'!E5</f>
        <v>0.24283371212350299</v>
      </c>
      <c r="F5" s="53">
        <f>'Baseline System Analysis'!F5</f>
        <v>0.34046276046663143</v>
      </c>
      <c r="G5" s="53">
        <f>'Baseline System Analysis'!G5</f>
        <v>0.43809180880975984</v>
      </c>
      <c r="H5" s="53">
        <f>'Baseline System Analysis'!H5</f>
        <v>0.53572085715288831</v>
      </c>
      <c r="I5" s="53">
        <f>'Baseline System Analysis'!I5</f>
        <v>0.63334990549601677</v>
      </c>
      <c r="J5" s="53">
        <f>'Baseline System Analysis'!J5</f>
        <v>0.73097895383914513</v>
      </c>
      <c r="K5" s="53">
        <f>'Baseline System Analysis'!K5</f>
        <v>0.61764830497225676</v>
      </c>
      <c r="L5" s="53">
        <f>'Baseline System Analysis'!L5</f>
        <v>0.52957812632109091</v>
      </c>
      <c r="M5" s="53">
        <f>'Baseline System Analysis'!M5</f>
        <v>0.48185121670948772</v>
      </c>
      <c r="N5" s="53">
        <f>'Baseline System Analysis'!N5</f>
        <v>0.56680711827214547</v>
      </c>
      <c r="O5" s="53">
        <f>'Baseline System Analysis'!O5</f>
        <v>0.96980348799493798</v>
      </c>
      <c r="P5" s="53">
        <f>'Baseline System Analysis'!P5</f>
        <v>1.3727998577177305</v>
      </c>
      <c r="Q5" s="53">
        <f>'Baseline System Analysis'!Q5</f>
        <v>1.775796227440523</v>
      </c>
      <c r="R5" s="53">
        <f>'Baseline System Analysis'!R5</f>
        <v>2.1787925971633153</v>
      </c>
      <c r="S5" s="53">
        <f>'Baseline System Analysis'!S5</f>
        <v>2.5817889668861076</v>
      </c>
      <c r="T5" s="53">
        <f>'Baseline System Analysis'!T5</f>
        <v>2.9847853366089003</v>
      </c>
      <c r="U5" s="53">
        <f>'Baseline System Analysis'!U5</f>
        <v>21.070525908414965</v>
      </c>
      <c r="V5" s="53">
        <f>'Baseline System Analysis'!V5</f>
        <v>39.156266480221028</v>
      </c>
      <c r="W5" s="53">
        <f>'Baseline System Analysis'!W5</f>
        <v>57.242007052027091</v>
      </c>
      <c r="X5" s="53">
        <f>'Baseline System Analysis'!X5</f>
        <v>75.327747623833147</v>
      </c>
      <c r="Y5" s="53">
        <f>'Baseline System Analysis'!Y5</f>
        <v>93.413488195639218</v>
      </c>
      <c r="Z5" s="53">
        <f>'Baseline System Analysis'!Z5</f>
        <v>81.062212021092932</v>
      </c>
      <c r="AA5" s="53">
        <f>'Baseline System Analysis'!AA5</f>
        <v>68.710935846546647</v>
      </c>
      <c r="AB5" s="53">
        <f>'Baseline System Analysis'!AB5</f>
        <v>56.359659672000362</v>
      </c>
      <c r="AC5" s="53">
        <f>'Baseline System Analysis'!AC5</f>
        <v>44.008383497454076</v>
      </c>
      <c r="AD5" s="53">
        <f>'Baseline System Analysis'!AD5</f>
        <v>31.657107322907791</v>
      </c>
    </row>
    <row r="6" spans="1:30" x14ac:dyDescent="0.35">
      <c r="A6" s="72" t="s">
        <v>30</v>
      </c>
      <c r="B6" s="176"/>
      <c r="C6" s="72" t="s">
        <v>34</v>
      </c>
      <c r="D6" s="53">
        <f>'Baseline System Analysis'!D6</f>
        <v>6.0580080138093939E-3</v>
      </c>
      <c r="E6" s="53">
        <f>'Baseline System Analysis'!E6</f>
        <v>1.7771756236396739E-2</v>
      </c>
      <c r="F6" s="53">
        <f>'Baseline System Analysis'!F6</f>
        <v>2.504677784712513E-2</v>
      </c>
      <c r="G6" s="53">
        <f>'Baseline System Analysis'!G6</f>
        <v>3.2321799457853517E-2</v>
      </c>
      <c r="H6" s="53">
        <f>'Baseline System Analysis'!H6</f>
        <v>3.9596821068581908E-2</v>
      </c>
      <c r="I6" s="53">
        <f>'Baseline System Analysis'!I6</f>
        <v>4.6871842679310299E-2</v>
      </c>
      <c r="J6" s="53">
        <f>'Baseline System Analysis'!J6</f>
        <v>5.414686429003869E-2</v>
      </c>
      <c r="K6" s="53">
        <f>'Baseline System Analysis'!K6</f>
        <v>4.57170533491131E-2</v>
      </c>
      <c r="L6" s="53">
        <f>'Baseline System Analysis'!L6</f>
        <v>3.8991796004088156E-2</v>
      </c>
      <c r="M6" s="53">
        <f>'Baseline System Analysis'!M6</f>
        <v>3.1792887361975948E-2</v>
      </c>
      <c r="N6" s="53">
        <f>'Baseline System Analysis'!N6</f>
        <v>4.2212624824281168E-2</v>
      </c>
      <c r="O6" s="53">
        <f>'Baseline System Analysis'!O6</f>
        <v>5.9766414638595444E-2</v>
      </c>
      <c r="P6" s="53">
        <f>'Baseline System Analysis'!P6</f>
        <v>7.7320204452909727E-2</v>
      </c>
      <c r="Q6" s="53">
        <f>'Baseline System Analysis'!Q6</f>
        <v>9.487399426722401E-2</v>
      </c>
      <c r="R6" s="53">
        <f>'Baseline System Analysis'!R6</f>
        <v>0.11242778408153829</v>
      </c>
      <c r="S6" s="53">
        <f>'Baseline System Analysis'!S6</f>
        <v>0.12998157389585258</v>
      </c>
      <c r="T6" s="53">
        <f>'Baseline System Analysis'!T6</f>
        <v>0.14753536371016684</v>
      </c>
      <c r="U6" s="53">
        <f>'Baseline System Analysis'!U6</f>
        <v>0.40051087482777559</v>
      </c>
      <c r="V6" s="53">
        <f>'Baseline System Analysis'!V6</f>
        <v>0.65348638594538433</v>
      </c>
      <c r="W6" s="53">
        <f>'Baseline System Analysis'!W6</f>
        <v>0.90646189706299307</v>
      </c>
      <c r="X6" s="53">
        <f>'Baseline System Analysis'!X6</f>
        <v>1.1594374081806018</v>
      </c>
      <c r="Y6" s="53">
        <f>'Baseline System Analysis'!Y6</f>
        <v>1.4124129192982104</v>
      </c>
      <c r="Z6" s="53">
        <f>'Baseline System Analysis'!Z6</f>
        <v>1.2710233198999881</v>
      </c>
      <c r="AA6" s="53">
        <f>'Baseline System Analysis'!AA6</f>
        <v>1.1296337205017657</v>
      </c>
      <c r="AB6" s="53">
        <f>'Baseline System Analysis'!AB6</f>
        <v>0.98824412110354332</v>
      </c>
      <c r="AC6" s="53">
        <f>'Baseline System Analysis'!AC6</f>
        <v>0.84685452170532094</v>
      </c>
      <c r="AD6" s="53">
        <f>'Baseline System Analysis'!AD6</f>
        <v>0.70546492230709823</v>
      </c>
    </row>
    <row r="7" spans="1:30" x14ac:dyDescent="0.35">
      <c r="A7" s="72" t="s">
        <v>30</v>
      </c>
      <c r="B7" s="176"/>
      <c r="C7" s="72" t="s">
        <v>35</v>
      </c>
      <c r="D7" s="53">
        <f>'Baseline System Analysis'!D7</f>
        <v>14</v>
      </c>
      <c r="E7" s="53">
        <f>'Baseline System Analysis'!E7</f>
        <v>21</v>
      </c>
      <c r="F7" s="53">
        <f>'Baseline System Analysis'!F7</f>
        <v>23.2</v>
      </c>
      <c r="G7" s="53">
        <f>'Baseline System Analysis'!G7</f>
        <v>25.4</v>
      </c>
      <c r="H7" s="53">
        <f>'Baseline System Analysis'!H7</f>
        <v>27.599999999999998</v>
      </c>
      <c r="I7" s="53">
        <f>'Baseline System Analysis'!I7</f>
        <v>29.799999999999997</v>
      </c>
      <c r="J7" s="53">
        <f>'Baseline System Analysis'!J7</f>
        <v>32</v>
      </c>
      <c r="K7" s="53">
        <f>'Baseline System Analysis'!K7</f>
        <v>30</v>
      </c>
      <c r="L7" s="53">
        <f>'Baseline System Analysis'!L7</f>
        <v>29</v>
      </c>
      <c r="M7" s="53">
        <f>'Baseline System Analysis'!M7</f>
        <v>29</v>
      </c>
      <c r="N7" s="53">
        <f>'Baseline System Analysis'!N7</f>
        <v>29</v>
      </c>
      <c r="O7" s="53">
        <f>'Baseline System Analysis'!O7</f>
        <v>32.666666666666664</v>
      </c>
      <c r="P7" s="53">
        <f>'Baseline System Analysis'!P7</f>
        <v>36.333333333333329</v>
      </c>
      <c r="Q7" s="53">
        <f>'Baseline System Analysis'!Q7</f>
        <v>39.999999999999993</v>
      </c>
      <c r="R7" s="53">
        <f>'Baseline System Analysis'!R7</f>
        <v>43.666666666666657</v>
      </c>
      <c r="S7" s="53">
        <f>'Baseline System Analysis'!S7</f>
        <v>47.333333333333321</v>
      </c>
      <c r="T7" s="53">
        <f>'Baseline System Analysis'!T7</f>
        <v>51</v>
      </c>
      <c r="U7" s="53">
        <f>'Baseline System Analysis'!U7</f>
        <v>56.6</v>
      </c>
      <c r="V7" s="53">
        <f>'Baseline System Analysis'!V7</f>
        <v>62.2</v>
      </c>
      <c r="W7" s="53">
        <f>'Baseline System Analysis'!W7</f>
        <v>67.8</v>
      </c>
      <c r="X7" s="53">
        <f>'Baseline System Analysis'!X7</f>
        <v>73.399999999999991</v>
      </c>
      <c r="Y7" s="53">
        <f>'Baseline System Analysis'!Y7</f>
        <v>79</v>
      </c>
      <c r="Z7" s="53">
        <f>'Baseline System Analysis'!Z7</f>
        <v>82</v>
      </c>
      <c r="AA7" s="53">
        <f>'Baseline System Analysis'!AA7</f>
        <v>85</v>
      </c>
      <c r="AB7" s="53">
        <f>'Baseline System Analysis'!AB7</f>
        <v>88</v>
      </c>
      <c r="AC7" s="53">
        <f>'Baseline System Analysis'!AC7</f>
        <v>91</v>
      </c>
      <c r="AD7" s="53">
        <f>'Baseline System Analysis'!AD7</f>
        <v>94</v>
      </c>
    </row>
    <row r="8" spans="1:30" x14ac:dyDescent="0.35">
      <c r="A8" s="72" t="s">
        <v>39</v>
      </c>
      <c r="B8" s="176"/>
      <c r="C8" s="72" t="s">
        <v>31</v>
      </c>
      <c r="D8" s="53">
        <f>'Baseline System Analysis'!D8</f>
        <v>22.2</v>
      </c>
      <c r="E8" s="53">
        <f>'Baseline System Analysis'!E8</f>
        <v>65.8</v>
      </c>
      <c r="F8" s="53">
        <f>'Baseline System Analysis'!F8</f>
        <v>102.72</v>
      </c>
      <c r="G8" s="53">
        <f>'Baseline System Analysis'!G8</f>
        <v>139.63999999999999</v>
      </c>
      <c r="H8" s="53">
        <f>'Baseline System Analysis'!H8</f>
        <v>176.56</v>
      </c>
      <c r="I8" s="53">
        <f>'Baseline System Analysis'!I8</f>
        <v>213.48000000000002</v>
      </c>
      <c r="J8" s="53">
        <f>'Baseline System Analysis'!J8</f>
        <v>250.4</v>
      </c>
      <c r="K8" s="53">
        <f>'Baseline System Analysis'!K8</f>
        <v>216.60000000000014</v>
      </c>
      <c r="L8" s="53">
        <f>'Baseline System Analysis'!L8</f>
        <v>182.59999999999991</v>
      </c>
      <c r="M8" s="53">
        <f>'Baseline System Analysis'!M8</f>
        <v>151.20000000000005</v>
      </c>
      <c r="N8" s="53">
        <f>'Baseline System Analysis'!N8</f>
        <v>202.60000000000014</v>
      </c>
      <c r="O8" s="53">
        <f>'Baseline System Analysis'!O8</f>
        <v>292.1666666666668</v>
      </c>
      <c r="P8" s="53">
        <f>'Baseline System Analysis'!P8</f>
        <v>381.73333333333346</v>
      </c>
      <c r="Q8" s="53">
        <f>'Baseline System Analysis'!Q8</f>
        <v>471.30000000000013</v>
      </c>
      <c r="R8" s="53">
        <f>'Baseline System Analysis'!R8</f>
        <v>560.86666666666679</v>
      </c>
      <c r="S8" s="53">
        <f>'Baseline System Analysis'!S8</f>
        <v>650.43333333333339</v>
      </c>
      <c r="T8" s="53">
        <f>'Baseline System Analysis'!T8</f>
        <v>740</v>
      </c>
      <c r="U8" s="53">
        <f>'Baseline System Analysis'!U8</f>
        <v>930.87999999999988</v>
      </c>
      <c r="V8" s="53">
        <f>'Baseline System Analysis'!V8</f>
        <v>1121.7599999999998</v>
      </c>
      <c r="W8" s="53">
        <f>'Baseline System Analysis'!W8</f>
        <v>1312.6399999999996</v>
      </c>
      <c r="X8" s="53">
        <f>'Baseline System Analysis'!X8</f>
        <v>1503.5199999999995</v>
      </c>
      <c r="Y8" s="53">
        <f>'Baseline System Analysis'!Y8</f>
        <v>1694.3999999999994</v>
      </c>
      <c r="Z8" s="53">
        <f>'Baseline System Analysis'!Z8</f>
        <v>1887.3999999999994</v>
      </c>
      <c r="AA8" s="53">
        <f>'Baseline System Analysis'!AA8</f>
        <v>2080.3999999999996</v>
      </c>
      <c r="AB8" s="53">
        <f>'Baseline System Analysis'!AB8</f>
        <v>2273.3999999999996</v>
      </c>
      <c r="AC8" s="53">
        <f>'Baseline System Analysis'!AC8</f>
        <v>2466.3999999999996</v>
      </c>
      <c r="AD8" s="53">
        <f>'Baseline System Analysis'!AD8</f>
        <v>2659.3999999999996</v>
      </c>
    </row>
    <row r="9" spans="1:30" x14ac:dyDescent="0.35">
      <c r="A9" s="72" t="s">
        <v>39</v>
      </c>
      <c r="B9" s="176"/>
      <c r="C9" s="72" t="s">
        <v>32</v>
      </c>
      <c r="D9" s="53">
        <f>'Baseline System Analysis'!D9</f>
        <v>13</v>
      </c>
      <c r="E9" s="53">
        <f>'Baseline System Analysis'!E9</f>
        <v>27</v>
      </c>
      <c r="F9" s="53">
        <f>'Baseline System Analysis'!F9</f>
        <v>34.519999999999982</v>
      </c>
      <c r="G9" s="53">
        <f>'Baseline System Analysis'!G9</f>
        <v>42.039999999999964</v>
      </c>
      <c r="H9" s="53">
        <f>'Baseline System Analysis'!H9</f>
        <v>49.559999999999945</v>
      </c>
      <c r="I9" s="53">
        <f>'Baseline System Analysis'!I9</f>
        <v>57.079999999999927</v>
      </c>
      <c r="J9" s="53">
        <f>'Baseline System Analysis'!J9</f>
        <v>64.599999999999909</v>
      </c>
      <c r="K9" s="53">
        <f>'Baseline System Analysis'!K9</f>
        <v>59.799999999999955</v>
      </c>
      <c r="L9" s="53">
        <f>'Baseline System Analysis'!L9</f>
        <v>52.799999999999955</v>
      </c>
      <c r="M9" s="53">
        <f>'Baseline System Analysis'!M9</f>
        <v>46</v>
      </c>
      <c r="N9" s="53">
        <f>'Baseline System Analysis'!N9</f>
        <v>57.400000000000091</v>
      </c>
      <c r="O9" s="53">
        <f>'Baseline System Analysis'!O9</f>
        <v>67.333333333333414</v>
      </c>
      <c r="P9" s="53">
        <f>'Baseline System Analysis'!P9</f>
        <v>77.266666666666737</v>
      </c>
      <c r="Q9" s="53">
        <f>'Baseline System Analysis'!Q9</f>
        <v>87.20000000000006</v>
      </c>
      <c r="R9" s="53">
        <f>'Baseline System Analysis'!R9</f>
        <v>97.133333333333383</v>
      </c>
      <c r="S9" s="53">
        <f>'Baseline System Analysis'!S9</f>
        <v>107.06666666666671</v>
      </c>
      <c r="T9" s="53">
        <f>'Baseline System Analysis'!T9</f>
        <v>117</v>
      </c>
      <c r="U9" s="53">
        <f>'Baseline System Analysis'!U9</f>
        <v>126.6</v>
      </c>
      <c r="V9" s="53">
        <f>'Baseline System Analysis'!V9</f>
        <v>136.19999999999999</v>
      </c>
      <c r="W9" s="53">
        <f>'Baseline System Analysis'!W9</f>
        <v>145.79999999999998</v>
      </c>
      <c r="X9" s="53">
        <f>'Baseline System Analysis'!X9</f>
        <v>155.39999999999998</v>
      </c>
      <c r="Y9" s="53">
        <f>'Baseline System Analysis'!Y9</f>
        <v>165</v>
      </c>
      <c r="Z9" s="53">
        <f>'Baseline System Analysis'!Z9</f>
        <v>171.84</v>
      </c>
      <c r="AA9" s="53">
        <f>'Baseline System Analysis'!AA9</f>
        <v>178.68</v>
      </c>
      <c r="AB9" s="53">
        <f>'Baseline System Analysis'!AB9</f>
        <v>185.52</v>
      </c>
      <c r="AC9" s="53">
        <f>'Baseline System Analysis'!AC9</f>
        <v>192.36</v>
      </c>
      <c r="AD9" s="53">
        <f>'Baseline System Analysis'!AD9</f>
        <v>199.20000000000005</v>
      </c>
    </row>
    <row r="10" spans="1:30" x14ac:dyDescent="0.35">
      <c r="A10" s="72" t="s">
        <v>39</v>
      </c>
      <c r="B10" s="176"/>
      <c r="C10" s="72" t="s">
        <v>33</v>
      </c>
      <c r="D10" s="53">
        <f>'Baseline System Analysis'!D10</f>
        <v>4.7253529883901121E-2</v>
      </c>
      <c r="E10" s="53">
        <f>'Baseline System Analysis'!E10</f>
        <v>0.28011551949195379</v>
      </c>
      <c r="F10" s="53">
        <f>'Baseline System Analysis'!F10</f>
        <v>0.59718244793816533</v>
      </c>
      <c r="G10" s="53">
        <f>'Baseline System Analysis'!G10</f>
        <v>0.91424937638437687</v>
      </c>
      <c r="H10" s="53">
        <f>'Baseline System Analysis'!H10</f>
        <v>1.2313163048305884</v>
      </c>
      <c r="I10" s="53">
        <f>'Baseline System Analysis'!I10</f>
        <v>1.5483832332767999</v>
      </c>
      <c r="J10" s="53">
        <f>'Baseline System Analysis'!J10</f>
        <v>1.8654501617230115</v>
      </c>
      <c r="K10" s="53">
        <f>'Baseline System Analysis'!K10</f>
        <v>1.6136441894137561</v>
      </c>
      <c r="L10" s="53">
        <f>'Baseline System Analysis'!L10</f>
        <v>1.1660127779459895</v>
      </c>
      <c r="M10" s="53">
        <f>'Baseline System Analysis'!M10</f>
        <v>0.80458713045561225</v>
      </c>
      <c r="N10" s="53">
        <f>'Baseline System Analysis'!N10</f>
        <v>0.56680711827214547</v>
      </c>
      <c r="O10" s="53">
        <f>'Baseline System Analysis'!O10</f>
        <v>3.0445179689462347</v>
      </c>
      <c r="P10" s="53">
        <f>'Baseline System Analysis'!P10</f>
        <v>4.5886299372095039</v>
      </c>
      <c r="Q10" s="53">
        <f>'Baseline System Analysis'!Q10</f>
        <v>6.1327419054727734</v>
      </c>
      <c r="R10" s="53">
        <f>'Baseline System Analysis'!R10</f>
        <v>7.676853873736043</v>
      </c>
      <c r="S10" s="53">
        <f>'Baseline System Analysis'!S10</f>
        <v>9.2209658419993126</v>
      </c>
      <c r="T10" s="53">
        <f>'Baseline System Analysis'!T10</f>
        <v>10.765077810262582</v>
      </c>
      <c r="U10" s="53">
        <f>'Baseline System Analysis'!U10</f>
        <v>11.285969377257926</v>
      </c>
      <c r="V10" s="53">
        <f>'Baseline System Analysis'!V10</f>
        <v>11.80686094425327</v>
      </c>
      <c r="W10" s="53">
        <f>'Baseline System Analysis'!W10</f>
        <v>12.327752511248613</v>
      </c>
      <c r="X10" s="53">
        <f>'Baseline System Analysis'!X10</f>
        <v>12.848644078243957</v>
      </c>
      <c r="Y10" s="53">
        <f>'Baseline System Analysis'!Y10</f>
        <v>13.369535645239303</v>
      </c>
      <c r="Z10" s="53">
        <f>'Baseline System Analysis'!Z10</f>
        <v>31.024884631077057</v>
      </c>
      <c r="AA10" s="53">
        <f>'Baseline System Analysis'!AA10</f>
        <v>48.680233616914812</v>
      </c>
      <c r="AB10" s="53">
        <f>'Baseline System Analysis'!AB10</f>
        <v>66.335582602752567</v>
      </c>
      <c r="AC10" s="53">
        <f>'Baseline System Analysis'!AC10</f>
        <v>83.990931588590314</v>
      </c>
      <c r="AD10" s="53">
        <f>'Baseline System Analysis'!AD10</f>
        <v>101.64628057442808</v>
      </c>
    </row>
    <row r="11" spans="1:30" x14ac:dyDescent="0.35">
      <c r="A11" s="72" t="s">
        <v>39</v>
      </c>
      <c r="B11" s="176"/>
      <c r="C11" s="72" t="s">
        <v>34</v>
      </c>
      <c r="D11" s="53">
        <f>'Baseline System Analysis'!D11</f>
        <v>2.3626764941950561E-2</v>
      </c>
      <c r="E11" s="53">
        <f>'Baseline System Analysis'!E11</f>
        <v>7.0028879872988448E-2</v>
      </c>
      <c r="F11" s="53">
        <f>'Baseline System Analysis'!F11</f>
        <v>0.10932167994761965</v>
      </c>
      <c r="G11" s="53">
        <f>'Baseline System Analysis'!G11</f>
        <v>0.14861448002225086</v>
      </c>
      <c r="H11" s="53">
        <f>'Baseline System Analysis'!H11</f>
        <v>0.18790728009688207</v>
      </c>
      <c r="I11" s="53">
        <f>'Baseline System Analysis'!I11</f>
        <v>0.22720008017151327</v>
      </c>
      <c r="J11" s="53">
        <f>'Baseline System Analysis'!J11</f>
        <v>0.26649288024614448</v>
      </c>
      <c r="K11" s="53">
        <f>'Baseline System Analysis'!K11</f>
        <v>0.23052059848767945</v>
      </c>
      <c r="L11" s="53">
        <f>'Baseline System Analysis'!L11</f>
        <v>0.19433546299099821</v>
      </c>
      <c r="M11" s="53">
        <f>'Baseline System Analysis'!M11</f>
        <v>0.16091742609112245</v>
      </c>
      <c r="N11" s="53">
        <f>'Baseline System Analysis'!N11</f>
        <v>4.2212624824281168E-2</v>
      </c>
      <c r="O11" s="53">
        <f>'Baseline System Analysis'!O11</f>
        <v>0.30677545020347896</v>
      </c>
      <c r="P11" s="53">
        <f>'Baseline System Analysis'!P11</f>
        <v>0.39920718602367722</v>
      </c>
      <c r="Q11" s="53">
        <f>'Baseline System Analysis'!Q11</f>
        <v>0.49163892184387548</v>
      </c>
      <c r="R11" s="53">
        <f>'Baseline System Analysis'!R11</f>
        <v>0.58407065766407373</v>
      </c>
      <c r="S11" s="53">
        <f>'Baseline System Analysis'!S11</f>
        <v>0.67650239348427199</v>
      </c>
      <c r="T11" s="53">
        <f>'Baseline System Analysis'!T11</f>
        <v>0.76893412930447014</v>
      </c>
      <c r="U11" s="53">
        <f>'Baseline System Analysis'!U11</f>
        <v>0.69278283231502535</v>
      </c>
      <c r="V11" s="53">
        <f>'Baseline System Analysis'!V11</f>
        <v>0.61663153532558057</v>
      </c>
      <c r="W11" s="53">
        <f>'Baseline System Analysis'!W11</f>
        <v>0.54048023833613579</v>
      </c>
      <c r="X11" s="53">
        <f>'Baseline System Analysis'!X11</f>
        <v>0.464328941346691</v>
      </c>
      <c r="Y11" s="53">
        <f>'Baseline System Analysis'!Y11</f>
        <v>0.38817764435724611</v>
      </c>
      <c r="Z11" s="53">
        <f>'Baseline System Analysis'!Z11</f>
        <v>0.85998146994216484</v>
      </c>
      <c r="AA11" s="53">
        <f>'Baseline System Analysis'!AA11</f>
        <v>1.3317852955270837</v>
      </c>
      <c r="AB11" s="53">
        <f>'Baseline System Analysis'!AB11</f>
        <v>1.8035891211120025</v>
      </c>
      <c r="AC11" s="53">
        <f>'Baseline System Analysis'!AC11</f>
        <v>2.2753929466969214</v>
      </c>
      <c r="AD11" s="53">
        <f>'Baseline System Analysis'!AD11</f>
        <v>2.74719677228184</v>
      </c>
    </row>
    <row r="12" spans="1:30" x14ac:dyDescent="0.35">
      <c r="A12" s="72" t="s">
        <v>39</v>
      </c>
      <c r="B12" s="176"/>
      <c r="C12" s="72" t="s">
        <v>35</v>
      </c>
      <c r="D12" s="53">
        <f>'Baseline System Analysis'!D12</f>
        <v>2</v>
      </c>
      <c r="E12" s="53">
        <f>'Baseline System Analysis'!E12</f>
        <v>4</v>
      </c>
      <c r="F12" s="53">
        <f>'Baseline System Analysis'!F12</f>
        <v>4.5999999999999996</v>
      </c>
      <c r="G12" s="53">
        <f>'Baseline System Analysis'!G12</f>
        <v>5.1999999999999993</v>
      </c>
      <c r="H12" s="53">
        <f>'Baseline System Analysis'!H12</f>
        <v>5.7999999999999989</v>
      </c>
      <c r="I12" s="53">
        <f>'Baseline System Analysis'!I12</f>
        <v>6.3999999999999986</v>
      </c>
      <c r="J12" s="53">
        <f>'Baseline System Analysis'!J12</f>
        <v>7</v>
      </c>
      <c r="K12" s="53">
        <f>'Baseline System Analysis'!K12</f>
        <v>7</v>
      </c>
      <c r="L12" s="53">
        <f>'Baseline System Analysis'!L12</f>
        <v>6</v>
      </c>
      <c r="M12" s="53">
        <f>'Baseline System Analysis'!M12</f>
        <v>5</v>
      </c>
      <c r="N12" s="53">
        <f>'Baseline System Analysis'!N12</f>
        <v>7</v>
      </c>
      <c r="O12" s="53">
        <f>'Baseline System Analysis'!O12</f>
        <v>8.1666666666666661</v>
      </c>
      <c r="P12" s="53">
        <f>'Baseline System Analysis'!P12</f>
        <v>9.3333333333333321</v>
      </c>
      <c r="Q12" s="53">
        <f>'Baseline System Analysis'!Q12</f>
        <v>10.499999999999998</v>
      </c>
      <c r="R12" s="53">
        <f>'Baseline System Analysis'!R12</f>
        <v>11.666666666666664</v>
      </c>
      <c r="S12" s="53">
        <f>'Baseline System Analysis'!S12</f>
        <v>12.83333333333333</v>
      </c>
      <c r="T12" s="53">
        <f>'Baseline System Analysis'!T12</f>
        <v>14</v>
      </c>
      <c r="U12" s="53">
        <f>'Baseline System Analysis'!U12</f>
        <v>17</v>
      </c>
      <c r="V12" s="53">
        <f>'Baseline System Analysis'!V12</f>
        <v>20</v>
      </c>
      <c r="W12" s="53">
        <f>'Baseline System Analysis'!W12</f>
        <v>23</v>
      </c>
      <c r="X12" s="53">
        <f>'Baseline System Analysis'!X12</f>
        <v>26</v>
      </c>
      <c r="Y12" s="53">
        <f>'Baseline System Analysis'!Y12</f>
        <v>29</v>
      </c>
      <c r="Z12" s="53">
        <f>'Baseline System Analysis'!Z12</f>
        <v>30.6</v>
      </c>
      <c r="AA12" s="53">
        <f>'Baseline System Analysis'!AA12</f>
        <v>32.200000000000003</v>
      </c>
      <c r="AB12" s="53">
        <f>'Baseline System Analysis'!AB12</f>
        <v>33.800000000000004</v>
      </c>
      <c r="AC12" s="53">
        <f>'Baseline System Analysis'!AC12</f>
        <v>35.400000000000006</v>
      </c>
      <c r="AD12" s="53">
        <f>'Baseline System Analysis'!AD12</f>
        <v>37</v>
      </c>
    </row>
    <row r="13" spans="1:30" s="52" customFormat="1" x14ac:dyDescent="0.35">
      <c r="A13" s="72" t="s">
        <v>30</v>
      </c>
      <c r="B13" s="176"/>
      <c r="C13" s="72" t="s">
        <v>108</v>
      </c>
      <c r="D13" s="53">
        <f>'Baseline System Analysis'!D13</f>
        <v>5445.825674993449</v>
      </c>
      <c r="E13" s="53">
        <f>'Baseline System Analysis'!E13</f>
        <v>7241.293555071361</v>
      </c>
      <c r="F13" s="53">
        <f>'Baseline System Analysis'!F13</f>
        <v>9036.7614351492721</v>
      </c>
      <c r="G13" s="53">
        <f>'Baseline System Analysis'!G13</f>
        <v>10832.229315227183</v>
      </c>
      <c r="H13" s="53">
        <f>'Baseline System Analysis'!H13</f>
        <v>12627.697195305094</v>
      </c>
      <c r="I13" s="53">
        <f>'Baseline System Analysis'!I13</f>
        <v>14423.165075383005</v>
      </c>
      <c r="J13" s="53">
        <f>'Baseline System Analysis'!J13</f>
        <v>16218.632955460916</v>
      </c>
      <c r="K13" s="53">
        <f>'Baseline System Analysis'!K13</f>
        <v>15620.143662101613</v>
      </c>
      <c r="L13" s="53">
        <f>'Baseline System Analysis'!L13</f>
        <v>15021.654368742309</v>
      </c>
      <c r="M13" s="53">
        <f>'Baseline System Analysis'!M13</f>
        <v>13525.43113534405</v>
      </c>
      <c r="N13" s="53">
        <f>'Baseline System Analysis'!N13</f>
        <v>14423.165075383005</v>
      </c>
      <c r="O13" s="53">
        <f>'Baseline System Analysis'!O13</f>
        <v>16913.232955460899</v>
      </c>
      <c r="P13" s="53">
        <f>'Baseline System Analysis'!P13</f>
        <v>17831.369243247562</v>
      </c>
      <c r="Q13" s="53">
        <f>'Baseline System Analysis'!Q13</f>
        <v>18749.505531034225</v>
      </c>
      <c r="R13" s="53">
        <f>'Baseline System Analysis'!R13</f>
        <v>19667.641818820888</v>
      </c>
      <c r="S13" s="53">
        <f>'Baseline System Analysis'!S13</f>
        <v>20585.778106607551</v>
      </c>
      <c r="T13" s="53">
        <f>'Baseline System Analysis'!T13</f>
        <v>21503.914394394214</v>
      </c>
      <c r="U13" s="53">
        <f>'Baseline System Analysis'!U13</f>
        <v>22422.050682180878</v>
      </c>
      <c r="V13" s="53">
        <f>'Baseline System Analysis'!V13</f>
        <v>23340.186969967541</v>
      </c>
      <c r="W13" s="53">
        <f>'Baseline System Analysis'!W13</f>
        <v>24258.323257754204</v>
      </c>
      <c r="X13" s="53">
        <f>'Baseline System Analysis'!X13</f>
        <v>25176.459545540867</v>
      </c>
      <c r="Y13" s="53">
        <f>'Baseline System Analysis'!Y13</f>
        <v>26094.59583332753</v>
      </c>
      <c r="Z13" s="53">
        <f>'Baseline System Analysis'!Z13</f>
        <v>27012.732121114193</v>
      </c>
      <c r="AA13" s="53">
        <f>'Baseline System Analysis'!AA13</f>
        <v>27930.868408900857</v>
      </c>
      <c r="AB13" s="53">
        <f>'Baseline System Analysis'!AB13</f>
        <v>28849.00469668752</v>
      </c>
      <c r="AC13" s="53">
        <f>'Baseline System Analysis'!AC13</f>
        <v>29767.140984474183</v>
      </c>
      <c r="AD13" s="53">
        <f>'Baseline System Analysis'!AD13</f>
        <v>30685.277272260842</v>
      </c>
    </row>
    <row r="14" spans="1:30" s="52" customFormat="1" x14ac:dyDescent="0.35">
      <c r="A14" s="72" t="s">
        <v>30</v>
      </c>
      <c r="B14" s="176"/>
      <c r="C14" s="72" t="s">
        <v>109</v>
      </c>
      <c r="D14" s="53">
        <f>'Baseline System Analysis'!D14</f>
        <v>192864.66620394157</v>
      </c>
      <c r="E14" s="53">
        <f>'Baseline System Analysis'!E14</f>
        <v>195239.2419650236</v>
      </c>
      <c r="F14" s="53">
        <f>'Baseline System Analysis'!F14</f>
        <v>196366.76544203321</v>
      </c>
      <c r="G14" s="53">
        <f>'Baseline System Analysis'!G14</f>
        <v>197525.37556068008</v>
      </c>
      <c r="H14" s="53">
        <f>'Baseline System Analysis'!H14</f>
        <v>198743.92387830256</v>
      </c>
      <c r="I14" s="53">
        <f>'Baseline System Analysis'!I14</f>
        <v>200140.93841202525</v>
      </c>
      <c r="J14" s="53">
        <f>'Baseline System Analysis'!J14</f>
        <v>201537.7102617296</v>
      </c>
      <c r="K14" s="53">
        <f>'Baseline System Analysis'!K14</f>
        <v>200616.89493678272</v>
      </c>
      <c r="L14" s="53">
        <f>'Baseline System Analysis'!L14</f>
        <v>199696.14928779242</v>
      </c>
      <c r="M14" s="53">
        <f>'Baseline System Analysis'!M14</f>
        <v>198775.23322502323</v>
      </c>
      <c r="N14" s="53">
        <f>'Baseline System Analysis'!N14</f>
        <v>200250.33489773443</v>
      </c>
      <c r="O14" s="53">
        <f>'Baseline System Analysis'!O14</f>
        <v>201766.1654636735</v>
      </c>
      <c r="P14" s="53">
        <f>'Baseline System Analysis'!P14</f>
        <v>203325.96278464468</v>
      </c>
      <c r="Q14" s="53">
        <f>'Baseline System Analysis'!Q14</f>
        <v>204856.96017693213</v>
      </c>
      <c r="R14" s="53">
        <f>'Baseline System Analysis'!R14</f>
        <v>206421.18825616254</v>
      </c>
      <c r="S14" s="53">
        <f>'Baseline System Analysis'!S14</f>
        <v>208013.70502273936</v>
      </c>
      <c r="T14" s="53">
        <f>'Baseline System Analysis'!T14</f>
        <v>209643.37199318074</v>
      </c>
      <c r="U14" s="53">
        <f>'Baseline System Analysis'!U14</f>
        <v>211125.2902170599</v>
      </c>
      <c r="V14" s="53">
        <f>'Baseline System Analysis'!V14</f>
        <v>212613.854578328</v>
      </c>
      <c r="W14" s="53">
        <f>'Baseline System Analysis'!W14</f>
        <v>214101.90769825791</v>
      </c>
      <c r="X14" s="53">
        <f>'Baseline System Analysis'!X14</f>
        <v>215599.50398982322</v>
      </c>
      <c r="Y14" s="53">
        <f>'Baseline System Analysis'!Y14</f>
        <v>216849.14823265999</v>
      </c>
      <c r="Z14" s="53">
        <f>'Baseline System Analysis'!Z14</f>
        <v>218069.3108916957</v>
      </c>
      <c r="AA14" s="53">
        <f>'Baseline System Analysis'!AA14</f>
        <v>219248.74465750376</v>
      </c>
      <c r="AB14" s="53">
        <f>'Baseline System Analysis'!AB14</f>
        <v>220395.79980526475</v>
      </c>
      <c r="AC14" s="53">
        <f>'Baseline System Analysis'!AC14</f>
        <v>221214.46760051764</v>
      </c>
      <c r="AD14" s="53">
        <f>'Baseline System Analysis'!AD14</f>
        <v>221946.05395460132</v>
      </c>
    </row>
    <row r="15" spans="1:30" s="52" customFormat="1" x14ac:dyDescent="0.35">
      <c r="A15" s="72" t="s">
        <v>30</v>
      </c>
      <c r="B15" s="176"/>
      <c r="C15" s="72" t="s">
        <v>110</v>
      </c>
      <c r="D15" s="53">
        <f>'Baseline System Analysis'!D15</f>
        <v>57814.1637958055</v>
      </c>
      <c r="E15" s="53">
        <f>'Baseline System Analysis'!E15</f>
        <v>62191.746894023359</v>
      </c>
      <c r="F15" s="53">
        <f>'Baseline System Analysis'!F15</f>
        <v>64361.105239567863</v>
      </c>
      <c r="G15" s="53">
        <f>'Baseline System Analysis'!G15</f>
        <v>66628.501001105484</v>
      </c>
      <c r="H15" s="53">
        <f>'Baseline System Analysis'!H15</f>
        <v>69068.22672153436</v>
      </c>
      <c r="I15" s="53">
        <f>'Baseline System Analysis'!I15</f>
        <v>71918.961016641551</v>
      </c>
      <c r="J15" s="53">
        <f>'Baseline System Analysis'!J15</f>
        <v>74820.679205256296</v>
      </c>
      <c r="K15" s="53">
        <f>'Baseline System Analysis'!K15</f>
        <v>72899.28225345345</v>
      </c>
      <c r="L15" s="53">
        <f>'Baseline System Analysis'!L15</f>
        <v>71006.352594376862</v>
      </c>
      <c r="M15" s="53">
        <f>'Baseline System Analysis'!M15</f>
        <v>69131.616141376318</v>
      </c>
      <c r="N15" s="53">
        <f>'Baseline System Analysis'!N15</f>
        <v>72143.764963991809</v>
      </c>
      <c r="O15" s="53">
        <f>'Baseline System Analysis'!O15</f>
        <v>75301.925896232133</v>
      </c>
      <c r="P15" s="53">
        <f>'Baseline System Analysis'!P15</f>
        <v>78629.627518656707</v>
      </c>
      <c r="Q15" s="53">
        <f>'Baseline System Analysis'!Q15</f>
        <v>81951.057574073071</v>
      </c>
      <c r="R15" s="53">
        <f>'Baseline System Analysis'!R15</f>
        <v>85383.424638269789</v>
      </c>
      <c r="S15" s="53">
        <f>'Baseline System Analysis'!S15</f>
        <v>88945.971119594135</v>
      </c>
      <c r="T15" s="53">
        <f>'Baseline System Analysis'!T15</f>
        <v>92676.895920951385</v>
      </c>
      <c r="U15" s="53">
        <f>'Baseline System Analysis'!U15</f>
        <v>96145.729908431153</v>
      </c>
      <c r="V15" s="53">
        <f>'Baseline System Analysis'!V15</f>
        <v>99700.858162341799</v>
      </c>
      <c r="W15" s="53">
        <f>'Baseline System Analysis'!W15</f>
        <v>103340.20977892888</v>
      </c>
      <c r="X15" s="53">
        <f>'Baseline System Analysis'!X15</f>
        <v>107065.51818072386</v>
      </c>
      <c r="Y15" s="53">
        <f>'Baseline System Analysis'!Y15</f>
        <v>110237.64392344528</v>
      </c>
      <c r="Z15" s="53">
        <f>'Baseline System Analysis'!Z15</f>
        <v>113355.67104643886</v>
      </c>
      <c r="AA15" s="53">
        <f>'Baseline System Analysis'!AA15</f>
        <v>116394.79841235251</v>
      </c>
      <c r="AB15" s="53">
        <f>'Baseline System Analysis'!AB15</f>
        <v>119393.94598127359</v>
      </c>
      <c r="AC15" s="53">
        <f>'Baseline System Analysis'!AC15</f>
        <v>121552.79504833522</v>
      </c>
      <c r="AD15" s="53">
        <f>'Baseline System Analysis'!AD15</f>
        <v>123501.36707164065</v>
      </c>
    </row>
    <row r="16" spans="1:30" s="52" customFormat="1" x14ac:dyDescent="0.35">
      <c r="A16" s="72"/>
      <c r="B16" s="72"/>
      <c r="C16" s="72"/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3"/>
      <c r="R16" s="53"/>
      <c r="S16" s="53"/>
      <c r="T16" s="53"/>
      <c r="U16" s="53"/>
      <c r="V16" s="53"/>
      <c r="W16" s="53"/>
      <c r="X16" s="53"/>
      <c r="Y16" s="53"/>
      <c r="Z16" s="53"/>
      <c r="AA16" s="53"/>
      <c r="AB16" s="53"/>
      <c r="AC16" s="53"/>
      <c r="AD16" s="53"/>
    </row>
    <row r="17" spans="1:30" ht="20" thickBot="1" x14ac:dyDescent="0.5">
      <c r="A17" s="113"/>
      <c r="B17" s="122"/>
      <c r="C17" s="113" t="s">
        <v>105</v>
      </c>
      <c r="D17" s="113">
        <v>2022</v>
      </c>
      <c r="E17" s="113">
        <v>2023</v>
      </c>
      <c r="F17" s="113">
        <v>2024</v>
      </c>
      <c r="G17" s="113">
        <v>2025</v>
      </c>
      <c r="H17" s="113">
        <v>2026</v>
      </c>
      <c r="I17" s="113">
        <v>2027</v>
      </c>
      <c r="J17" s="113">
        <v>2028</v>
      </c>
      <c r="K17" s="113">
        <v>2029</v>
      </c>
      <c r="L17" s="113">
        <v>2030</v>
      </c>
      <c r="M17" s="113">
        <v>2031</v>
      </c>
      <c r="N17" s="113">
        <v>2032</v>
      </c>
      <c r="O17" s="113">
        <v>2033</v>
      </c>
      <c r="P17" s="113">
        <v>2034</v>
      </c>
      <c r="Q17" s="113">
        <v>2035</v>
      </c>
      <c r="R17" s="113">
        <v>2036</v>
      </c>
      <c r="S17" s="113">
        <v>2037</v>
      </c>
      <c r="T17" s="113">
        <v>2038</v>
      </c>
      <c r="U17" s="113">
        <v>2039</v>
      </c>
      <c r="V17" s="113">
        <v>2040</v>
      </c>
      <c r="W17" s="113">
        <v>2041</v>
      </c>
      <c r="X17" s="113">
        <v>2042</v>
      </c>
      <c r="Y17" s="113">
        <v>2043</v>
      </c>
      <c r="Z17" s="113">
        <v>2044</v>
      </c>
      <c r="AA17" s="113">
        <v>2045</v>
      </c>
      <c r="AB17" s="113">
        <v>2046</v>
      </c>
      <c r="AC17" s="113">
        <v>2047</v>
      </c>
      <c r="AD17" s="113">
        <v>2048</v>
      </c>
    </row>
    <row r="18" spans="1:30" ht="15" thickTop="1" x14ac:dyDescent="0.35">
      <c r="A18" s="72"/>
      <c r="B18" s="174" t="s">
        <v>11</v>
      </c>
      <c r="C18" s="72" t="s">
        <v>107</v>
      </c>
      <c r="D18" s="53">
        <v>43917.339999999931</v>
      </c>
      <c r="E18" s="4">
        <v>44144.462500000038</v>
      </c>
      <c r="F18" s="4">
        <v>44371.585000000137</v>
      </c>
      <c r="G18" s="4">
        <v>44598.707500000237</v>
      </c>
      <c r="H18" s="4">
        <v>44825.830000000336</v>
      </c>
      <c r="I18" s="4">
        <v>45052.952500000436</v>
      </c>
      <c r="J18" s="4">
        <v>45280.07500000055</v>
      </c>
      <c r="K18" s="4">
        <v>45135.340000000469</v>
      </c>
      <c r="L18" s="4">
        <v>44990.690000000373</v>
      </c>
      <c r="M18" s="4">
        <v>44840.080000000438</v>
      </c>
      <c r="N18" s="4">
        <v>45077.670000000384</v>
      </c>
      <c r="O18" s="4">
        <f>N18+(($AD18-$N18)/(COLUMN($AD18)-COLUMN($N18)))</f>
        <v>45309.884272808486</v>
      </c>
      <c r="P18" s="4">
        <f t="shared" ref="P18:AC18" si="0">O18+(($AD18-$N18)/(COLUMN($AD18)-COLUMN($N18)))</f>
        <v>45542.098545616587</v>
      </c>
      <c r="Q18" s="4">
        <f t="shared" si="0"/>
        <v>45774.312818424689</v>
      </c>
      <c r="R18" s="4">
        <f t="shared" si="0"/>
        <v>46006.527091232791</v>
      </c>
      <c r="S18" s="4">
        <f t="shared" si="0"/>
        <v>46238.741364040892</v>
      </c>
      <c r="T18" s="4">
        <f t="shared" si="0"/>
        <v>46470.955636848994</v>
      </c>
      <c r="U18" s="4">
        <f t="shared" si="0"/>
        <v>46703.169909657096</v>
      </c>
      <c r="V18" s="4">
        <f t="shared" si="0"/>
        <v>46935.384182465197</v>
      </c>
      <c r="W18" s="4">
        <f t="shared" si="0"/>
        <v>47167.598455273299</v>
      </c>
      <c r="X18" s="4">
        <f t="shared" si="0"/>
        <v>47399.812728081401</v>
      </c>
      <c r="Y18" s="4">
        <f t="shared" si="0"/>
        <v>47632.027000889502</v>
      </c>
      <c r="Z18" s="4">
        <f t="shared" si="0"/>
        <v>47864.241273697604</v>
      </c>
      <c r="AA18" s="4">
        <f t="shared" si="0"/>
        <v>48096.455546505706</v>
      </c>
      <c r="AB18" s="4">
        <f t="shared" si="0"/>
        <v>48328.669819313807</v>
      </c>
      <c r="AC18" s="4">
        <f t="shared" si="0"/>
        <v>48560.884092121909</v>
      </c>
      <c r="AD18" s="53">
        <v>48793.098364929996</v>
      </c>
    </row>
    <row r="19" spans="1:30" x14ac:dyDescent="0.35">
      <c r="A19" s="72" t="s">
        <v>30</v>
      </c>
      <c r="B19" s="176"/>
      <c r="C19" s="72" t="s">
        <v>31</v>
      </c>
      <c r="D19" s="53">
        <v>0</v>
      </c>
      <c r="E19" s="53">
        <v>0</v>
      </c>
      <c r="F19" s="53">
        <v>0</v>
      </c>
      <c r="G19" s="53">
        <v>0</v>
      </c>
      <c r="H19" s="53">
        <v>0</v>
      </c>
      <c r="I19" s="53">
        <v>0</v>
      </c>
      <c r="J19" s="53">
        <v>0</v>
      </c>
      <c r="K19" s="53">
        <v>0</v>
      </c>
      <c r="L19" s="53">
        <v>0</v>
      </c>
      <c r="M19" s="53">
        <v>0</v>
      </c>
      <c r="N19" s="53">
        <v>0</v>
      </c>
      <c r="O19" s="53">
        <v>0</v>
      </c>
      <c r="P19" s="53">
        <v>0</v>
      </c>
      <c r="Q19" s="53">
        <v>0</v>
      </c>
      <c r="R19" s="53">
        <v>0</v>
      </c>
      <c r="S19" s="53">
        <v>0</v>
      </c>
      <c r="T19" s="53">
        <v>0</v>
      </c>
      <c r="U19" s="53">
        <v>0</v>
      </c>
      <c r="V19" s="53">
        <v>0</v>
      </c>
      <c r="W19" s="53">
        <v>0</v>
      </c>
      <c r="X19" s="53">
        <v>0</v>
      </c>
      <c r="Y19" s="53">
        <v>0</v>
      </c>
      <c r="Z19" s="53">
        <v>0</v>
      </c>
      <c r="AA19" s="53">
        <v>0</v>
      </c>
      <c r="AB19" s="53">
        <v>0</v>
      </c>
      <c r="AC19" s="53">
        <v>0</v>
      </c>
      <c r="AD19" s="53">
        <v>0</v>
      </c>
    </row>
    <row r="20" spans="1:30" x14ac:dyDescent="0.35">
      <c r="A20" s="72" t="s">
        <v>30</v>
      </c>
      <c r="B20" s="176"/>
      <c r="C20" s="72" t="s">
        <v>32</v>
      </c>
      <c r="D20" s="53">
        <v>0</v>
      </c>
      <c r="E20" s="53">
        <v>0</v>
      </c>
      <c r="F20" s="53">
        <v>0</v>
      </c>
      <c r="G20" s="53">
        <v>0</v>
      </c>
      <c r="H20" s="53">
        <v>0</v>
      </c>
      <c r="I20" s="53">
        <v>0</v>
      </c>
      <c r="J20" s="53">
        <v>0</v>
      </c>
      <c r="K20" s="53">
        <v>0</v>
      </c>
      <c r="L20" s="53">
        <v>0</v>
      </c>
      <c r="M20" s="53">
        <v>0</v>
      </c>
      <c r="N20" s="53">
        <v>0</v>
      </c>
      <c r="O20" s="53">
        <v>0</v>
      </c>
      <c r="P20" s="53">
        <v>0</v>
      </c>
      <c r="Q20" s="53">
        <v>0</v>
      </c>
      <c r="R20" s="53">
        <v>0</v>
      </c>
      <c r="S20" s="53">
        <v>0</v>
      </c>
      <c r="T20" s="53">
        <v>0</v>
      </c>
      <c r="U20" s="53">
        <v>0</v>
      </c>
      <c r="V20" s="53">
        <v>0</v>
      </c>
      <c r="W20" s="53">
        <v>0</v>
      </c>
      <c r="X20" s="53">
        <v>0</v>
      </c>
      <c r="Y20" s="53">
        <v>0</v>
      </c>
      <c r="Z20" s="53">
        <v>0</v>
      </c>
      <c r="AA20" s="53">
        <v>0</v>
      </c>
      <c r="AB20" s="53">
        <v>0</v>
      </c>
      <c r="AC20" s="53">
        <v>0</v>
      </c>
      <c r="AD20" s="53">
        <v>0</v>
      </c>
    </row>
    <row r="21" spans="1:30" x14ac:dyDescent="0.35">
      <c r="A21" s="72" t="s">
        <v>30</v>
      </c>
      <c r="B21" s="176"/>
      <c r="C21" s="72" t="s">
        <v>33</v>
      </c>
      <c r="D21" s="53">
        <v>0</v>
      </c>
      <c r="E21" s="53">
        <v>0</v>
      </c>
      <c r="F21" s="53">
        <v>0</v>
      </c>
      <c r="G21" s="53">
        <v>0</v>
      </c>
      <c r="H21" s="53">
        <v>0</v>
      </c>
      <c r="I21" s="53">
        <v>0</v>
      </c>
      <c r="J21" s="53">
        <v>0</v>
      </c>
      <c r="K21" s="53">
        <v>0</v>
      </c>
      <c r="L21" s="53">
        <v>0</v>
      </c>
      <c r="M21" s="53">
        <v>0</v>
      </c>
      <c r="N21" s="53">
        <v>0</v>
      </c>
      <c r="O21" s="53">
        <v>0</v>
      </c>
      <c r="P21" s="53">
        <v>0</v>
      </c>
      <c r="Q21" s="53">
        <v>0</v>
      </c>
      <c r="R21" s="53">
        <v>0</v>
      </c>
      <c r="S21" s="53">
        <v>0</v>
      </c>
      <c r="T21" s="53">
        <v>0</v>
      </c>
      <c r="U21" s="53">
        <v>0</v>
      </c>
      <c r="V21" s="53">
        <v>0</v>
      </c>
      <c r="W21" s="53">
        <v>0</v>
      </c>
      <c r="X21" s="53">
        <v>0</v>
      </c>
      <c r="Y21" s="53">
        <v>0</v>
      </c>
      <c r="Z21" s="53">
        <v>0</v>
      </c>
      <c r="AA21" s="53">
        <v>0</v>
      </c>
      <c r="AB21" s="53">
        <v>0</v>
      </c>
      <c r="AC21" s="53">
        <v>0</v>
      </c>
      <c r="AD21" s="53">
        <v>0</v>
      </c>
    </row>
    <row r="22" spans="1:30" x14ac:dyDescent="0.35">
      <c r="A22" s="72" t="s">
        <v>30</v>
      </c>
      <c r="B22" s="176"/>
      <c r="C22" s="72" t="s">
        <v>34</v>
      </c>
      <c r="D22" s="53">
        <v>0</v>
      </c>
      <c r="E22" s="53">
        <v>0</v>
      </c>
      <c r="F22" s="53">
        <v>0</v>
      </c>
      <c r="G22" s="53">
        <v>0</v>
      </c>
      <c r="H22" s="53">
        <v>0</v>
      </c>
      <c r="I22" s="53">
        <v>0</v>
      </c>
      <c r="J22" s="53">
        <v>0</v>
      </c>
      <c r="K22" s="53">
        <v>0</v>
      </c>
      <c r="L22" s="53">
        <v>0</v>
      </c>
      <c r="M22" s="53">
        <v>0</v>
      </c>
      <c r="N22" s="53">
        <v>0</v>
      </c>
      <c r="O22" s="53">
        <v>0</v>
      </c>
      <c r="P22" s="53">
        <v>0</v>
      </c>
      <c r="Q22" s="53">
        <v>0</v>
      </c>
      <c r="R22" s="53">
        <v>0</v>
      </c>
      <c r="S22" s="53">
        <v>0</v>
      </c>
      <c r="T22" s="53">
        <v>0</v>
      </c>
      <c r="U22" s="53">
        <v>0</v>
      </c>
      <c r="V22" s="53">
        <v>0</v>
      </c>
      <c r="W22" s="53">
        <v>0</v>
      </c>
      <c r="X22" s="53">
        <v>0</v>
      </c>
      <c r="Y22" s="53">
        <v>0</v>
      </c>
      <c r="Z22" s="53">
        <v>0</v>
      </c>
      <c r="AA22" s="53">
        <v>0</v>
      </c>
      <c r="AB22" s="53">
        <v>0</v>
      </c>
      <c r="AC22" s="53">
        <v>0</v>
      </c>
      <c r="AD22" s="53">
        <v>0</v>
      </c>
    </row>
    <row r="23" spans="1:30" x14ac:dyDescent="0.35">
      <c r="A23" s="72" t="s">
        <v>30</v>
      </c>
      <c r="B23" s="176"/>
      <c r="C23" s="72" t="s">
        <v>35</v>
      </c>
      <c r="D23" s="53">
        <v>0</v>
      </c>
      <c r="E23" s="53">
        <v>0</v>
      </c>
      <c r="F23" s="53">
        <v>0</v>
      </c>
      <c r="G23" s="53">
        <v>0</v>
      </c>
      <c r="H23" s="53">
        <v>0</v>
      </c>
      <c r="I23" s="53">
        <v>0</v>
      </c>
      <c r="J23" s="53">
        <v>0</v>
      </c>
      <c r="K23" s="53">
        <v>0</v>
      </c>
      <c r="L23" s="53">
        <v>0</v>
      </c>
      <c r="M23" s="53">
        <v>0</v>
      </c>
      <c r="N23" s="53">
        <v>0</v>
      </c>
      <c r="O23" s="53">
        <v>0</v>
      </c>
      <c r="P23" s="53">
        <v>0</v>
      </c>
      <c r="Q23" s="53">
        <v>0</v>
      </c>
      <c r="R23" s="53">
        <v>0</v>
      </c>
      <c r="S23" s="53">
        <v>0</v>
      </c>
      <c r="T23" s="53">
        <v>0</v>
      </c>
      <c r="U23" s="53">
        <v>0</v>
      </c>
      <c r="V23" s="53">
        <v>0</v>
      </c>
      <c r="W23" s="53">
        <v>0</v>
      </c>
      <c r="X23" s="53">
        <v>0</v>
      </c>
      <c r="Y23" s="53">
        <v>0</v>
      </c>
      <c r="Z23" s="53">
        <v>0</v>
      </c>
      <c r="AA23" s="53">
        <v>0</v>
      </c>
      <c r="AB23" s="53">
        <v>0</v>
      </c>
      <c r="AC23" s="53">
        <v>0</v>
      </c>
      <c r="AD23" s="53">
        <v>0</v>
      </c>
    </row>
    <row r="24" spans="1:30" x14ac:dyDescent="0.35">
      <c r="A24" s="72" t="s">
        <v>30</v>
      </c>
      <c r="B24" s="176"/>
      <c r="C24" s="72" t="s">
        <v>108</v>
      </c>
      <c r="D24" s="53">
        <v>1680.2980451261856</v>
      </c>
      <c r="E24" s="53">
        <v>2876.7737620942426</v>
      </c>
      <c r="F24" s="53">
        <v>4073.2494790622986</v>
      </c>
      <c r="G24" s="53">
        <v>5269.7251960303547</v>
      </c>
      <c r="H24" s="53">
        <v>6466.2009129984108</v>
      </c>
      <c r="I24" s="53">
        <v>7662.6766299664669</v>
      </c>
      <c r="J24" s="53">
        <v>8859.1523469345229</v>
      </c>
      <c r="K24" s="53">
        <v>8453.4404235357706</v>
      </c>
      <c r="L24" s="53">
        <v>8047.7285001370183</v>
      </c>
      <c r="M24" s="53">
        <v>7642.0165767382659</v>
      </c>
      <c r="N24" s="53">
        <v>7844.8725384376421</v>
      </c>
      <c r="O24" s="53">
        <v>9531.5856600133138</v>
      </c>
      <c r="P24" s="53">
        <v>10245.339079548507</v>
      </c>
      <c r="Q24" s="53">
        <v>10959.092499083697</v>
      </c>
      <c r="R24" s="53">
        <v>11672.845918618888</v>
      </c>
      <c r="S24" s="53">
        <v>12386.599338154081</v>
      </c>
      <c r="T24" s="53">
        <v>13100.352757689274</v>
      </c>
      <c r="U24" s="53">
        <v>13814.106177224465</v>
      </c>
      <c r="V24" s="53">
        <v>14527.859596759658</v>
      </c>
      <c r="W24" s="53">
        <v>15241.61301629485</v>
      </c>
      <c r="X24" s="53">
        <v>15955.366435830043</v>
      </c>
      <c r="Y24" s="53">
        <v>16669.119855365236</v>
      </c>
      <c r="Z24" s="53">
        <v>17382.873274900427</v>
      </c>
      <c r="AA24" s="53">
        <v>18096.626694435621</v>
      </c>
      <c r="AB24" s="53">
        <v>18810.380113970816</v>
      </c>
      <c r="AC24" s="53">
        <v>19524.133533506007</v>
      </c>
      <c r="AD24" s="53">
        <v>20237.886953041205</v>
      </c>
    </row>
    <row r="25" spans="1:30" x14ac:dyDescent="0.35">
      <c r="A25" s="72" t="s">
        <v>30</v>
      </c>
      <c r="B25" s="176"/>
      <c r="C25" s="72" t="s">
        <v>109</v>
      </c>
      <c r="D25" s="53">
        <v>57103.936361443899</v>
      </c>
      <c r="E25" s="53">
        <v>58857.636802995294</v>
      </c>
      <c r="F25" s="53">
        <v>59699.604292192569</v>
      </c>
      <c r="G25" s="53">
        <v>60571.994976654853</v>
      </c>
      <c r="H25" s="53">
        <v>61496.862856449363</v>
      </c>
      <c r="I25" s="53">
        <v>62558.652125257882</v>
      </c>
      <c r="J25" s="53">
        <v>63631.234854205577</v>
      </c>
      <c r="K25" s="53">
        <v>62922.938237303424</v>
      </c>
      <c r="L25" s="53">
        <v>62220.125424158556</v>
      </c>
      <c r="M25" s="53">
        <v>61520.666306301217</v>
      </c>
      <c r="N25" s="53">
        <v>62642.038504534867</v>
      </c>
      <c r="O25" s="53">
        <v>63807.626255529016</v>
      </c>
      <c r="P25" s="53">
        <v>65017.058517143574</v>
      </c>
      <c r="Q25" s="53">
        <v>66209.802510491398</v>
      </c>
      <c r="R25" s="53">
        <v>67437.558856957592</v>
      </c>
      <c r="S25" s="53">
        <v>68700.885250575069</v>
      </c>
      <c r="T25" s="53">
        <v>70007.322750740437</v>
      </c>
      <c r="U25" s="53">
        <v>71205.507403887852</v>
      </c>
      <c r="V25" s="53">
        <v>72422.109342624419</v>
      </c>
      <c r="W25" s="53">
        <v>73645.383964761277</v>
      </c>
      <c r="X25" s="53">
        <v>74886.791985944961</v>
      </c>
      <c r="Y25" s="53">
        <v>75927.384850531758</v>
      </c>
      <c r="Z25" s="53">
        <v>76947.725070139422</v>
      </c>
      <c r="AA25" s="53">
        <v>77938.966841738176</v>
      </c>
      <c r="AB25" s="53">
        <v>78904.913534439198</v>
      </c>
      <c r="AC25" s="53">
        <v>79596.323095474188</v>
      </c>
      <c r="AD25" s="53">
        <v>80217.636755124244</v>
      </c>
    </row>
    <row r="26" spans="1:30" s="52" customFormat="1" x14ac:dyDescent="0.35">
      <c r="A26" s="72"/>
      <c r="B26" s="176"/>
      <c r="C26" s="72" t="s">
        <v>110</v>
      </c>
      <c r="D26" s="53">
        <v>12005.742388310644</v>
      </c>
      <c r="E26" s="53">
        <v>13453.795810550442</v>
      </c>
      <c r="F26" s="53">
        <v>14178.895505687933</v>
      </c>
      <c r="G26" s="53">
        <v>14937.289889946736</v>
      </c>
      <c r="H26" s="53">
        <v>15757.259264294846</v>
      </c>
      <c r="I26" s="53">
        <v>16749.929712255991</v>
      </c>
      <c r="J26" s="53">
        <v>17791.860822773771</v>
      </c>
      <c r="K26" s="53">
        <v>17102.178534687038</v>
      </c>
      <c r="L26" s="53">
        <v>16427.92661329859</v>
      </c>
      <c r="M26" s="53">
        <v>15778.935384712835</v>
      </c>
      <c r="N26" s="53">
        <v>16830.182307625055</v>
      </c>
      <c r="O26" s="53">
        <v>17964.232568119845</v>
      </c>
      <c r="P26" s="53">
        <v>19172.993892940663</v>
      </c>
      <c r="Q26" s="53">
        <v>20408.244012219388</v>
      </c>
      <c r="R26" s="53">
        <v>21719.841816308581</v>
      </c>
      <c r="S26" s="53">
        <v>23098.232402396668</v>
      </c>
      <c r="T26" s="53">
        <v>24567.067809266879</v>
      </c>
      <c r="U26" s="53">
        <v>25931.813610748104</v>
      </c>
      <c r="V26" s="53">
        <v>27355.456690486957</v>
      </c>
      <c r="W26" s="53">
        <v>28834.207174863826</v>
      </c>
      <c r="X26" s="53">
        <v>30356.280271679123</v>
      </c>
      <c r="Y26" s="53">
        <v>31653.106096667285</v>
      </c>
      <c r="Z26" s="53">
        <v>32946.701426055333</v>
      </c>
      <c r="AA26" s="53">
        <v>34221.36206716107</v>
      </c>
      <c r="AB26" s="53">
        <v>35477.918686007208</v>
      </c>
      <c r="AC26" s="53">
        <v>36390.764092497091</v>
      </c>
      <c r="AD26" s="53">
        <v>37223.134674636945</v>
      </c>
    </row>
    <row r="27" spans="1:30" x14ac:dyDescent="0.35">
      <c r="A27" s="72" t="s">
        <v>39</v>
      </c>
      <c r="B27" s="176"/>
      <c r="C27" s="72" t="s">
        <v>31</v>
      </c>
      <c r="D27" s="53">
        <v>0</v>
      </c>
      <c r="E27" s="53">
        <v>0</v>
      </c>
      <c r="F27" s="53">
        <v>0</v>
      </c>
      <c r="G27" s="53">
        <v>0</v>
      </c>
      <c r="H27" s="53">
        <v>0</v>
      </c>
      <c r="I27" s="53">
        <v>0</v>
      </c>
      <c r="J27" s="53">
        <v>0</v>
      </c>
      <c r="K27" s="53">
        <v>0</v>
      </c>
      <c r="L27" s="53">
        <v>0</v>
      </c>
      <c r="M27" s="53">
        <v>0</v>
      </c>
      <c r="N27" s="53">
        <v>0</v>
      </c>
      <c r="O27" s="53">
        <v>0</v>
      </c>
      <c r="P27" s="53">
        <v>0</v>
      </c>
      <c r="Q27" s="53">
        <v>0</v>
      </c>
      <c r="R27" s="53">
        <v>0</v>
      </c>
      <c r="S27" s="53">
        <v>0</v>
      </c>
      <c r="T27" s="53">
        <v>0</v>
      </c>
      <c r="U27" s="53">
        <v>0</v>
      </c>
      <c r="V27" s="53">
        <v>0</v>
      </c>
      <c r="W27" s="53">
        <v>0</v>
      </c>
      <c r="X27" s="53">
        <v>0</v>
      </c>
      <c r="Y27" s="53">
        <v>0</v>
      </c>
      <c r="Z27" s="53">
        <v>0</v>
      </c>
      <c r="AA27" s="53">
        <v>0</v>
      </c>
      <c r="AB27" s="53">
        <v>0</v>
      </c>
      <c r="AC27" s="53">
        <v>0</v>
      </c>
      <c r="AD27" s="53">
        <v>3</v>
      </c>
    </row>
    <row r="28" spans="1:30" x14ac:dyDescent="0.35">
      <c r="A28" s="72" t="s">
        <v>39</v>
      </c>
      <c r="B28" s="176"/>
      <c r="C28" s="72" t="s">
        <v>32</v>
      </c>
      <c r="D28" s="53">
        <v>0</v>
      </c>
      <c r="E28" s="53">
        <v>0</v>
      </c>
      <c r="F28" s="53">
        <v>0</v>
      </c>
      <c r="G28" s="53">
        <v>0</v>
      </c>
      <c r="H28" s="53">
        <v>0</v>
      </c>
      <c r="I28" s="53">
        <v>0</v>
      </c>
      <c r="J28" s="53">
        <v>0</v>
      </c>
      <c r="K28" s="53">
        <v>0</v>
      </c>
      <c r="L28" s="53">
        <v>0</v>
      </c>
      <c r="M28" s="53">
        <v>0</v>
      </c>
      <c r="N28" s="53">
        <v>0</v>
      </c>
      <c r="O28" s="53">
        <v>0</v>
      </c>
      <c r="P28" s="53">
        <v>0</v>
      </c>
      <c r="Q28" s="53">
        <v>0</v>
      </c>
      <c r="R28" s="53">
        <v>0</v>
      </c>
      <c r="S28" s="53">
        <v>0</v>
      </c>
      <c r="T28" s="53">
        <v>0</v>
      </c>
      <c r="U28" s="53">
        <v>0</v>
      </c>
      <c r="V28" s="53">
        <v>0</v>
      </c>
      <c r="W28" s="53">
        <v>0</v>
      </c>
      <c r="X28" s="53">
        <v>0</v>
      </c>
      <c r="Y28" s="53">
        <v>0</v>
      </c>
      <c r="Z28" s="53">
        <v>0</v>
      </c>
      <c r="AA28" s="53">
        <v>0</v>
      </c>
      <c r="AB28" s="53">
        <v>0</v>
      </c>
      <c r="AC28" s="53">
        <v>0</v>
      </c>
      <c r="AD28" s="53">
        <v>3</v>
      </c>
    </row>
    <row r="29" spans="1:30" x14ac:dyDescent="0.35">
      <c r="A29" s="72" t="s">
        <v>39</v>
      </c>
      <c r="B29" s="176"/>
      <c r="C29" s="72" t="s">
        <v>33</v>
      </c>
      <c r="D29" s="53">
        <v>0</v>
      </c>
      <c r="E29" s="53">
        <v>0</v>
      </c>
      <c r="F29" s="53">
        <v>0</v>
      </c>
      <c r="G29" s="53">
        <v>0</v>
      </c>
      <c r="H29" s="53">
        <v>0</v>
      </c>
      <c r="I29" s="53">
        <v>0</v>
      </c>
      <c r="J29" s="53">
        <v>0</v>
      </c>
      <c r="K29" s="53">
        <v>0</v>
      </c>
      <c r="L29" s="53">
        <v>0</v>
      </c>
      <c r="M29" s="53">
        <v>0</v>
      </c>
      <c r="N29" s="53">
        <v>0</v>
      </c>
      <c r="O29" s="53">
        <v>0</v>
      </c>
      <c r="P29" s="53">
        <v>0</v>
      </c>
      <c r="Q29" s="53">
        <v>0</v>
      </c>
      <c r="R29" s="53">
        <v>0</v>
      </c>
      <c r="S29" s="53">
        <v>0</v>
      </c>
      <c r="T29" s="53">
        <v>0</v>
      </c>
      <c r="U29" s="53">
        <v>0</v>
      </c>
      <c r="V29" s="53">
        <v>0</v>
      </c>
      <c r="W29" s="53">
        <v>0</v>
      </c>
      <c r="X29" s="53">
        <v>0</v>
      </c>
      <c r="Y29" s="53">
        <v>0</v>
      </c>
      <c r="Z29" s="53">
        <v>0</v>
      </c>
      <c r="AA29" s="53">
        <v>0</v>
      </c>
      <c r="AB29" s="53">
        <v>0</v>
      </c>
      <c r="AC29" s="53">
        <v>0</v>
      </c>
      <c r="AD29" s="53">
        <v>2.6075169603124782E-3</v>
      </c>
    </row>
    <row r="30" spans="1:30" x14ac:dyDescent="0.35">
      <c r="A30" s="72" t="s">
        <v>39</v>
      </c>
      <c r="B30" s="176"/>
      <c r="C30" s="72" t="s">
        <v>34</v>
      </c>
      <c r="D30" s="53">
        <v>0</v>
      </c>
      <c r="E30" s="53">
        <v>0</v>
      </c>
      <c r="F30" s="53">
        <v>0</v>
      </c>
      <c r="G30" s="53">
        <v>0</v>
      </c>
      <c r="H30" s="53">
        <v>0</v>
      </c>
      <c r="I30" s="53">
        <v>0</v>
      </c>
      <c r="J30" s="53">
        <v>0</v>
      </c>
      <c r="K30" s="53">
        <v>0</v>
      </c>
      <c r="L30" s="53">
        <v>0</v>
      </c>
      <c r="M30" s="53">
        <v>0</v>
      </c>
      <c r="N30" s="53">
        <v>0</v>
      </c>
      <c r="O30" s="53">
        <v>0</v>
      </c>
      <c r="P30" s="53">
        <v>0</v>
      </c>
      <c r="Q30" s="53">
        <v>0</v>
      </c>
      <c r="R30" s="53">
        <v>0</v>
      </c>
      <c r="S30" s="53">
        <v>0</v>
      </c>
      <c r="T30" s="53">
        <v>0</v>
      </c>
      <c r="U30" s="53">
        <v>0</v>
      </c>
      <c r="V30" s="53">
        <v>0</v>
      </c>
      <c r="W30" s="53">
        <v>0</v>
      </c>
      <c r="X30" s="53">
        <v>0</v>
      </c>
      <c r="Y30" s="53">
        <v>0</v>
      </c>
      <c r="Z30" s="53">
        <v>0</v>
      </c>
      <c r="AA30" s="53">
        <v>0</v>
      </c>
      <c r="AB30" s="53">
        <v>0</v>
      </c>
      <c r="AC30" s="53">
        <v>0</v>
      </c>
      <c r="AD30" s="53">
        <v>2.6075169603124782E-3</v>
      </c>
    </row>
    <row r="31" spans="1:30" x14ac:dyDescent="0.35">
      <c r="A31" s="72" t="s">
        <v>39</v>
      </c>
      <c r="B31" s="176"/>
      <c r="C31" s="72" t="s">
        <v>35</v>
      </c>
      <c r="D31" s="53">
        <v>0</v>
      </c>
      <c r="E31" s="53">
        <v>0</v>
      </c>
      <c r="F31" s="53">
        <v>0</v>
      </c>
      <c r="G31" s="53">
        <v>0</v>
      </c>
      <c r="H31" s="53">
        <v>0</v>
      </c>
      <c r="I31" s="53">
        <v>0</v>
      </c>
      <c r="J31" s="53">
        <v>0</v>
      </c>
      <c r="K31" s="53">
        <v>0</v>
      </c>
      <c r="L31" s="53">
        <v>0</v>
      </c>
      <c r="M31" s="53">
        <v>0</v>
      </c>
      <c r="N31" s="53">
        <v>0</v>
      </c>
      <c r="O31" s="53">
        <v>0</v>
      </c>
      <c r="P31" s="53">
        <v>0</v>
      </c>
      <c r="Q31" s="53">
        <v>0</v>
      </c>
      <c r="R31" s="53">
        <v>0</v>
      </c>
      <c r="S31" s="53">
        <v>0</v>
      </c>
      <c r="T31" s="53">
        <v>0</v>
      </c>
      <c r="U31" s="53">
        <v>0</v>
      </c>
      <c r="V31" s="53">
        <v>0</v>
      </c>
      <c r="W31" s="53">
        <v>0</v>
      </c>
      <c r="X31" s="53">
        <v>0</v>
      </c>
      <c r="Y31" s="53">
        <v>0</v>
      </c>
      <c r="Z31" s="53">
        <v>0</v>
      </c>
      <c r="AA31" s="53">
        <v>0</v>
      </c>
      <c r="AB31" s="53">
        <v>0</v>
      </c>
      <c r="AC31" s="53">
        <v>0</v>
      </c>
      <c r="AD31" s="53">
        <v>1</v>
      </c>
    </row>
    <row r="32" spans="1:30" x14ac:dyDescent="0.35">
      <c r="A32" s="72" t="s">
        <v>130</v>
      </c>
      <c r="B32" s="72" t="s">
        <v>111</v>
      </c>
      <c r="C32" s="72" t="s">
        <v>131</v>
      </c>
      <c r="D32" s="53">
        <v>0</v>
      </c>
      <c r="E32" s="53">
        <v>0</v>
      </c>
      <c r="F32" s="53">
        <v>0</v>
      </c>
      <c r="G32" s="53">
        <v>0</v>
      </c>
      <c r="H32" s="53">
        <v>0</v>
      </c>
      <c r="I32" s="53">
        <v>0</v>
      </c>
      <c r="J32" s="53">
        <v>0</v>
      </c>
      <c r="K32" s="53">
        <v>0</v>
      </c>
      <c r="L32" s="53">
        <v>0</v>
      </c>
      <c r="M32" s="53">
        <v>0</v>
      </c>
      <c r="N32" s="53">
        <v>0</v>
      </c>
      <c r="O32" s="53">
        <v>0</v>
      </c>
      <c r="P32" s="53">
        <v>0</v>
      </c>
      <c r="Q32" s="53">
        <v>0</v>
      </c>
      <c r="R32" s="53">
        <v>0</v>
      </c>
      <c r="S32" s="53">
        <v>0</v>
      </c>
      <c r="T32" s="53">
        <v>0</v>
      </c>
      <c r="U32" s="53">
        <v>0</v>
      </c>
      <c r="V32" s="53">
        <v>0</v>
      </c>
      <c r="W32" s="53">
        <v>0</v>
      </c>
      <c r="X32" s="53">
        <v>0</v>
      </c>
      <c r="Y32" s="53">
        <v>0</v>
      </c>
      <c r="Z32" s="53">
        <v>0</v>
      </c>
      <c r="AA32" s="53">
        <v>0</v>
      </c>
      <c r="AB32" s="53">
        <v>0</v>
      </c>
      <c r="AC32" s="53">
        <v>0</v>
      </c>
      <c r="AD32" s="53">
        <v>41772.464879269181</v>
      </c>
    </row>
    <row r="33" spans="1:30" x14ac:dyDescent="0.35">
      <c r="A33" s="72" t="s">
        <v>130</v>
      </c>
      <c r="B33" s="72" t="s">
        <v>132</v>
      </c>
      <c r="C33" s="72" t="s">
        <v>131</v>
      </c>
      <c r="D33" s="53">
        <v>0</v>
      </c>
      <c r="E33" s="53">
        <v>0</v>
      </c>
      <c r="F33" s="53">
        <v>0</v>
      </c>
      <c r="G33" s="53">
        <v>0</v>
      </c>
      <c r="H33" s="53">
        <v>0</v>
      </c>
      <c r="I33" s="53">
        <v>0</v>
      </c>
      <c r="J33" s="53">
        <v>0</v>
      </c>
      <c r="K33" s="53">
        <v>0</v>
      </c>
      <c r="L33" s="53">
        <v>0</v>
      </c>
      <c r="M33" s="53">
        <v>0</v>
      </c>
      <c r="N33" s="53">
        <v>0</v>
      </c>
      <c r="O33" s="53">
        <v>0</v>
      </c>
      <c r="P33" s="53">
        <v>0</v>
      </c>
      <c r="Q33" s="53">
        <v>0</v>
      </c>
      <c r="R33" s="53">
        <v>0</v>
      </c>
      <c r="S33" s="53">
        <v>0</v>
      </c>
      <c r="T33" s="53">
        <v>0</v>
      </c>
      <c r="U33" s="53">
        <v>0</v>
      </c>
      <c r="V33" s="53">
        <v>0</v>
      </c>
      <c r="W33" s="53">
        <v>0</v>
      </c>
      <c r="X33" s="53">
        <v>0</v>
      </c>
      <c r="Y33" s="53">
        <v>0</v>
      </c>
      <c r="Z33" s="53">
        <v>0</v>
      </c>
      <c r="AA33" s="53">
        <v>0</v>
      </c>
      <c r="AB33" s="53">
        <v>0</v>
      </c>
      <c r="AC33" s="53">
        <v>0</v>
      </c>
      <c r="AD33" s="53">
        <v>249899.61741923937</v>
      </c>
    </row>
    <row r="34" spans="1:30" x14ac:dyDescent="0.35">
      <c r="A34" s="72" t="s">
        <v>133</v>
      </c>
      <c r="B34" s="72" t="s">
        <v>111</v>
      </c>
      <c r="C34" s="72" t="s">
        <v>131</v>
      </c>
      <c r="D34" s="53">
        <v>0</v>
      </c>
      <c r="E34" s="53">
        <v>0</v>
      </c>
      <c r="F34" s="53">
        <v>0</v>
      </c>
      <c r="G34" s="53">
        <v>0</v>
      </c>
      <c r="H34" s="53">
        <v>0</v>
      </c>
      <c r="I34" s="53">
        <v>0</v>
      </c>
      <c r="J34" s="53">
        <v>0</v>
      </c>
      <c r="K34" s="53">
        <v>0</v>
      </c>
      <c r="L34" s="53">
        <v>0</v>
      </c>
      <c r="M34" s="53">
        <v>0</v>
      </c>
      <c r="N34" s="53">
        <v>0</v>
      </c>
      <c r="O34" s="53">
        <v>0</v>
      </c>
      <c r="P34" s="53">
        <v>0</v>
      </c>
      <c r="Q34" s="53">
        <v>0</v>
      </c>
      <c r="R34" s="53">
        <v>0</v>
      </c>
      <c r="S34" s="53">
        <v>0</v>
      </c>
      <c r="T34" s="53">
        <v>0</v>
      </c>
      <c r="U34" s="53">
        <v>0</v>
      </c>
      <c r="V34" s="53">
        <v>0</v>
      </c>
      <c r="W34" s="53">
        <v>0</v>
      </c>
      <c r="X34" s="53">
        <v>0</v>
      </c>
      <c r="Y34" s="53">
        <v>0</v>
      </c>
      <c r="Z34" s="53">
        <v>0</v>
      </c>
      <c r="AA34" s="53">
        <v>0</v>
      </c>
      <c r="AB34" s="53">
        <v>0</v>
      </c>
      <c r="AC34" s="53">
        <v>0</v>
      </c>
      <c r="AD34" s="53">
        <v>0</v>
      </c>
    </row>
    <row r="35" spans="1:30" x14ac:dyDescent="0.35">
      <c r="A35" s="72" t="s">
        <v>133</v>
      </c>
      <c r="B35" s="72" t="s">
        <v>132</v>
      </c>
      <c r="C35" s="72" t="s">
        <v>131</v>
      </c>
      <c r="D35" s="53">
        <v>0</v>
      </c>
      <c r="E35" s="53">
        <v>0</v>
      </c>
      <c r="F35" s="53">
        <v>0</v>
      </c>
      <c r="G35" s="53">
        <v>0</v>
      </c>
      <c r="H35" s="53">
        <v>0</v>
      </c>
      <c r="I35" s="53">
        <v>0</v>
      </c>
      <c r="J35" s="53">
        <v>0</v>
      </c>
      <c r="K35" s="53">
        <v>0</v>
      </c>
      <c r="L35" s="53">
        <v>0</v>
      </c>
      <c r="M35" s="53">
        <v>0</v>
      </c>
      <c r="N35" s="53">
        <v>0</v>
      </c>
      <c r="O35" s="53">
        <v>0</v>
      </c>
      <c r="P35" s="53">
        <v>0</v>
      </c>
      <c r="Q35" s="53">
        <v>0</v>
      </c>
      <c r="R35" s="53">
        <v>0</v>
      </c>
      <c r="S35" s="53">
        <v>0</v>
      </c>
      <c r="T35" s="53">
        <v>0</v>
      </c>
      <c r="U35" s="53">
        <v>0</v>
      </c>
      <c r="V35" s="53">
        <v>0</v>
      </c>
      <c r="W35" s="53">
        <v>0</v>
      </c>
      <c r="X35" s="53">
        <v>0</v>
      </c>
      <c r="Y35" s="53">
        <v>0</v>
      </c>
      <c r="Z35" s="53">
        <v>0</v>
      </c>
      <c r="AA35" s="53">
        <v>0</v>
      </c>
      <c r="AB35" s="53">
        <v>0</v>
      </c>
      <c r="AC35" s="53">
        <v>0</v>
      </c>
      <c r="AD35" s="53">
        <v>0</v>
      </c>
    </row>
    <row r="36" spans="1:30" ht="43.5" x14ac:dyDescent="0.35">
      <c r="A36" s="3" t="s">
        <v>134</v>
      </c>
      <c r="B36" s="3" t="s">
        <v>135</v>
      </c>
      <c r="C36" s="72" t="s">
        <v>131</v>
      </c>
      <c r="D36" s="53">
        <v>3761250.6800769637</v>
      </c>
      <c r="E36" s="53">
        <v>4284487.0478109475</v>
      </c>
      <c r="F36" s="53">
        <v>4606811.8681702176</v>
      </c>
      <c r="G36" s="53">
        <v>4995927.6228458928</v>
      </c>
      <c r="H36" s="53">
        <v>5329720.061800546</v>
      </c>
      <c r="I36" s="53">
        <v>5796906.5791987414</v>
      </c>
      <c r="J36" s="53">
        <v>6339283.6767848125</v>
      </c>
      <c r="K36" s="53">
        <v>6199636.4515161188</v>
      </c>
      <c r="L36" s="53">
        <v>6137390.4038204541</v>
      </c>
      <c r="M36" s="53">
        <v>6039759.2997415457</v>
      </c>
      <c r="N36" s="53">
        <v>6578075.4012449076</v>
      </c>
      <c r="O36" s="53">
        <v>7231916.6265456565</v>
      </c>
      <c r="P36" s="53">
        <v>7805029.2316837218</v>
      </c>
      <c r="Q36" s="53">
        <v>8551105.2609355804</v>
      </c>
      <c r="R36" s="53">
        <v>9288340.8959175143</v>
      </c>
      <c r="S36" s="53">
        <v>9994730.9368542321</v>
      </c>
      <c r="T36" s="53">
        <v>10926172.235548047</v>
      </c>
      <c r="U36" s="53">
        <v>11789094.516402824</v>
      </c>
      <c r="V36" s="53">
        <v>12593607.037611647</v>
      </c>
      <c r="W36" s="53">
        <v>13521454.161354581</v>
      </c>
      <c r="X36" s="53">
        <v>14574371.287482273</v>
      </c>
      <c r="Y36" s="53">
        <v>15540641.081071621</v>
      </c>
      <c r="Z36" s="53">
        <v>16596015.877818776</v>
      </c>
      <c r="AA36" s="53">
        <v>17613528.779471602</v>
      </c>
      <c r="AB36" s="53">
        <v>18605991.624943413</v>
      </c>
      <c r="AC36" s="53">
        <v>19459357.551235754</v>
      </c>
      <c r="AD36" s="53">
        <v>20370726.363484394</v>
      </c>
    </row>
    <row r="37" spans="1:30" x14ac:dyDescent="0.35">
      <c r="A37" s="72"/>
      <c r="B37" s="72"/>
      <c r="C37" s="72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</row>
    <row r="38" spans="1:30" x14ac:dyDescent="0.35">
      <c r="A38" s="72"/>
      <c r="B38" s="72"/>
      <c r="C38" s="72" t="s">
        <v>136</v>
      </c>
      <c r="D38" s="53">
        <f>'Cost Assumptions'!$B$4</f>
        <v>40</v>
      </c>
      <c r="E38" s="53">
        <f>D38*'Cost Assumptions'!$B$5</f>
        <v>41</v>
      </c>
      <c r="F38" s="53">
        <f>E38*'Cost Assumptions'!$B$5</f>
        <v>42.024999999999999</v>
      </c>
      <c r="G38" s="53">
        <f>F38*'Cost Assumptions'!$B$5</f>
        <v>43.075624999999995</v>
      </c>
      <c r="H38" s="53">
        <f>G38*'Cost Assumptions'!$B$5</f>
        <v>44.152515624999992</v>
      </c>
      <c r="I38" s="53">
        <f>H38*'Cost Assumptions'!$B$5</f>
        <v>45.256328515624986</v>
      </c>
      <c r="J38" s="53">
        <f>I38*'Cost Assumptions'!$B$5</f>
        <v>46.387736728515605</v>
      </c>
      <c r="K38" s="53">
        <f>J38*'Cost Assumptions'!$B$5</f>
        <v>47.547430146728495</v>
      </c>
      <c r="L38" s="53">
        <f>K38*'Cost Assumptions'!$B$5</f>
        <v>48.736115900396705</v>
      </c>
      <c r="M38" s="53">
        <f>L38*'Cost Assumptions'!$B$5</f>
        <v>49.954518797906616</v>
      </c>
      <c r="N38" s="53">
        <f>M38*'Cost Assumptions'!$B$5</f>
        <v>51.203381767854275</v>
      </c>
      <c r="O38" s="53">
        <f>N38*'Cost Assumptions'!$B$5</f>
        <v>52.483466312050624</v>
      </c>
      <c r="P38" s="53">
        <f>O38*'Cost Assumptions'!$B$5</f>
        <v>53.795552969851883</v>
      </c>
      <c r="Q38" s="53">
        <f>P38*'Cost Assumptions'!$B$5</f>
        <v>55.140441794098173</v>
      </c>
      <c r="R38" s="53">
        <f>Q38*'Cost Assumptions'!$B$5</f>
        <v>56.518952838950625</v>
      </c>
      <c r="S38" s="53">
        <f>R38*'Cost Assumptions'!$B$5</f>
        <v>57.931926659924386</v>
      </c>
      <c r="T38" s="53">
        <f>S38*'Cost Assumptions'!$B$5</f>
        <v>59.380224826422491</v>
      </c>
      <c r="U38" s="53">
        <f>T38*'Cost Assumptions'!$B$5</f>
        <v>60.864730447083048</v>
      </c>
      <c r="V38" s="53">
        <f>U38*'Cost Assumptions'!$B$5</f>
        <v>62.386348708260115</v>
      </c>
      <c r="W38" s="53">
        <f>V38*'Cost Assumptions'!$B$5</f>
        <v>63.946007425966613</v>
      </c>
      <c r="X38" s="53">
        <f>W38*'Cost Assumptions'!$B$5</f>
        <v>65.544657611615776</v>
      </c>
      <c r="Y38" s="53">
        <f>X38*'Cost Assumptions'!$B$5</f>
        <v>67.183274051906167</v>
      </c>
      <c r="Z38" s="53">
        <f>Y38*'Cost Assumptions'!$B$5</f>
        <v>68.862855903203823</v>
      </c>
      <c r="AA38" s="53">
        <f>Z38*'Cost Assumptions'!$B$5</f>
        <v>70.584427300783915</v>
      </c>
      <c r="AB38" s="53">
        <f>AA38*'Cost Assumptions'!$B$5</f>
        <v>72.349037983303504</v>
      </c>
      <c r="AC38" s="53">
        <f>AB38*'Cost Assumptions'!$B$5</f>
        <v>74.157763932886084</v>
      </c>
      <c r="AD38" s="53">
        <f>AC38*'Cost Assumptions'!$B$5</f>
        <v>76.011708031208229</v>
      </c>
    </row>
    <row r="39" spans="1:30" x14ac:dyDescent="0.35">
      <c r="A39" s="72"/>
      <c r="B39" s="72"/>
      <c r="C39" s="72"/>
      <c r="D39" s="72"/>
      <c r="E39" s="72"/>
      <c r="F39" s="72"/>
      <c r="G39" s="53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</row>
    <row r="40" spans="1:30" ht="23.5" x14ac:dyDescent="0.55000000000000004">
      <c r="A40" s="72"/>
      <c r="B40" s="178" t="s">
        <v>137</v>
      </c>
      <c r="C40" s="178"/>
      <c r="D40" s="178"/>
      <c r="E40" s="178"/>
      <c r="F40" s="178"/>
      <c r="G40" s="178"/>
      <c r="H40" s="178"/>
      <c r="I40" s="178"/>
      <c r="J40" s="178"/>
      <c r="K40" s="178"/>
      <c r="L40" s="178"/>
      <c r="M40" s="178"/>
      <c r="N40" s="178"/>
      <c r="O40" s="178"/>
      <c r="P40" s="178"/>
      <c r="Q40" s="178"/>
      <c r="R40" s="178"/>
      <c r="S40" s="178"/>
      <c r="T40" s="178"/>
      <c r="U40" s="178"/>
      <c r="V40" s="178"/>
      <c r="W40" s="178"/>
      <c r="X40" s="178"/>
      <c r="Y40" s="178"/>
      <c r="Z40" s="178"/>
      <c r="AA40" s="178"/>
      <c r="AB40" s="178"/>
      <c r="AC40" s="178"/>
      <c r="AD40" s="178"/>
    </row>
    <row r="41" spans="1:30" ht="20" thickBot="1" x14ac:dyDescent="0.5">
      <c r="A41" s="113"/>
      <c r="B41" s="122" t="s">
        <v>138</v>
      </c>
      <c r="C41" s="113" t="s">
        <v>105</v>
      </c>
      <c r="D41" s="113">
        <v>2022</v>
      </c>
      <c r="E41" s="113">
        <v>2023</v>
      </c>
      <c r="F41" s="113">
        <v>2024</v>
      </c>
      <c r="G41" s="113">
        <v>2025</v>
      </c>
      <c r="H41" s="113">
        <v>2026</v>
      </c>
      <c r="I41" s="113">
        <v>2027</v>
      </c>
      <c r="J41" s="113">
        <v>2028</v>
      </c>
      <c r="K41" s="113">
        <v>2029</v>
      </c>
      <c r="L41" s="113">
        <v>2030</v>
      </c>
      <c r="M41" s="113">
        <v>2031</v>
      </c>
      <c r="N41" s="113">
        <v>2032</v>
      </c>
      <c r="O41" s="113">
        <v>2033</v>
      </c>
      <c r="P41" s="113">
        <v>2034</v>
      </c>
      <c r="Q41" s="113">
        <v>2035</v>
      </c>
      <c r="R41" s="113">
        <v>2036</v>
      </c>
      <c r="S41" s="113">
        <v>2037</v>
      </c>
      <c r="T41" s="113">
        <v>2038</v>
      </c>
      <c r="U41" s="113">
        <v>2039</v>
      </c>
      <c r="V41" s="113">
        <v>2040</v>
      </c>
      <c r="W41" s="113">
        <v>2041</v>
      </c>
      <c r="X41" s="113">
        <v>2042</v>
      </c>
      <c r="Y41" s="113">
        <v>2043</v>
      </c>
      <c r="Z41" s="113">
        <v>2044</v>
      </c>
      <c r="AA41" s="113">
        <v>2045</v>
      </c>
      <c r="AB41" s="113">
        <v>2046</v>
      </c>
      <c r="AC41" s="113">
        <v>2047</v>
      </c>
      <c r="AD41" s="113">
        <v>2048</v>
      </c>
    </row>
    <row r="42" spans="1:30" ht="15" thickTop="1" x14ac:dyDescent="0.35">
      <c r="A42" s="72"/>
      <c r="B42" s="10">
        <f>NPV('Cost Assumptions'!$B$3,'SDG&amp;E'!D42:'SDG&amp;E'!AD42)</f>
        <v>63772.908195571501</v>
      </c>
      <c r="C42" s="72" t="s">
        <v>107</v>
      </c>
      <c r="D42" s="53">
        <f t="shared" ref="D42:AD42" si="1">D2-D18</f>
        <v>5749.6599999996033</v>
      </c>
      <c r="E42" s="53">
        <f t="shared" si="1"/>
        <v>5959.3278846148969</v>
      </c>
      <c r="F42" s="53">
        <f t="shared" si="1"/>
        <v>6168.9957692301978</v>
      </c>
      <c r="G42" s="53">
        <f t="shared" si="1"/>
        <v>6378.6636538454986</v>
      </c>
      <c r="H42" s="53">
        <f t="shared" si="1"/>
        <v>6588.3315384607995</v>
      </c>
      <c r="I42" s="53">
        <f t="shared" si="1"/>
        <v>6797.9994230761004</v>
      </c>
      <c r="J42" s="53">
        <f t="shared" si="1"/>
        <v>7007.6673076913867</v>
      </c>
      <c r="K42" s="53">
        <f t="shared" si="1"/>
        <v>6562.844615383714</v>
      </c>
      <c r="L42" s="53">
        <f t="shared" si="1"/>
        <v>6997.6638461530456</v>
      </c>
      <c r="M42" s="53">
        <f t="shared" si="1"/>
        <v>7438.4430769222163</v>
      </c>
      <c r="N42" s="53">
        <f t="shared" si="1"/>
        <v>7491.0223076915063</v>
      </c>
      <c r="O42" s="53">
        <f t="shared" si="1"/>
        <v>7548.9772656526402</v>
      </c>
      <c r="P42" s="53">
        <f t="shared" si="1"/>
        <v>7606.9322236137741</v>
      </c>
      <c r="Q42" s="53">
        <f t="shared" si="1"/>
        <v>7664.887181574908</v>
      </c>
      <c r="R42" s="53">
        <f t="shared" si="1"/>
        <v>7722.8421395360419</v>
      </c>
      <c r="S42" s="53">
        <f t="shared" si="1"/>
        <v>7780.7970974971759</v>
      </c>
      <c r="T42" s="53">
        <f t="shared" si="1"/>
        <v>7838.7520554583098</v>
      </c>
      <c r="U42" s="53">
        <f t="shared" si="1"/>
        <v>7896.7070134194437</v>
      </c>
      <c r="V42" s="53">
        <f t="shared" si="1"/>
        <v>7954.6619713805776</v>
      </c>
      <c r="W42" s="53">
        <f t="shared" si="1"/>
        <v>8012.6169293417115</v>
      </c>
      <c r="X42" s="53">
        <f t="shared" si="1"/>
        <v>8070.5718873028454</v>
      </c>
      <c r="Y42" s="53">
        <f t="shared" si="1"/>
        <v>8128.5268452639793</v>
      </c>
      <c r="Z42" s="53">
        <f t="shared" si="1"/>
        <v>8186.4818032251133</v>
      </c>
      <c r="AA42" s="53">
        <f t="shared" si="1"/>
        <v>8244.4367611862472</v>
      </c>
      <c r="AB42" s="53">
        <f t="shared" si="1"/>
        <v>8302.3917191473811</v>
      </c>
      <c r="AC42" s="53">
        <f t="shared" si="1"/>
        <v>8360.346677108515</v>
      </c>
      <c r="AD42" s="53">
        <f t="shared" si="1"/>
        <v>8418.3016350696416</v>
      </c>
    </row>
    <row r="43" spans="1:30" x14ac:dyDescent="0.35">
      <c r="A43" s="10"/>
      <c r="B43" s="10">
        <f>NPV('Cost Assumptions'!$B$3,'SDG&amp;E'!D43:'SDG&amp;E'!AD43)</f>
        <v>3193830.8380260812</v>
      </c>
      <c r="C43" s="72" t="s">
        <v>139</v>
      </c>
      <c r="D43" s="53">
        <f>D42*D38</f>
        <v>229986.39999998413</v>
      </c>
      <c r="E43" s="53">
        <f t="shared" ref="E43:AD43" si="2">E42*E38</f>
        <v>244332.44326921078</v>
      </c>
      <c r="F43" s="53">
        <f t="shared" si="2"/>
        <v>259252.04720189905</v>
      </c>
      <c r="G43" s="53">
        <f t="shared" si="2"/>
        <v>274764.9235541785</v>
      </c>
      <c r="H43" s="53">
        <f t="shared" si="2"/>
        <v>290891.41119457071</v>
      </c>
      <c r="I43" s="53">
        <f t="shared" si="2"/>
        <v>307652.49513976113</v>
      </c>
      <c r="J43" s="53">
        <f t="shared" si="2"/>
        <v>325069.82615021383</v>
      </c>
      <c r="K43" s="53">
        <f t="shared" si="2"/>
        <v>312046.39591379039</v>
      </c>
      <c r="L43" s="53">
        <f t="shared" si="2"/>
        <v>341038.95623813063</v>
      </c>
      <c r="M43" s="53">
        <f t="shared" si="2"/>
        <v>371583.8445132692</v>
      </c>
      <c r="N43" s="53">
        <f t="shared" si="2"/>
        <v>383565.6750522409</v>
      </c>
      <c r="O43" s="53">
        <f t="shared" si="2"/>
        <v>396196.4940123164</v>
      </c>
      <c r="P43" s="53">
        <f t="shared" si="2"/>
        <v>409219.12537348794</v>
      </c>
      <c r="Q43" s="53">
        <f t="shared" si="2"/>
        <v>422645.26549396041</v>
      </c>
      <c r="R43" s="53">
        <f t="shared" si="2"/>
        <v>436486.95066709811</v>
      </c>
      <c r="S43" s="53">
        <f t="shared" si="2"/>
        <v>450756.56680795894</v>
      </c>
      <c r="T43" s="53">
        <f t="shared" si="2"/>
        <v>465466.85941169586</v>
      </c>
      <c r="U43" s="53">
        <f t="shared" si="2"/>
        <v>480630.94379136467</v>
      </c>
      <c r="V43" s="53">
        <f t="shared" si="2"/>
        <v>496262.31560288457</v>
      </c>
      <c r="W43" s="53">
        <f t="shared" si="2"/>
        <v>512374.86166511086</v>
      </c>
      <c r="X43" s="53">
        <f t="shared" si="2"/>
        <v>528982.87108319672</v>
      </c>
      <c r="Y43" s="53">
        <f t="shared" si="2"/>
        <v>546101.04668364616</v>
      </c>
      <c r="Z43" s="53">
        <f t="shared" si="2"/>
        <v>563744.51676969114</v>
      </c>
      <c r="AA43" s="53">
        <f t="shared" si="2"/>
        <v>581928.84720586101</v>
      </c>
      <c r="AB43" s="53">
        <f t="shared" si="2"/>
        <v>600670.0538408584</v>
      </c>
      <c r="AC43" s="53">
        <f t="shared" si="2"/>
        <v>619984.61527810188</v>
      </c>
      <c r="AD43" s="53">
        <f t="shared" si="2"/>
        <v>639889.48600355641</v>
      </c>
    </row>
    <row r="44" spans="1:30" x14ac:dyDescent="0.35">
      <c r="A44" s="72" t="s">
        <v>30</v>
      </c>
      <c r="B44" s="10">
        <f>NPV('Cost Assumptions'!$B$3,'SDG&amp;E'!D44:'SDG&amp;E'!AD44)</f>
        <v>1008.9296414264766</v>
      </c>
      <c r="C44" s="72" t="s">
        <v>31</v>
      </c>
      <c r="D44" s="53">
        <f t="shared" ref="D44:AD44" si="3">D3-D19</f>
        <v>10</v>
      </c>
      <c r="E44" s="53">
        <f t="shared" si="3"/>
        <v>20.5</v>
      </c>
      <c r="F44" s="53">
        <f t="shared" si="3"/>
        <v>29.879999999999995</v>
      </c>
      <c r="G44" s="53">
        <f t="shared" si="3"/>
        <v>39.259999999999991</v>
      </c>
      <c r="H44" s="53">
        <f t="shared" si="3"/>
        <v>48.639999999999986</v>
      </c>
      <c r="I44" s="53">
        <f t="shared" si="3"/>
        <v>58.019999999999982</v>
      </c>
      <c r="J44" s="53">
        <f t="shared" si="3"/>
        <v>67.399999999999977</v>
      </c>
      <c r="K44" s="53">
        <f t="shared" si="3"/>
        <v>57.599999999999966</v>
      </c>
      <c r="L44" s="53">
        <f t="shared" si="3"/>
        <v>49.800000000000011</v>
      </c>
      <c r="M44" s="53">
        <f t="shared" si="3"/>
        <v>41.5</v>
      </c>
      <c r="N44" s="53">
        <f t="shared" si="3"/>
        <v>53.700000000000017</v>
      </c>
      <c r="O44" s="53">
        <f t="shared" si="3"/>
        <v>75.066666666666691</v>
      </c>
      <c r="P44" s="53">
        <f t="shared" si="3"/>
        <v>96.433333333333366</v>
      </c>
      <c r="Q44" s="53">
        <f t="shared" si="3"/>
        <v>117.80000000000004</v>
      </c>
      <c r="R44" s="53">
        <f t="shared" si="3"/>
        <v>139.16666666666671</v>
      </c>
      <c r="S44" s="53">
        <f t="shared" si="3"/>
        <v>160.53333333333339</v>
      </c>
      <c r="T44" s="53">
        <f t="shared" si="3"/>
        <v>181.90000000000003</v>
      </c>
      <c r="U44" s="53">
        <f t="shared" si="3"/>
        <v>244.23000000000002</v>
      </c>
      <c r="V44" s="53">
        <f t="shared" si="3"/>
        <v>306.56</v>
      </c>
      <c r="W44" s="53">
        <f t="shared" si="3"/>
        <v>368.89</v>
      </c>
      <c r="X44" s="53">
        <f t="shared" si="3"/>
        <v>431.21999999999997</v>
      </c>
      <c r="Y44" s="53">
        <f t="shared" si="3"/>
        <v>453.7000000000001</v>
      </c>
      <c r="Z44" s="53">
        <f t="shared" si="3"/>
        <v>524.00000000000011</v>
      </c>
      <c r="AA44" s="53">
        <f t="shared" si="3"/>
        <v>594.30000000000007</v>
      </c>
      <c r="AB44" s="53">
        <f t="shared" si="3"/>
        <v>664.6</v>
      </c>
      <c r="AC44" s="53">
        <f t="shared" si="3"/>
        <v>734.9</v>
      </c>
      <c r="AD44" s="53">
        <f t="shared" si="3"/>
        <v>805.2</v>
      </c>
    </row>
    <row r="45" spans="1:30" x14ac:dyDescent="0.35">
      <c r="A45" s="72" t="s">
        <v>30</v>
      </c>
      <c r="B45" s="10">
        <f>NPV('Cost Assumptions'!$B$3,'SDG&amp;E'!D45:'SDG&amp;E'!AD45)</f>
        <v>100.1706730731125</v>
      </c>
      <c r="C45" s="72" t="s">
        <v>32</v>
      </c>
      <c r="D45" s="53">
        <f t="shared" ref="D45:AD45" si="4">D4-D20</f>
        <v>2</v>
      </c>
      <c r="E45" s="53">
        <f t="shared" si="4"/>
        <v>3</v>
      </c>
      <c r="F45" s="53">
        <f t="shared" si="4"/>
        <v>4.6799999999999953</v>
      </c>
      <c r="G45" s="53">
        <f t="shared" si="4"/>
        <v>6.3599999999999905</v>
      </c>
      <c r="H45" s="53">
        <f t="shared" si="4"/>
        <v>8.0399999999999867</v>
      </c>
      <c r="I45" s="53">
        <f t="shared" si="4"/>
        <v>9.7199999999999829</v>
      </c>
      <c r="J45" s="53">
        <f t="shared" si="4"/>
        <v>11.399999999999977</v>
      </c>
      <c r="K45" s="53">
        <f t="shared" si="4"/>
        <v>10.199999999999989</v>
      </c>
      <c r="L45" s="53">
        <f t="shared" si="4"/>
        <v>8.5999999999999943</v>
      </c>
      <c r="M45" s="53">
        <f t="shared" si="4"/>
        <v>6.8000000000000114</v>
      </c>
      <c r="N45" s="53">
        <f t="shared" si="4"/>
        <v>9.6000000000000227</v>
      </c>
      <c r="O45" s="53">
        <f t="shared" si="4"/>
        <v>11.333333333333352</v>
      </c>
      <c r="P45" s="53">
        <f t="shared" si="4"/>
        <v>13.066666666666681</v>
      </c>
      <c r="Q45" s="53">
        <f t="shared" si="4"/>
        <v>14.80000000000001</v>
      </c>
      <c r="R45" s="53">
        <f t="shared" si="4"/>
        <v>16.533333333333339</v>
      </c>
      <c r="S45" s="53">
        <f t="shared" si="4"/>
        <v>18.266666666666669</v>
      </c>
      <c r="T45" s="53">
        <f t="shared" si="4"/>
        <v>20</v>
      </c>
      <c r="U45" s="53">
        <f t="shared" si="4"/>
        <v>21.860000000000003</v>
      </c>
      <c r="V45" s="53">
        <f t="shared" si="4"/>
        <v>23.720000000000006</v>
      </c>
      <c r="W45" s="53">
        <f t="shared" si="4"/>
        <v>25.580000000000009</v>
      </c>
      <c r="X45" s="53">
        <f t="shared" si="4"/>
        <v>27.440000000000012</v>
      </c>
      <c r="Y45" s="53">
        <f t="shared" si="4"/>
        <v>29.300000000000011</v>
      </c>
      <c r="Z45" s="53">
        <f t="shared" si="4"/>
        <v>30.480000000000008</v>
      </c>
      <c r="AA45" s="53">
        <f t="shared" si="4"/>
        <v>31.660000000000004</v>
      </c>
      <c r="AB45" s="53">
        <f t="shared" si="4"/>
        <v>32.839999999999996</v>
      </c>
      <c r="AC45" s="53">
        <f t="shared" si="4"/>
        <v>34.019999999999989</v>
      </c>
      <c r="AD45" s="53">
        <f t="shared" si="4"/>
        <v>35.199999999999989</v>
      </c>
    </row>
    <row r="46" spans="1:30" x14ac:dyDescent="0.35">
      <c r="A46" s="72" t="s">
        <v>30</v>
      </c>
      <c r="B46" s="10">
        <f>NPV('Cost Assumptions'!$B$3,'SDG&amp;E'!D46:'SDG&amp;E'!AD46)</f>
        <v>73.336634837250131</v>
      </c>
      <c r="C46" s="72" t="s">
        <v>33</v>
      </c>
      <c r="D46" s="53">
        <f t="shared" ref="D46:AD46" si="5">D5-D21</f>
        <v>8.4812112193331513E-2</v>
      </c>
      <c r="E46" s="53">
        <f t="shared" si="5"/>
        <v>0.24283371212350299</v>
      </c>
      <c r="F46" s="53">
        <f t="shared" si="5"/>
        <v>0.34046276046663143</v>
      </c>
      <c r="G46" s="53">
        <f t="shared" si="5"/>
        <v>0.43809180880975984</v>
      </c>
      <c r="H46" s="53">
        <f t="shared" si="5"/>
        <v>0.53572085715288831</v>
      </c>
      <c r="I46" s="53">
        <f t="shared" si="5"/>
        <v>0.63334990549601677</v>
      </c>
      <c r="J46" s="53">
        <f t="shared" si="5"/>
        <v>0.73097895383914513</v>
      </c>
      <c r="K46" s="53">
        <f t="shared" si="5"/>
        <v>0.61764830497225676</v>
      </c>
      <c r="L46" s="53">
        <f t="shared" si="5"/>
        <v>0.52957812632109091</v>
      </c>
      <c r="M46" s="53">
        <f t="shared" si="5"/>
        <v>0.48185121670948772</v>
      </c>
      <c r="N46" s="53">
        <f t="shared" si="5"/>
        <v>0.56680711827214547</v>
      </c>
      <c r="O46" s="53">
        <f t="shared" si="5"/>
        <v>0.96980348799493798</v>
      </c>
      <c r="P46" s="53">
        <f t="shared" si="5"/>
        <v>1.3727998577177305</v>
      </c>
      <c r="Q46" s="53">
        <f t="shared" si="5"/>
        <v>1.775796227440523</v>
      </c>
      <c r="R46" s="53">
        <f t="shared" si="5"/>
        <v>2.1787925971633153</v>
      </c>
      <c r="S46" s="53">
        <f t="shared" si="5"/>
        <v>2.5817889668861076</v>
      </c>
      <c r="T46" s="53">
        <f t="shared" si="5"/>
        <v>2.9847853366089003</v>
      </c>
      <c r="U46" s="53">
        <f t="shared" si="5"/>
        <v>21.070525908414965</v>
      </c>
      <c r="V46" s="53">
        <f t="shared" si="5"/>
        <v>39.156266480221028</v>
      </c>
      <c r="W46" s="53">
        <f t="shared" si="5"/>
        <v>57.242007052027091</v>
      </c>
      <c r="X46" s="53">
        <f t="shared" si="5"/>
        <v>75.327747623833147</v>
      </c>
      <c r="Y46" s="53">
        <f t="shared" si="5"/>
        <v>93.413488195639218</v>
      </c>
      <c r="Z46" s="53">
        <f t="shared" si="5"/>
        <v>81.062212021092932</v>
      </c>
      <c r="AA46" s="53">
        <f t="shared" si="5"/>
        <v>68.710935846546647</v>
      </c>
      <c r="AB46" s="53">
        <f t="shared" si="5"/>
        <v>56.359659672000362</v>
      </c>
      <c r="AC46" s="53">
        <f t="shared" si="5"/>
        <v>44.008383497454076</v>
      </c>
      <c r="AD46" s="53">
        <f t="shared" si="5"/>
        <v>31.657107322907791</v>
      </c>
    </row>
    <row r="47" spans="1:30" x14ac:dyDescent="0.35">
      <c r="A47" s="72" t="s">
        <v>30</v>
      </c>
      <c r="B47" s="10">
        <f>NPV('Cost Assumptions'!$B$3,'SDG&amp;E'!D47:'SDG&amp;E'!AD47)</f>
        <v>1.4721708526842732</v>
      </c>
      <c r="C47" s="72" t="s">
        <v>34</v>
      </c>
      <c r="D47" s="53">
        <f t="shared" ref="D47:AD47" si="6">D6-D22</f>
        <v>6.0580080138093939E-3</v>
      </c>
      <c r="E47" s="53">
        <f t="shared" si="6"/>
        <v>1.7771756236396739E-2</v>
      </c>
      <c r="F47" s="53">
        <f t="shared" si="6"/>
        <v>2.504677784712513E-2</v>
      </c>
      <c r="G47" s="53">
        <f t="shared" si="6"/>
        <v>3.2321799457853517E-2</v>
      </c>
      <c r="H47" s="53">
        <f t="shared" si="6"/>
        <v>3.9596821068581908E-2</v>
      </c>
      <c r="I47" s="53">
        <f t="shared" si="6"/>
        <v>4.6871842679310299E-2</v>
      </c>
      <c r="J47" s="53">
        <f t="shared" si="6"/>
        <v>5.414686429003869E-2</v>
      </c>
      <c r="K47" s="53">
        <f t="shared" si="6"/>
        <v>4.57170533491131E-2</v>
      </c>
      <c r="L47" s="53">
        <f t="shared" si="6"/>
        <v>3.8991796004088156E-2</v>
      </c>
      <c r="M47" s="53">
        <f t="shared" si="6"/>
        <v>3.1792887361975948E-2</v>
      </c>
      <c r="N47" s="53">
        <f t="shared" si="6"/>
        <v>4.2212624824281168E-2</v>
      </c>
      <c r="O47" s="53">
        <f t="shared" si="6"/>
        <v>5.9766414638595444E-2</v>
      </c>
      <c r="P47" s="53">
        <f t="shared" si="6"/>
        <v>7.7320204452909727E-2</v>
      </c>
      <c r="Q47" s="53">
        <f t="shared" si="6"/>
        <v>9.487399426722401E-2</v>
      </c>
      <c r="R47" s="53">
        <f t="shared" si="6"/>
        <v>0.11242778408153829</v>
      </c>
      <c r="S47" s="53">
        <f t="shared" si="6"/>
        <v>0.12998157389585258</v>
      </c>
      <c r="T47" s="53">
        <f t="shared" si="6"/>
        <v>0.14753536371016684</v>
      </c>
      <c r="U47" s="53">
        <f t="shared" si="6"/>
        <v>0.40051087482777559</v>
      </c>
      <c r="V47" s="53">
        <f t="shared" si="6"/>
        <v>0.65348638594538433</v>
      </c>
      <c r="W47" s="53">
        <f t="shared" si="6"/>
        <v>0.90646189706299307</v>
      </c>
      <c r="X47" s="53">
        <f t="shared" si="6"/>
        <v>1.1594374081806018</v>
      </c>
      <c r="Y47" s="53">
        <f t="shared" si="6"/>
        <v>1.4124129192982104</v>
      </c>
      <c r="Z47" s="53">
        <f t="shared" si="6"/>
        <v>1.2710233198999881</v>
      </c>
      <c r="AA47" s="53">
        <f t="shared" si="6"/>
        <v>1.1296337205017657</v>
      </c>
      <c r="AB47" s="53">
        <f t="shared" si="6"/>
        <v>0.98824412110354332</v>
      </c>
      <c r="AC47" s="53">
        <f t="shared" si="6"/>
        <v>0.84685452170532094</v>
      </c>
      <c r="AD47" s="53">
        <f t="shared" si="6"/>
        <v>0.70546492230709823</v>
      </c>
    </row>
    <row r="48" spans="1:30" x14ac:dyDescent="0.35">
      <c r="A48" s="72" t="s">
        <v>30</v>
      </c>
      <c r="B48" s="10">
        <f>NPV('Cost Assumptions'!$B$3,'SDG&amp;E'!D48:'SDG&amp;E'!AD48)</f>
        <v>315.95809421564536</v>
      </c>
      <c r="C48" s="72" t="s">
        <v>35</v>
      </c>
      <c r="D48" s="53">
        <f t="shared" ref="D48:AD48" si="7">D7-D23</f>
        <v>14</v>
      </c>
      <c r="E48" s="53">
        <f t="shared" si="7"/>
        <v>21</v>
      </c>
      <c r="F48" s="53">
        <f t="shared" si="7"/>
        <v>23.2</v>
      </c>
      <c r="G48" s="53">
        <f t="shared" si="7"/>
        <v>25.4</v>
      </c>
      <c r="H48" s="53">
        <f t="shared" si="7"/>
        <v>27.599999999999998</v>
      </c>
      <c r="I48" s="53">
        <f t="shared" si="7"/>
        <v>29.799999999999997</v>
      </c>
      <c r="J48" s="53">
        <f t="shared" si="7"/>
        <v>32</v>
      </c>
      <c r="K48" s="53">
        <f t="shared" si="7"/>
        <v>30</v>
      </c>
      <c r="L48" s="53">
        <f t="shared" si="7"/>
        <v>29</v>
      </c>
      <c r="M48" s="53">
        <f t="shared" si="7"/>
        <v>29</v>
      </c>
      <c r="N48" s="53">
        <f t="shared" si="7"/>
        <v>29</v>
      </c>
      <c r="O48" s="53">
        <f t="shared" si="7"/>
        <v>32.666666666666664</v>
      </c>
      <c r="P48" s="53">
        <f t="shared" si="7"/>
        <v>36.333333333333329</v>
      </c>
      <c r="Q48" s="53">
        <f t="shared" si="7"/>
        <v>39.999999999999993</v>
      </c>
      <c r="R48" s="53">
        <f t="shared" si="7"/>
        <v>43.666666666666657</v>
      </c>
      <c r="S48" s="53">
        <f t="shared" si="7"/>
        <v>47.333333333333321</v>
      </c>
      <c r="T48" s="53">
        <f t="shared" si="7"/>
        <v>51</v>
      </c>
      <c r="U48" s="53">
        <f t="shared" si="7"/>
        <v>56.6</v>
      </c>
      <c r="V48" s="53">
        <f t="shared" si="7"/>
        <v>62.2</v>
      </c>
      <c r="W48" s="53">
        <f t="shared" si="7"/>
        <v>67.8</v>
      </c>
      <c r="X48" s="53">
        <f t="shared" si="7"/>
        <v>73.399999999999991</v>
      </c>
      <c r="Y48" s="53">
        <f t="shared" si="7"/>
        <v>79</v>
      </c>
      <c r="Z48" s="53">
        <f t="shared" si="7"/>
        <v>82</v>
      </c>
      <c r="AA48" s="53">
        <f t="shared" si="7"/>
        <v>85</v>
      </c>
      <c r="AB48" s="53">
        <f t="shared" si="7"/>
        <v>88</v>
      </c>
      <c r="AC48" s="53">
        <f t="shared" si="7"/>
        <v>91</v>
      </c>
      <c r="AD48" s="53">
        <f t="shared" si="7"/>
        <v>94</v>
      </c>
    </row>
    <row r="49" spans="1:30" x14ac:dyDescent="0.35">
      <c r="A49" s="72" t="s">
        <v>30</v>
      </c>
      <c r="B49" s="10">
        <f>NPV('Cost Assumptions'!$B$3,'SDG&amp;E'!D49:'SDG&amp;E'!AD49)</f>
        <v>60203.88924574454</v>
      </c>
      <c r="C49" s="11" t="s">
        <v>140</v>
      </c>
      <c r="D49" s="53">
        <f>D13-D24</f>
        <v>3765.5276298672634</v>
      </c>
      <c r="E49" s="53">
        <f t="shared" ref="E49:AD49" si="8">E13-E24</f>
        <v>4364.5197929771184</v>
      </c>
      <c r="F49" s="53">
        <f t="shared" si="8"/>
        <v>4963.5119560869734</v>
      </c>
      <c r="G49" s="53">
        <f t="shared" si="8"/>
        <v>5562.5041191968285</v>
      </c>
      <c r="H49" s="53">
        <f t="shared" si="8"/>
        <v>6161.4962823066835</v>
      </c>
      <c r="I49" s="53">
        <f t="shared" si="8"/>
        <v>6760.4884454165385</v>
      </c>
      <c r="J49" s="53">
        <f t="shared" si="8"/>
        <v>7359.4806085263936</v>
      </c>
      <c r="K49" s="53">
        <f t="shared" si="8"/>
        <v>7166.7032385658422</v>
      </c>
      <c r="L49" s="53">
        <f t="shared" si="8"/>
        <v>6973.9258686052908</v>
      </c>
      <c r="M49" s="53">
        <f t="shared" si="8"/>
        <v>5883.4145586057839</v>
      </c>
      <c r="N49" s="53">
        <f t="shared" si="8"/>
        <v>6578.2925369453633</v>
      </c>
      <c r="O49" s="53">
        <f t="shared" si="8"/>
        <v>7381.6472954475848</v>
      </c>
      <c r="P49" s="53">
        <f t="shared" si="8"/>
        <v>7586.0301636990553</v>
      </c>
      <c r="Q49" s="53">
        <f t="shared" si="8"/>
        <v>7790.4130319505275</v>
      </c>
      <c r="R49" s="53">
        <f t="shared" si="8"/>
        <v>7994.7959002019998</v>
      </c>
      <c r="S49" s="53">
        <f t="shared" si="8"/>
        <v>8199.1787684534702</v>
      </c>
      <c r="T49" s="53">
        <f t="shared" si="8"/>
        <v>8403.5616367049406</v>
      </c>
      <c r="U49" s="53">
        <f t="shared" si="8"/>
        <v>8607.9445049564129</v>
      </c>
      <c r="V49" s="53">
        <f t="shared" si="8"/>
        <v>8812.3273732078833</v>
      </c>
      <c r="W49" s="53">
        <f t="shared" si="8"/>
        <v>9016.7102414593537</v>
      </c>
      <c r="X49" s="53">
        <f t="shared" si="8"/>
        <v>9221.0931097108241</v>
      </c>
      <c r="Y49" s="53">
        <f t="shared" si="8"/>
        <v>9425.4759779622946</v>
      </c>
      <c r="Z49" s="53">
        <f t="shared" si="8"/>
        <v>9629.8588462137668</v>
      </c>
      <c r="AA49" s="53">
        <f t="shared" si="8"/>
        <v>9834.2417144652354</v>
      </c>
      <c r="AB49" s="53">
        <f t="shared" si="8"/>
        <v>10038.624582716704</v>
      </c>
      <c r="AC49" s="53">
        <f t="shared" si="8"/>
        <v>10243.007450968176</v>
      </c>
      <c r="AD49" s="53">
        <f t="shared" si="8"/>
        <v>10447.390319219638</v>
      </c>
    </row>
    <row r="50" spans="1:30" x14ac:dyDescent="0.35">
      <c r="A50" s="72" t="s">
        <v>30</v>
      </c>
      <c r="B50" s="10">
        <f>NPV('Cost Assumptions'!$B$3,'SDG&amp;E'!D50:'SDG&amp;E'!AD50)</f>
        <v>1272587.0327551514</v>
      </c>
      <c r="C50" s="11" t="s">
        <v>141</v>
      </c>
      <c r="D50" s="53">
        <f>D14-D25</f>
        <v>135760.72984249768</v>
      </c>
      <c r="E50" s="53">
        <f t="shared" ref="E50:AD50" si="9">E14-E25</f>
        <v>136381.60516202831</v>
      </c>
      <c r="F50" s="53">
        <f t="shared" si="9"/>
        <v>136667.16114984063</v>
      </c>
      <c r="G50" s="53">
        <f t="shared" si="9"/>
        <v>136953.38058402523</v>
      </c>
      <c r="H50" s="53">
        <f t="shared" si="9"/>
        <v>137247.06102185321</v>
      </c>
      <c r="I50" s="53">
        <f t="shared" si="9"/>
        <v>137582.28628676737</v>
      </c>
      <c r="J50" s="53">
        <f t="shared" si="9"/>
        <v>137906.47540752403</v>
      </c>
      <c r="K50" s="53">
        <f t="shared" si="9"/>
        <v>137693.95669947928</v>
      </c>
      <c r="L50" s="53">
        <f t="shared" si="9"/>
        <v>137476.02386363386</v>
      </c>
      <c r="M50" s="53">
        <f t="shared" si="9"/>
        <v>137254.566918722</v>
      </c>
      <c r="N50" s="53">
        <f t="shared" si="9"/>
        <v>137608.29639319956</v>
      </c>
      <c r="O50" s="53">
        <f t="shared" si="9"/>
        <v>137958.53920814447</v>
      </c>
      <c r="P50" s="53">
        <f t="shared" si="9"/>
        <v>138308.90426750112</v>
      </c>
      <c r="Q50" s="53">
        <f t="shared" si="9"/>
        <v>138647.15766644073</v>
      </c>
      <c r="R50" s="53">
        <f t="shared" si="9"/>
        <v>138983.62939920495</v>
      </c>
      <c r="S50" s="53">
        <f t="shared" si="9"/>
        <v>139312.81977216428</v>
      </c>
      <c r="T50" s="53">
        <f t="shared" si="9"/>
        <v>139636.04924244032</v>
      </c>
      <c r="U50" s="53">
        <f t="shared" si="9"/>
        <v>139919.78281317203</v>
      </c>
      <c r="V50" s="53">
        <f t="shared" si="9"/>
        <v>140191.74523570359</v>
      </c>
      <c r="W50" s="53">
        <f t="shared" si="9"/>
        <v>140456.52373349664</v>
      </c>
      <c r="X50" s="53">
        <f t="shared" si="9"/>
        <v>140712.71200387826</v>
      </c>
      <c r="Y50" s="53">
        <f t="shared" si="9"/>
        <v>140921.76338212824</v>
      </c>
      <c r="Z50" s="53">
        <f t="shared" si="9"/>
        <v>141121.58582155628</v>
      </c>
      <c r="AA50" s="53">
        <f t="shared" si="9"/>
        <v>141309.77781576558</v>
      </c>
      <c r="AB50" s="53">
        <f t="shared" si="9"/>
        <v>141490.88627082555</v>
      </c>
      <c r="AC50" s="53">
        <f t="shared" si="9"/>
        <v>141618.14450504346</v>
      </c>
      <c r="AD50" s="53">
        <f t="shared" si="9"/>
        <v>141728.41719947709</v>
      </c>
    </row>
    <row r="51" spans="1:30" s="52" customFormat="1" x14ac:dyDescent="0.35">
      <c r="A51" s="72" t="s">
        <v>151</v>
      </c>
      <c r="B51" s="10">
        <f>NPV('Cost Assumptions'!$B$3,'SDG&amp;E'!D51:'SDG&amp;E'!AD51)</f>
        <v>526663.85708479583</v>
      </c>
      <c r="C51" s="11" t="s">
        <v>142</v>
      </c>
      <c r="D51" s="53">
        <f>D15-D26</f>
        <v>45808.421407494854</v>
      </c>
      <c r="E51" s="53">
        <f t="shared" ref="E51:AD51" si="10">E15-E26</f>
        <v>48737.951083472915</v>
      </c>
      <c r="F51" s="53">
        <f t="shared" si="10"/>
        <v>50182.209733879929</v>
      </c>
      <c r="G51" s="53">
        <f t="shared" si="10"/>
        <v>51691.211111158744</v>
      </c>
      <c r="H51" s="53">
        <f t="shared" si="10"/>
        <v>53310.967457239516</v>
      </c>
      <c r="I51" s="53">
        <f t="shared" si="10"/>
        <v>55169.031304385557</v>
      </c>
      <c r="J51" s="53">
        <f t="shared" si="10"/>
        <v>57028.818382482525</v>
      </c>
      <c r="K51" s="53">
        <f t="shared" si="10"/>
        <v>55797.103718766411</v>
      </c>
      <c r="L51" s="53">
        <f t="shared" si="10"/>
        <v>54578.425981078268</v>
      </c>
      <c r="M51" s="53">
        <f t="shared" si="10"/>
        <v>53352.680756663482</v>
      </c>
      <c r="N51" s="53">
        <f t="shared" si="10"/>
        <v>55313.582656366751</v>
      </c>
      <c r="O51" s="53">
        <f t="shared" si="10"/>
        <v>57337.693328112291</v>
      </c>
      <c r="P51" s="53">
        <f t="shared" si="10"/>
        <v>59456.633625716044</v>
      </c>
      <c r="Q51" s="53">
        <f t="shared" si="10"/>
        <v>61542.813561853683</v>
      </c>
      <c r="R51" s="53">
        <f t="shared" si="10"/>
        <v>63663.582821961209</v>
      </c>
      <c r="S51" s="53">
        <f t="shared" si="10"/>
        <v>65847.73871719747</v>
      </c>
      <c r="T51" s="53">
        <f t="shared" si="10"/>
        <v>68109.828111684503</v>
      </c>
      <c r="U51" s="53">
        <f t="shared" si="10"/>
        <v>70213.916297683056</v>
      </c>
      <c r="V51" s="53">
        <f t="shared" si="10"/>
        <v>72345.401471854842</v>
      </c>
      <c r="W51" s="53">
        <f t="shared" si="10"/>
        <v>74506.002604065055</v>
      </c>
      <c r="X51" s="53">
        <f t="shared" si="10"/>
        <v>76709.237909044736</v>
      </c>
      <c r="Y51" s="53">
        <f t="shared" si="10"/>
        <v>78584.537826778003</v>
      </c>
      <c r="Z51" s="53">
        <f t="shared" si="10"/>
        <v>80408.969620383519</v>
      </c>
      <c r="AA51" s="53">
        <f t="shared" si="10"/>
        <v>82173.43634519144</v>
      </c>
      <c r="AB51" s="53">
        <f t="shared" si="10"/>
        <v>83916.02729526638</v>
      </c>
      <c r="AC51" s="53">
        <f t="shared" si="10"/>
        <v>85162.030955838127</v>
      </c>
      <c r="AD51" s="53">
        <f t="shared" si="10"/>
        <v>86278.232397003711</v>
      </c>
    </row>
    <row r="52" spans="1:30" x14ac:dyDescent="0.35">
      <c r="A52" s="72" t="s">
        <v>39</v>
      </c>
      <c r="B52" s="10">
        <f>NPV('Cost Assumptions'!$B$3,'SDG&amp;E'!D52:'SDG&amp;E'!AD52)</f>
        <v>3662.2030822001593</v>
      </c>
      <c r="C52" s="72" t="s">
        <v>31</v>
      </c>
      <c r="D52" s="53">
        <f t="shared" ref="D52:AD52" si="11">D8-D27</f>
        <v>22.2</v>
      </c>
      <c r="E52" s="53">
        <f t="shared" si="11"/>
        <v>65.8</v>
      </c>
      <c r="F52" s="53">
        <f t="shared" si="11"/>
        <v>102.72</v>
      </c>
      <c r="G52" s="53">
        <f t="shared" si="11"/>
        <v>139.63999999999999</v>
      </c>
      <c r="H52" s="53">
        <f t="shared" si="11"/>
        <v>176.56</v>
      </c>
      <c r="I52" s="53">
        <f t="shared" si="11"/>
        <v>213.48000000000002</v>
      </c>
      <c r="J52" s="53">
        <f t="shared" si="11"/>
        <v>250.4</v>
      </c>
      <c r="K52" s="53">
        <f t="shared" si="11"/>
        <v>216.60000000000014</v>
      </c>
      <c r="L52" s="53">
        <f t="shared" si="11"/>
        <v>182.59999999999991</v>
      </c>
      <c r="M52" s="53">
        <f t="shared" si="11"/>
        <v>151.20000000000005</v>
      </c>
      <c r="N52" s="53">
        <f t="shared" si="11"/>
        <v>202.60000000000014</v>
      </c>
      <c r="O52" s="53">
        <f t="shared" si="11"/>
        <v>292.1666666666668</v>
      </c>
      <c r="P52" s="53">
        <f t="shared" si="11"/>
        <v>381.73333333333346</v>
      </c>
      <c r="Q52" s="53">
        <f t="shared" si="11"/>
        <v>471.30000000000013</v>
      </c>
      <c r="R52" s="53">
        <f t="shared" si="11"/>
        <v>560.86666666666679</v>
      </c>
      <c r="S52" s="53">
        <f t="shared" si="11"/>
        <v>650.43333333333339</v>
      </c>
      <c r="T52" s="53">
        <f t="shared" si="11"/>
        <v>740</v>
      </c>
      <c r="U52" s="53">
        <f t="shared" si="11"/>
        <v>930.87999999999988</v>
      </c>
      <c r="V52" s="53">
        <f t="shared" si="11"/>
        <v>1121.7599999999998</v>
      </c>
      <c r="W52" s="53">
        <f t="shared" si="11"/>
        <v>1312.6399999999996</v>
      </c>
      <c r="X52" s="53">
        <f t="shared" si="11"/>
        <v>1503.5199999999995</v>
      </c>
      <c r="Y52" s="53">
        <f t="shared" si="11"/>
        <v>1694.3999999999994</v>
      </c>
      <c r="Z52" s="53">
        <f t="shared" si="11"/>
        <v>1887.3999999999994</v>
      </c>
      <c r="AA52" s="53">
        <f t="shared" si="11"/>
        <v>2080.3999999999996</v>
      </c>
      <c r="AB52" s="53">
        <f t="shared" si="11"/>
        <v>2273.3999999999996</v>
      </c>
      <c r="AC52" s="53">
        <f t="shared" si="11"/>
        <v>2466.3999999999996</v>
      </c>
      <c r="AD52" s="53">
        <f t="shared" si="11"/>
        <v>2656.3999999999996</v>
      </c>
    </row>
    <row r="53" spans="1:30" x14ac:dyDescent="0.35">
      <c r="A53" s="72" t="s">
        <v>39</v>
      </c>
      <c r="B53" s="10">
        <f>NPV('Cost Assumptions'!$B$3,'SDG&amp;E'!D53:'SDG&amp;E'!AD53)</f>
        <v>603.10823465351496</v>
      </c>
      <c r="C53" s="72" t="s">
        <v>32</v>
      </c>
      <c r="D53" s="53">
        <f t="shared" ref="D53:AD53" si="12">D9-D28</f>
        <v>13</v>
      </c>
      <c r="E53" s="53">
        <f t="shared" si="12"/>
        <v>27</v>
      </c>
      <c r="F53" s="53">
        <f t="shared" si="12"/>
        <v>34.519999999999982</v>
      </c>
      <c r="G53" s="53">
        <f t="shared" si="12"/>
        <v>42.039999999999964</v>
      </c>
      <c r="H53" s="53">
        <f t="shared" si="12"/>
        <v>49.559999999999945</v>
      </c>
      <c r="I53" s="53">
        <f t="shared" si="12"/>
        <v>57.079999999999927</v>
      </c>
      <c r="J53" s="53">
        <f t="shared" si="12"/>
        <v>64.599999999999909</v>
      </c>
      <c r="K53" s="53">
        <f t="shared" si="12"/>
        <v>59.799999999999955</v>
      </c>
      <c r="L53" s="53">
        <f t="shared" si="12"/>
        <v>52.799999999999955</v>
      </c>
      <c r="M53" s="53">
        <f t="shared" si="12"/>
        <v>46</v>
      </c>
      <c r="N53" s="53">
        <f t="shared" si="12"/>
        <v>57.400000000000091</v>
      </c>
      <c r="O53" s="53">
        <f t="shared" si="12"/>
        <v>67.333333333333414</v>
      </c>
      <c r="P53" s="53">
        <f t="shared" si="12"/>
        <v>77.266666666666737</v>
      </c>
      <c r="Q53" s="53">
        <f t="shared" si="12"/>
        <v>87.20000000000006</v>
      </c>
      <c r="R53" s="53">
        <f t="shared" si="12"/>
        <v>97.133333333333383</v>
      </c>
      <c r="S53" s="53">
        <f t="shared" si="12"/>
        <v>107.06666666666671</v>
      </c>
      <c r="T53" s="53">
        <f t="shared" si="12"/>
        <v>117</v>
      </c>
      <c r="U53" s="53">
        <f t="shared" si="12"/>
        <v>126.6</v>
      </c>
      <c r="V53" s="53">
        <f t="shared" si="12"/>
        <v>136.19999999999999</v>
      </c>
      <c r="W53" s="53">
        <f t="shared" si="12"/>
        <v>145.79999999999998</v>
      </c>
      <c r="X53" s="53">
        <f t="shared" si="12"/>
        <v>155.39999999999998</v>
      </c>
      <c r="Y53" s="53">
        <f t="shared" si="12"/>
        <v>165</v>
      </c>
      <c r="Z53" s="53">
        <f t="shared" si="12"/>
        <v>171.84</v>
      </c>
      <c r="AA53" s="53">
        <f t="shared" si="12"/>
        <v>178.68</v>
      </c>
      <c r="AB53" s="53">
        <f t="shared" si="12"/>
        <v>185.52</v>
      </c>
      <c r="AC53" s="53">
        <f t="shared" si="12"/>
        <v>192.36</v>
      </c>
      <c r="AD53" s="53">
        <f t="shared" si="12"/>
        <v>196.20000000000005</v>
      </c>
    </row>
    <row r="54" spans="1:30" x14ac:dyDescent="0.35">
      <c r="A54" s="72" t="s">
        <v>39</v>
      </c>
      <c r="B54" s="10">
        <f>NPV('Cost Assumptions'!$B$3,'SDG&amp;E'!D54:'SDG&amp;E'!AD54)</f>
        <v>54.089607153213329</v>
      </c>
      <c r="C54" s="72" t="s">
        <v>33</v>
      </c>
      <c r="D54" s="53">
        <f t="shared" ref="D54:AD54" si="13">D10-D29</f>
        <v>4.7253529883901121E-2</v>
      </c>
      <c r="E54" s="53">
        <f t="shared" si="13"/>
        <v>0.28011551949195379</v>
      </c>
      <c r="F54" s="53">
        <f t="shared" si="13"/>
        <v>0.59718244793816533</v>
      </c>
      <c r="G54" s="53">
        <f t="shared" si="13"/>
        <v>0.91424937638437687</v>
      </c>
      <c r="H54" s="53">
        <f t="shared" si="13"/>
        <v>1.2313163048305884</v>
      </c>
      <c r="I54" s="53">
        <f t="shared" si="13"/>
        <v>1.5483832332767999</v>
      </c>
      <c r="J54" s="53">
        <f t="shared" si="13"/>
        <v>1.8654501617230115</v>
      </c>
      <c r="K54" s="53">
        <f t="shared" si="13"/>
        <v>1.6136441894137561</v>
      </c>
      <c r="L54" s="53">
        <f t="shared" si="13"/>
        <v>1.1660127779459895</v>
      </c>
      <c r="M54" s="53">
        <f t="shared" si="13"/>
        <v>0.80458713045561225</v>
      </c>
      <c r="N54" s="53">
        <f t="shared" si="13"/>
        <v>0.56680711827214547</v>
      </c>
      <c r="O54" s="53">
        <f t="shared" si="13"/>
        <v>3.0445179689462347</v>
      </c>
      <c r="P54" s="53">
        <f t="shared" si="13"/>
        <v>4.5886299372095039</v>
      </c>
      <c r="Q54" s="53">
        <f t="shared" si="13"/>
        <v>6.1327419054727734</v>
      </c>
      <c r="R54" s="53">
        <f t="shared" si="13"/>
        <v>7.676853873736043</v>
      </c>
      <c r="S54" s="53">
        <f t="shared" si="13"/>
        <v>9.2209658419993126</v>
      </c>
      <c r="T54" s="53">
        <f t="shared" si="13"/>
        <v>10.765077810262582</v>
      </c>
      <c r="U54" s="53">
        <f t="shared" si="13"/>
        <v>11.285969377257926</v>
      </c>
      <c r="V54" s="53">
        <f t="shared" si="13"/>
        <v>11.80686094425327</v>
      </c>
      <c r="W54" s="53">
        <f t="shared" si="13"/>
        <v>12.327752511248613</v>
      </c>
      <c r="X54" s="53">
        <f t="shared" si="13"/>
        <v>12.848644078243957</v>
      </c>
      <c r="Y54" s="53">
        <f t="shared" si="13"/>
        <v>13.369535645239303</v>
      </c>
      <c r="Z54" s="53">
        <f t="shared" si="13"/>
        <v>31.024884631077057</v>
      </c>
      <c r="AA54" s="53">
        <f t="shared" si="13"/>
        <v>48.680233616914812</v>
      </c>
      <c r="AB54" s="53">
        <f t="shared" si="13"/>
        <v>66.335582602752567</v>
      </c>
      <c r="AC54" s="53">
        <f t="shared" si="13"/>
        <v>83.990931588590314</v>
      </c>
      <c r="AD54" s="53">
        <f t="shared" si="13"/>
        <v>101.64367305746777</v>
      </c>
    </row>
    <row r="55" spans="1:30" x14ac:dyDescent="0.35">
      <c r="A55" s="72" t="s">
        <v>39</v>
      </c>
      <c r="B55" s="10">
        <f>NPV('Cost Assumptions'!$B$3,'SDG&amp;E'!D55:'SDG&amp;E'!AD55)</f>
        <v>2.9076722090423552</v>
      </c>
      <c r="C55" s="72" t="s">
        <v>34</v>
      </c>
      <c r="D55" s="53">
        <f t="shared" ref="D55:AD55" si="14">D11-D30</f>
        <v>2.3626764941950561E-2</v>
      </c>
      <c r="E55" s="53">
        <f t="shared" si="14"/>
        <v>7.0028879872988448E-2</v>
      </c>
      <c r="F55" s="53">
        <f t="shared" si="14"/>
        <v>0.10932167994761965</v>
      </c>
      <c r="G55" s="53">
        <f t="shared" si="14"/>
        <v>0.14861448002225086</v>
      </c>
      <c r="H55" s="53">
        <f t="shared" si="14"/>
        <v>0.18790728009688207</v>
      </c>
      <c r="I55" s="53">
        <f t="shared" si="14"/>
        <v>0.22720008017151327</v>
      </c>
      <c r="J55" s="53">
        <f t="shared" si="14"/>
        <v>0.26649288024614448</v>
      </c>
      <c r="K55" s="53">
        <f t="shared" si="14"/>
        <v>0.23052059848767945</v>
      </c>
      <c r="L55" s="53">
        <f t="shared" si="14"/>
        <v>0.19433546299099821</v>
      </c>
      <c r="M55" s="53">
        <f t="shared" si="14"/>
        <v>0.16091742609112245</v>
      </c>
      <c r="N55" s="53">
        <f t="shared" si="14"/>
        <v>4.2212624824281168E-2</v>
      </c>
      <c r="O55" s="53">
        <f t="shared" si="14"/>
        <v>0.30677545020347896</v>
      </c>
      <c r="P55" s="53">
        <f t="shared" si="14"/>
        <v>0.39920718602367722</v>
      </c>
      <c r="Q55" s="53">
        <f t="shared" si="14"/>
        <v>0.49163892184387548</v>
      </c>
      <c r="R55" s="53">
        <f t="shared" si="14"/>
        <v>0.58407065766407373</v>
      </c>
      <c r="S55" s="53">
        <f t="shared" si="14"/>
        <v>0.67650239348427199</v>
      </c>
      <c r="T55" s="53">
        <f t="shared" si="14"/>
        <v>0.76893412930447014</v>
      </c>
      <c r="U55" s="53">
        <f t="shared" si="14"/>
        <v>0.69278283231502535</v>
      </c>
      <c r="V55" s="53">
        <f t="shared" si="14"/>
        <v>0.61663153532558057</v>
      </c>
      <c r="W55" s="53">
        <f t="shared" si="14"/>
        <v>0.54048023833613579</v>
      </c>
      <c r="X55" s="53">
        <f t="shared" si="14"/>
        <v>0.464328941346691</v>
      </c>
      <c r="Y55" s="53">
        <f t="shared" si="14"/>
        <v>0.38817764435724611</v>
      </c>
      <c r="Z55" s="53">
        <f t="shared" si="14"/>
        <v>0.85998146994216484</v>
      </c>
      <c r="AA55" s="53">
        <f t="shared" si="14"/>
        <v>1.3317852955270837</v>
      </c>
      <c r="AB55" s="53">
        <f t="shared" si="14"/>
        <v>1.8035891211120025</v>
      </c>
      <c r="AC55" s="53">
        <f t="shared" si="14"/>
        <v>2.2753929466969214</v>
      </c>
      <c r="AD55" s="53">
        <f t="shared" si="14"/>
        <v>2.7445892553215274</v>
      </c>
    </row>
    <row r="56" spans="1:30" x14ac:dyDescent="0.35">
      <c r="A56" s="72" t="s">
        <v>39</v>
      </c>
      <c r="B56" s="10">
        <f>NPV('Cost Assumptions'!$B$3,'SDG&amp;E'!D56:'SDG&amp;E'!AD56)</f>
        <v>81.900204733986357</v>
      </c>
      <c r="C56" s="72" t="s">
        <v>35</v>
      </c>
      <c r="D56" s="53">
        <f t="shared" ref="D56:AD56" si="15">D12-D31</f>
        <v>2</v>
      </c>
      <c r="E56" s="53">
        <f t="shared" si="15"/>
        <v>4</v>
      </c>
      <c r="F56" s="53">
        <f t="shared" si="15"/>
        <v>4.5999999999999996</v>
      </c>
      <c r="G56" s="53">
        <f t="shared" si="15"/>
        <v>5.1999999999999993</v>
      </c>
      <c r="H56" s="53">
        <f t="shared" si="15"/>
        <v>5.7999999999999989</v>
      </c>
      <c r="I56" s="53">
        <f t="shared" si="15"/>
        <v>6.3999999999999986</v>
      </c>
      <c r="J56" s="53">
        <f t="shared" si="15"/>
        <v>7</v>
      </c>
      <c r="K56" s="53">
        <f t="shared" si="15"/>
        <v>7</v>
      </c>
      <c r="L56" s="53">
        <f t="shared" si="15"/>
        <v>6</v>
      </c>
      <c r="M56" s="53">
        <f t="shared" si="15"/>
        <v>5</v>
      </c>
      <c r="N56" s="53">
        <f t="shared" si="15"/>
        <v>7</v>
      </c>
      <c r="O56" s="53">
        <f t="shared" si="15"/>
        <v>8.1666666666666661</v>
      </c>
      <c r="P56" s="53">
        <f t="shared" si="15"/>
        <v>9.3333333333333321</v>
      </c>
      <c r="Q56" s="53">
        <f t="shared" si="15"/>
        <v>10.499999999999998</v>
      </c>
      <c r="R56" s="53">
        <f t="shared" si="15"/>
        <v>11.666666666666664</v>
      </c>
      <c r="S56" s="53">
        <f t="shared" si="15"/>
        <v>12.83333333333333</v>
      </c>
      <c r="T56" s="53">
        <f t="shared" si="15"/>
        <v>14</v>
      </c>
      <c r="U56" s="53">
        <f t="shared" si="15"/>
        <v>17</v>
      </c>
      <c r="V56" s="53">
        <f t="shared" si="15"/>
        <v>20</v>
      </c>
      <c r="W56" s="53">
        <f t="shared" si="15"/>
        <v>23</v>
      </c>
      <c r="X56" s="53">
        <f t="shared" si="15"/>
        <v>26</v>
      </c>
      <c r="Y56" s="53">
        <f t="shared" si="15"/>
        <v>29</v>
      </c>
      <c r="Z56" s="53">
        <f t="shared" si="15"/>
        <v>30.6</v>
      </c>
      <c r="AA56" s="53">
        <f t="shared" si="15"/>
        <v>32.200000000000003</v>
      </c>
      <c r="AB56" s="53">
        <f t="shared" si="15"/>
        <v>33.800000000000004</v>
      </c>
      <c r="AC56" s="53">
        <f t="shared" si="15"/>
        <v>35.400000000000006</v>
      </c>
      <c r="AD56" s="53">
        <f t="shared" si="15"/>
        <v>36</v>
      </c>
    </row>
    <row r="58" spans="1:30" ht="15" customHeight="1" thickBot="1" x14ac:dyDescent="0.4">
      <c r="A58" s="177" t="s">
        <v>143</v>
      </c>
      <c r="B58" s="177"/>
      <c r="C58" s="177"/>
      <c r="D58" s="177"/>
      <c r="E58" s="177"/>
      <c r="F58" s="177"/>
      <c r="G58" s="177"/>
      <c r="H58" s="177"/>
      <c r="I58" s="177"/>
      <c r="J58" s="177"/>
      <c r="K58" s="177"/>
      <c r="L58" s="177"/>
      <c r="M58" s="177"/>
      <c r="N58" s="177"/>
      <c r="O58" s="177"/>
      <c r="P58" s="177"/>
      <c r="Q58" s="177"/>
      <c r="R58" s="177"/>
      <c r="S58" s="177"/>
      <c r="T58" s="177"/>
      <c r="U58" s="177"/>
      <c r="V58" s="177"/>
      <c r="W58" s="177"/>
      <c r="X58" s="177"/>
      <c r="Y58" s="177"/>
      <c r="Z58" s="177"/>
      <c r="AA58" s="177"/>
      <c r="AB58" s="177"/>
      <c r="AC58" s="177"/>
      <c r="AD58" s="177"/>
    </row>
    <row r="59" spans="1:30" ht="15.65" customHeight="1" thickTop="1" thickBot="1" x14ac:dyDescent="0.4">
      <c r="A59" s="177"/>
      <c r="B59" s="177"/>
      <c r="C59" s="177"/>
      <c r="D59" s="177"/>
      <c r="E59" s="177"/>
      <c r="F59" s="177"/>
      <c r="G59" s="177"/>
      <c r="H59" s="177"/>
      <c r="I59" s="177"/>
      <c r="J59" s="177"/>
      <c r="K59" s="177"/>
      <c r="L59" s="177"/>
      <c r="M59" s="177"/>
      <c r="N59" s="177"/>
      <c r="O59" s="177"/>
      <c r="P59" s="177"/>
      <c r="Q59" s="177"/>
      <c r="R59" s="177"/>
      <c r="S59" s="177"/>
      <c r="T59" s="177"/>
      <c r="U59" s="177"/>
      <c r="V59" s="177"/>
      <c r="W59" s="177"/>
      <c r="X59" s="177"/>
      <c r="Y59" s="177"/>
      <c r="Z59" s="177"/>
      <c r="AA59" s="177"/>
      <c r="AB59" s="177"/>
      <c r="AC59" s="177"/>
      <c r="AD59" s="177"/>
    </row>
    <row r="60" spans="1:30" ht="15" thickTop="1" x14ac:dyDescent="0.35">
      <c r="A60" s="72" t="str">
        <f>'Baseline System Analysis'!A17</f>
        <v>Residential</v>
      </c>
      <c r="B60" s="72" t="str">
        <f>'Baseline System Analysis'!B17</f>
        <v>Cost of Reliability (N-1)</v>
      </c>
      <c r="C60" s="72" t="str">
        <f>'Baseline System Analysis'!C17</f>
        <v>$/kWh</v>
      </c>
      <c r="D60" s="4">
        <f>'Baseline System Analysis'!D17</f>
        <v>4.4933261328125003</v>
      </c>
      <c r="E60" s="4">
        <f>'Baseline System Analysis'!E17</f>
        <v>4.6056592861328127</v>
      </c>
      <c r="F60" s="4">
        <f>'Baseline System Analysis'!F17</f>
        <v>4.720800768286133</v>
      </c>
      <c r="G60" s="4">
        <f>'Baseline System Analysis'!G17</f>
        <v>4.8388207874932858</v>
      </c>
      <c r="H60" s="4">
        <f>'Baseline System Analysis'!H17</f>
        <v>4.9597913071806179</v>
      </c>
      <c r="I60" s="4">
        <f>'Baseline System Analysis'!I17</f>
        <v>5.0837860898601326</v>
      </c>
      <c r="J60" s="4">
        <f>'Baseline System Analysis'!J17</f>
        <v>5.2108807421066352</v>
      </c>
      <c r="K60" s="4">
        <f>'Baseline System Analysis'!K17</f>
        <v>5.341152760659301</v>
      </c>
      <c r="L60" s="4">
        <f>'Baseline System Analysis'!L17</f>
        <v>5.4746815796757833</v>
      </c>
      <c r="M60" s="4">
        <f>'Baseline System Analysis'!M17</f>
        <v>5.6115486191676771</v>
      </c>
      <c r="N60" s="4">
        <f>'Baseline System Analysis'!N17</f>
        <v>5.7518373346468685</v>
      </c>
      <c r="O60" s="4">
        <f>'Baseline System Analysis'!O17</f>
        <v>5.8956332680130394</v>
      </c>
      <c r="P60" s="4">
        <f>'Baseline System Analysis'!P17</f>
        <v>6.0430240997133646</v>
      </c>
      <c r="Q60" s="4">
        <f>'Baseline System Analysis'!Q17</f>
        <v>6.1940997022061985</v>
      </c>
      <c r="R60" s="4">
        <f>'Baseline System Analysis'!R17</f>
        <v>6.3489521947613525</v>
      </c>
      <c r="S60" s="4">
        <f>'Baseline System Analysis'!S17</f>
        <v>6.5076759996303855</v>
      </c>
      <c r="T60" s="4">
        <f>'Baseline System Analysis'!T17</f>
        <v>6.6703678996211444</v>
      </c>
      <c r="U60" s="4">
        <f>'Baseline System Analysis'!U17</f>
        <v>6.8371270971116722</v>
      </c>
      <c r="V60" s="4">
        <f>'Baseline System Analysis'!V17</f>
        <v>7.0080552745394638</v>
      </c>
      <c r="W60" s="4">
        <f>'Baseline System Analysis'!W17</f>
        <v>7.1832566564029499</v>
      </c>
      <c r="X60" s="4">
        <f>'Baseline System Analysis'!X17</f>
        <v>7.3628380728130232</v>
      </c>
      <c r="Y60" s="4">
        <f>'Baseline System Analysis'!Y17</f>
        <v>7.5469090246333481</v>
      </c>
      <c r="Z60" s="4">
        <f>'Baseline System Analysis'!Z17</f>
        <v>7.7355817502491808</v>
      </c>
      <c r="AA60" s="4">
        <f>'Baseline System Analysis'!AA17</f>
        <v>7.92897129400541</v>
      </c>
      <c r="AB60" s="4">
        <f>'Baseline System Analysis'!AB17</f>
        <v>8.127195576355545</v>
      </c>
      <c r="AC60" s="4">
        <f>'Baseline System Analysis'!AC17</f>
        <v>8.3303754657644333</v>
      </c>
      <c r="AD60" s="4">
        <f>'Baseline System Analysis'!AD17</f>
        <v>8.5386348524085438</v>
      </c>
    </row>
    <row r="61" spans="1:30" x14ac:dyDescent="0.35">
      <c r="A61" s="72" t="str">
        <f>'Baseline System Analysis'!A18</f>
        <v>Residential</v>
      </c>
      <c r="B61" s="72" t="str">
        <f>'Baseline System Analysis'!B18</f>
        <v>Cost of Reliability (N-0)</v>
      </c>
      <c r="C61" s="72" t="str">
        <f>'Baseline System Analysis'!C18</f>
        <v>$/kWh</v>
      </c>
      <c r="D61" s="4">
        <f>'Baseline System Analysis'!D18</f>
        <v>3.7920011132812497</v>
      </c>
      <c r="E61" s="4">
        <f>'Baseline System Analysis'!E18</f>
        <v>3.8868011411132808</v>
      </c>
      <c r="F61" s="4">
        <f>'Baseline System Analysis'!F18</f>
        <v>3.9839711696411126</v>
      </c>
      <c r="G61" s="4">
        <f>'Baseline System Analysis'!G18</f>
        <v>4.0835704488821403</v>
      </c>
      <c r="H61" s="4">
        <f>'Baseline System Analysis'!H18</f>
        <v>4.1856597101041935</v>
      </c>
      <c r="I61" s="4">
        <f>'Baseline System Analysis'!I18</f>
        <v>4.2903012028567975</v>
      </c>
      <c r="J61" s="4">
        <f>'Baseline System Analysis'!J18</f>
        <v>4.3975587329282169</v>
      </c>
      <c r="K61" s="4">
        <f>'Baseline System Analysis'!K18</f>
        <v>4.5074977012514221</v>
      </c>
      <c r="L61" s="4">
        <f>'Baseline System Analysis'!L18</f>
        <v>4.6201851437827068</v>
      </c>
      <c r="M61" s="4">
        <f>'Baseline System Analysis'!M18</f>
        <v>4.735689772377274</v>
      </c>
      <c r="N61" s="4">
        <f>'Baseline System Analysis'!N18</f>
        <v>4.8540820166867054</v>
      </c>
      <c r="O61" s="4">
        <f>'Baseline System Analysis'!O18</f>
        <v>4.9754340671038726</v>
      </c>
      <c r="P61" s="4">
        <f>'Baseline System Analysis'!P18</f>
        <v>5.0998199187814688</v>
      </c>
      <c r="Q61" s="4">
        <f>'Baseline System Analysis'!Q18</f>
        <v>5.2273154167510052</v>
      </c>
      <c r="R61" s="4">
        <f>'Baseline System Analysis'!R18</f>
        <v>5.3579983021697801</v>
      </c>
      <c r="S61" s="4">
        <f>'Baseline System Analysis'!S18</f>
        <v>5.4919482597240243</v>
      </c>
      <c r="T61" s="4">
        <f>'Baseline System Analysis'!T18</f>
        <v>5.6292469662171243</v>
      </c>
      <c r="U61" s="4">
        <f>'Baseline System Analysis'!U18</f>
        <v>5.7699781403725519</v>
      </c>
      <c r="V61" s="4">
        <f>'Baseline System Analysis'!V18</f>
        <v>5.9142275938818649</v>
      </c>
      <c r="W61" s="4">
        <f>'Baseline System Analysis'!W18</f>
        <v>6.0620832837289109</v>
      </c>
      <c r="X61" s="4">
        <f>'Baseline System Analysis'!X18</f>
        <v>6.2136353658221335</v>
      </c>
      <c r="Y61" s="4">
        <f>'Baseline System Analysis'!Y18</f>
        <v>6.3689762499676865</v>
      </c>
      <c r="Z61" s="4">
        <f>'Baseline System Analysis'!Z18</f>
        <v>6.5282006562168782</v>
      </c>
      <c r="AA61" s="4">
        <f>'Baseline System Analysis'!AA18</f>
        <v>6.6914056726222997</v>
      </c>
      <c r="AB61" s="4">
        <f>'Baseline System Analysis'!AB18</f>
        <v>6.8586908144378569</v>
      </c>
      <c r="AC61" s="4">
        <f>'Baseline System Analysis'!AC18</f>
        <v>7.0301580847988028</v>
      </c>
      <c r="AD61" s="4">
        <f>'Baseline System Analysis'!AD18</f>
        <v>7.2059120369187726</v>
      </c>
    </row>
    <row r="62" spans="1:30" x14ac:dyDescent="0.35">
      <c r="A62" s="72" t="str">
        <f>'Baseline System Analysis'!A19</f>
        <v>Commerical</v>
      </c>
      <c r="B62" s="72" t="str">
        <f>'Baseline System Analysis'!B19</f>
        <v>Cost of Reliability (N-1)</v>
      </c>
      <c r="C62" s="72" t="str">
        <f>'Baseline System Analysis'!C19</f>
        <v>$/kWh</v>
      </c>
      <c r="D62" s="4">
        <f>'Baseline System Analysis'!D19</f>
        <v>166.59767191406246</v>
      </c>
      <c r="E62" s="4">
        <f>'Baseline System Analysis'!E19</f>
        <v>170.76261371191401</v>
      </c>
      <c r="F62" s="4">
        <f>'Baseline System Analysis'!F19</f>
        <v>175.03167905471184</v>
      </c>
      <c r="G62" s="4">
        <f>'Baseline System Analysis'!G19</f>
        <v>179.40747103107964</v>
      </c>
      <c r="H62" s="4">
        <f>'Baseline System Analysis'!H19</f>
        <v>183.89265780685662</v>
      </c>
      <c r="I62" s="4">
        <f>'Baseline System Analysis'!I19</f>
        <v>188.48997425202802</v>
      </c>
      <c r="J62" s="4">
        <f>'Baseline System Analysis'!J19</f>
        <v>193.20222360832869</v>
      </c>
      <c r="K62" s="4">
        <f>'Baseline System Analysis'!K19</f>
        <v>198.03227919853688</v>
      </c>
      <c r="L62" s="4">
        <f>'Baseline System Analysis'!L19</f>
        <v>202.98308617850029</v>
      </c>
      <c r="M62" s="4">
        <f>'Baseline System Analysis'!M19</f>
        <v>208.05766333296279</v>
      </c>
      <c r="N62" s="4">
        <f>'Baseline System Analysis'!N19</f>
        <v>213.25910491628684</v>
      </c>
      <c r="O62" s="4">
        <f>'Baseline System Analysis'!O19</f>
        <v>218.590582539194</v>
      </c>
      <c r="P62" s="4">
        <f>'Baseline System Analysis'!P19</f>
        <v>224.05534710267384</v>
      </c>
      <c r="Q62" s="4">
        <f>'Baseline System Analysis'!Q19</f>
        <v>229.65673078024065</v>
      </c>
      <c r="R62" s="4">
        <f>'Baseline System Analysis'!R19</f>
        <v>235.39814904974665</v>
      </c>
      <c r="S62" s="4">
        <f>'Baseline System Analysis'!S19</f>
        <v>241.2831027759903</v>
      </c>
      <c r="T62" s="4">
        <f>'Baseline System Analysis'!T19</f>
        <v>247.31518034539005</v>
      </c>
      <c r="U62" s="4">
        <f>'Baseline System Analysis'!U19</f>
        <v>253.49805985402477</v>
      </c>
      <c r="V62" s="4">
        <f>'Baseline System Analysis'!V19</f>
        <v>259.83551135037538</v>
      </c>
      <c r="W62" s="4">
        <f>'Baseline System Analysis'!W19</f>
        <v>266.33139913413476</v>
      </c>
      <c r="X62" s="4">
        <f>'Baseline System Analysis'!X19</f>
        <v>272.98968411248808</v>
      </c>
      <c r="Y62" s="4">
        <f>'Baseline System Analysis'!Y19</f>
        <v>279.81442621530027</v>
      </c>
      <c r="Z62" s="4">
        <f>'Baseline System Analysis'!Z19</f>
        <v>286.80978687068273</v>
      </c>
      <c r="AA62" s="4">
        <f>'Baseline System Analysis'!AA19</f>
        <v>293.98003154244975</v>
      </c>
      <c r="AB62" s="4">
        <f>'Baseline System Analysis'!AB19</f>
        <v>301.32953233101097</v>
      </c>
      <c r="AC62" s="4">
        <f>'Baseline System Analysis'!AC19</f>
        <v>308.86277063928623</v>
      </c>
      <c r="AD62" s="4">
        <f>'Baseline System Analysis'!AD19</f>
        <v>316.58433990526834</v>
      </c>
    </row>
    <row r="63" spans="1:30" x14ac:dyDescent="0.35">
      <c r="A63" s="72" t="str">
        <f>'Baseline System Analysis'!A20</f>
        <v>Commerical</v>
      </c>
      <c r="B63" s="72" t="str">
        <f>'Baseline System Analysis'!B20</f>
        <v>Cost of Reliability (N-0)</v>
      </c>
      <c r="C63" s="72" t="str">
        <f>'Baseline System Analysis'!C20</f>
        <v>$/kWh</v>
      </c>
      <c r="D63" s="4">
        <f>'Baseline System Analysis'!D20</f>
        <v>153.83719106445315</v>
      </c>
      <c r="E63" s="4">
        <f>'Baseline System Analysis'!E20</f>
        <v>157.68312084106446</v>
      </c>
      <c r="F63" s="4">
        <f>'Baseline System Analysis'!F20</f>
        <v>161.62519886209105</v>
      </c>
      <c r="G63" s="4">
        <f>'Baseline System Analysis'!G20</f>
        <v>165.6658288336433</v>
      </c>
      <c r="H63" s="4">
        <f>'Baseline System Analysis'!H20</f>
        <v>169.80747455448437</v>
      </c>
      <c r="I63" s="4">
        <f>'Baseline System Analysis'!I20</f>
        <v>174.05266141834647</v>
      </c>
      <c r="J63" s="4">
        <f>'Baseline System Analysis'!J20</f>
        <v>178.40397795380511</v>
      </c>
      <c r="K63" s="4">
        <f>'Baseline System Analysis'!K20</f>
        <v>182.86407740265022</v>
      </c>
      <c r="L63" s="4">
        <f>'Baseline System Analysis'!L20</f>
        <v>187.43567933771646</v>
      </c>
      <c r="M63" s="4">
        <f>'Baseline System Analysis'!M20</f>
        <v>192.12157132115937</v>
      </c>
      <c r="N63" s="4">
        <f>'Baseline System Analysis'!N20</f>
        <v>196.92461060418833</v>
      </c>
      <c r="O63" s="4">
        <f>'Baseline System Analysis'!O20</f>
        <v>201.84772586929301</v>
      </c>
      <c r="P63" s="4">
        <f>'Baseline System Analysis'!P20</f>
        <v>206.89391901602534</v>
      </c>
      <c r="Q63" s="4">
        <f>'Baseline System Analysis'!Q20</f>
        <v>212.06626699142595</v>
      </c>
      <c r="R63" s="4">
        <f>'Baseline System Analysis'!R20</f>
        <v>217.36792366621157</v>
      </c>
      <c r="S63" s="4">
        <f>'Baseline System Analysis'!S20</f>
        <v>222.80212175786684</v>
      </c>
      <c r="T63" s="4">
        <f>'Baseline System Analysis'!T20</f>
        <v>228.37217480181349</v>
      </c>
      <c r="U63" s="4">
        <f>'Baseline System Analysis'!U20</f>
        <v>234.0814791718588</v>
      </c>
      <c r="V63" s="4">
        <f>'Baseline System Analysis'!V20</f>
        <v>239.93351615115526</v>
      </c>
      <c r="W63" s="4">
        <f>'Baseline System Analysis'!W20</f>
        <v>245.93185405493412</v>
      </c>
      <c r="X63" s="4">
        <f>'Baseline System Analysis'!X20</f>
        <v>252.08015040630744</v>
      </c>
      <c r="Y63" s="4">
        <f>'Baseline System Analysis'!Y20</f>
        <v>258.38215416646511</v>
      </c>
      <c r="Z63" s="4">
        <f>'Baseline System Analysis'!Z20</f>
        <v>264.8417080206267</v>
      </c>
      <c r="AA63" s="4">
        <f>'Baseline System Analysis'!AA20</f>
        <v>271.46275072114236</v>
      </c>
      <c r="AB63" s="4">
        <f>'Baseline System Analysis'!AB20</f>
        <v>278.24931948917089</v>
      </c>
      <c r="AC63" s="4">
        <f>'Baseline System Analysis'!AC20</f>
        <v>285.20555247640016</v>
      </c>
      <c r="AD63" s="4">
        <f>'Baseline System Analysis'!AD20</f>
        <v>292.33569128831016</v>
      </c>
    </row>
    <row r="65" spans="1:30" x14ac:dyDescent="0.35">
      <c r="A65" s="72" t="s">
        <v>117</v>
      </c>
      <c r="B65" s="72" t="s">
        <v>31</v>
      </c>
      <c r="C65" s="18">
        <f>NPV('Cost Assumptions'!$B$3,D65:AD65)</f>
        <v>355030.5479033211</v>
      </c>
      <c r="D65" s="53">
        <f>'Baseline System Analysis'!D24-D34</f>
        <v>1354.9655166582397</v>
      </c>
      <c r="E65" s="53">
        <f>'Baseline System Analysis'!E24-E34</f>
        <v>3468.8297365152371</v>
      </c>
      <c r="F65" s="53">
        <f>'Baseline System Analysis'!F24-F34</f>
        <v>5582.6939563722344</v>
      </c>
      <c r="G65" s="53">
        <f>'Baseline System Analysis'!G24-G34</f>
        <v>7696.5581762292313</v>
      </c>
      <c r="H65" s="53">
        <f>'Baseline System Analysis'!H24-H34</f>
        <v>9810.4223960862291</v>
      </c>
      <c r="I65" s="53">
        <f>'Baseline System Analysis'!I24-I34</f>
        <v>11924.286615943227</v>
      </c>
      <c r="J65" s="53">
        <f>'Baseline System Analysis'!J24-J34</f>
        <v>14038.150835800225</v>
      </c>
      <c r="K65" s="53">
        <f>'Baseline System Analysis'!K24-K34</f>
        <v>12087.145216369783</v>
      </c>
      <c r="L65" s="53">
        <f>'Baseline System Analysis'!L24-L34</f>
        <v>10461.587725478241</v>
      </c>
      <c r="M65" s="53">
        <f>'Baseline System Analysis'!M24-M34</f>
        <v>8610.5229271837234</v>
      </c>
      <c r="N65" s="53">
        <f>'Baseline System Analysis'!N24-N34</f>
        <v>12532.452943108336</v>
      </c>
      <c r="O65" s="53">
        <f>'Baseline System Analysis'!O24-O34</f>
        <v>19218.807474313555</v>
      </c>
      <c r="P65" s="53">
        <f>'Baseline System Analysis'!P24-P34</f>
        <v>25905.162005518774</v>
      </c>
      <c r="Q65" s="53">
        <f>'Baseline System Analysis'!Q24-Q34</f>
        <v>32591.516536723993</v>
      </c>
      <c r="R65" s="53">
        <f>'Baseline System Analysis'!R24-R34</f>
        <v>39277.871067929213</v>
      </c>
      <c r="S65" s="53">
        <f>'Baseline System Analysis'!S24-S34</f>
        <v>45964.225599134428</v>
      </c>
      <c r="T65" s="53">
        <f>'Baseline System Analysis'!T24-T34</f>
        <v>52650.580130339644</v>
      </c>
      <c r="U65" s="53">
        <f>'Baseline System Analysis'!U24-U34</f>
        <v>81297.38310850531</v>
      </c>
      <c r="V65" s="53">
        <f>'Baseline System Analysis'!V24-V34</f>
        <v>109944.18608667096</v>
      </c>
      <c r="W65" s="53">
        <f>'Baseline System Analysis'!W24-W34</f>
        <v>138590.98906483661</v>
      </c>
      <c r="X65" s="53">
        <f>'Baseline System Analysis'!X24-X34</f>
        <v>167237.79204300226</v>
      </c>
      <c r="Y65" s="53">
        <f>'Baseline System Analysis'!Y24-Y34</f>
        <v>195884.59502116792</v>
      </c>
      <c r="Z65" s="53">
        <f>'Baseline System Analysis'!Z24-Z34</f>
        <v>242156.07270348849</v>
      </c>
      <c r="AA65" s="53">
        <f>'Baseline System Analysis'!AA24-AA34</f>
        <v>288427.55038580904</v>
      </c>
      <c r="AB65" s="53">
        <f>'Baseline System Analysis'!AB24-AB34</f>
        <v>334699.02806812961</v>
      </c>
      <c r="AC65" s="53">
        <f>'Baseline System Analysis'!AC24-AC34</f>
        <v>380970.50575045019</v>
      </c>
      <c r="AD65" s="53">
        <f>'Baseline System Analysis'!AD24-AD34</f>
        <v>427241.98343277076</v>
      </c>
    </row>
    <row r="66" spans="1:30" x14ac:dyDescent="0.35">
      <c r="A66" s="72" t="s">
        <v>119</v>
      </c>
      <c r="B66" s="72" t="s">
        <v>31</v>
      </c>
      <c r="C66" s="18">
        <f>NPV('Cost Assumptions'!$B$3,D66:AD66)</f>
        <v>1473194.2273670784</v>
      </c>
      <c r="D66" s="53">
        <f>'Baseline System Analysis'!D25-D35</f>
        <v>5622.4102100812415</v>
      </c>
      <c r="E66" s="53">
        <f>'Baseline System Analysis'!E25-E35</f>
        <v>14393.85983468976</v>
      </c>
      <c r="F66" s="53">
        <f>'Baseline System Analysis'!F25-F35</f>
        <v>23165.309459298278</v>
      </c>
      <c r="G66" s="53">
        <f>'Baseline System Analysis'!G25-G35</f>
        <v>31936.759083906796</v>
      </c>
      <c r="H66" s="53">
        <f>'Baseline System Analysis'!H25-H35</f>
        <v>40708.208708515318</v>
      </c>
      <c r="I66" s="53">
        <f>'Baseline System Analysis'!I25-I35</f>
        <v>49479.658333123836</v>
      </c>
      <c r="J66" s="53">
        <f>'Baseline System Analysis'!J25-J35</f>
        <v>58251.107957732347</v>
      </c>
      <c r="K66" s="53">
        <f>'Baseline System Analysis'!K25-K35</f>
        <v>50155.437787715477</v>
      </c>
      <c r="L66" s="53">
        <f>'Baseline System Analysis'!L25-L35</f>
        <v>43410.210015127152</v>
      </c>
      <c r="M66" s="53">
        <f>'Baseline System Analysis'!M25-M35</f>
        <v>35729.242866146844</v>
      </c>
      <c r="N66" s="53">
        <f>'Baseline System Analysis'!N25-N35</f>
        <v>52003.235889336414</v>
      </c>
      <c r="O66" s="53">
        <f>'Baseline System Analysis'!O25-O35</f>
        <v>79748.169263868404</v>
      </c>
      <c r="P66" s="53">
        <f>'Baseline System Analysis'!P25-P35</f>
        <v>107493.10263840039</v>
      </c>
      <c r="Q66" s="53">
        <f>'Baseline System Analysis'!Q25-Q35</f>
        <v>135238.03601293237</v>
      </c>
      <c r="R66" s="53">
        <f>'Baseline System Analysis'!R25-R35</f>
        <v>162982.96938746434</v>
      </c>
      <c r="S66" s="53">
        <f>'Baseline System Analysis'!S25-S35</f>
        <v>190727.90276199632</v>
      </c>
      <c r="T66" s="53">
        <f>'Baseline System Analysis'!T25-T35</f>
        <v>218472.83613652832</v>
      </c>
      <c r="U66" s="53">
        <f>'Baseline System Analysis'!U25-U35</f>
        <v>337342.33913897944</v>
      </c>
      <c r="V66" s="53">
        <f>'Baseline System Analysis'!V25-V35</f>
        <v>456211.84214143053</v>
      </c>
      <c r="W66" s="53">
        <f>'Baseline System Analysis'!W25-W35</f>
        <v>575081.34514388163</v>
      </c>
      <c r="X66" s="53">
        <f>'Baseline System Analysis'!X25-X35</f>
        <v>693950.84814633278</v>
      </c>
      <c r="Y66" s="53">
        <f>'Baseline System Analysis'!Y25-Y35</f>
        <v>812820.35114878381</v>
      </c>
      <c r="Z66" s="53">
        <f>'Baseline System Analysis'!Z25-Z35</f>
        <v>1004823.1920758745</v>
      </c>
      <c r="AA66" s="53">
        <f>'Baseline System Analysis'!AA25-AA35</f>
        <v>1196826.0330029654</v>
      </c>
      <c r="AB66" s="53">
        <f>'Baseline System Analysis'!AB25-AB35</f>
        <v>1388828.8739300561</v>
      </c>
      <c r="AC66" s="53">
        <f>'Baseline System Analysis'!AC25-AC35</f>
        <v>1580831.7148571468</v>
      </c>
      <c r="AD66" s="53">
        <f>'Baseline System Analysis'!AD25-AD35</f>
        <v>1772834.5557842376</v>
      </c>
    </row>
    <row r="67" spans="1:30" x14ac:dyDescent="0.35">
      <c r="A67" s="72" t="s">
        <v>24</v>
      </c>
      <c r="B67" s="72" t="s">
        <v>31</v>
      </c>
      <c r="C67" s="18">
        <f>NPV('Cost Assumptions'!$B$3,D67:AD67)</f>
        <v>1828224.7752703994</v>
      </c>
      <c r="D67" s="53">
        <f>SUM(D65:D66)</f>
        <v>6977.3757267394813</v>
      </c>
      <c r="E67" s="53">
        <f t="shared" ref="E67:AD67" si="16">SUM(E65:E66)</f>
        <v>17862.689571204995</v>
      </c>
      <c r="F67" s="53">
        <f t="shared" si="16"/>
        <v>28748.003415670511</v>
      </c>
      <c r="G67" s="53">
        <f t="shared" si="16"/>
        <v>39633.317260136027</v>
      </c>
      <c r="H67" s="53">
        <f t="shared" si="16"/>
        <v>50518.631104601547</v>
      </c>
      <c r="I67" s="53">
        <f t="shared" si="16"/>
        <v>61403.944949067067</v>
      </c>
      <c r="J67" s="53">
        <f t="shared" si="16"/>
        <v>72289.258793532572</v>
      </c>
      <c r="K67" s="53">
        <f t="shared" si="16"/>
        <v>62242.58300408526</v>
      </c>
      <c r="L67" s="53">
        <f t="shared" si="16"/>
        <v>53871.797740605391</v>
      </c>
      <c r="M67" s="53">
        <f t="shared" si="16"/>
        <v>44339.765793330567</v>
      </c>
      <c r="N67" s="53">
        <f t="shared" si="16"/>
        <v>64535.68883244475</v>
      </c>
      <c r="O67" s="53">
        <f t="shared" si="16"/>
        <v>98966.976738181955</v>
      </c>
      <c r="P67" s="53">
        <f t="shared" si="16"/>
        <v>133398.26464391916</v>
      </c>
      <c r="Q67" s="53">
        <f t="shared" si="16"/>
        <v>167829.55254965636</v>
      </c>
      <c r="R67" s="53">
        <f t="shared" si="16"/>
        <v>202260.84045539354</v>
      </c>
      <c r="S67" s="53">
        <f t="shared" si="16"/>
        <v>236692.12836113074</v>
      </c>
      <c r="T67" s="53">
        <f t="shared" si="16"/>
        <v>271123.41626686795</v>
      </c>
      <c r="U67" s="53">
        <f t="shared" si="16"/>
        <v>418639.72224748472</v>
      </c>
      <c r="V67" s="53">
        <f t="shared" si="16"/>
        <v>566156.02822810155</v>
      </c>
      <c r="W67" s="53">
        <f t="shared" si="16"/>
        <v>713672.33420871827</v>
      </c>
      <c r="X67" s="53">
        <f t="shared" si="16"/>
        <v>861188.64018933498</v>
      </c>
      <c r="Y67" s="53">
        <f t="shared" si="16"/>
        <v>1008704.9461699517</v>
      </c>
      <c r="Z67" s="53">
        <f t="shared" si="16"/>
        <v>1246979.2647793631</v>
      </c>
      <c r="AA67" s="53">
        <f t="shared" si="16"/>
        <v>1485253.5833887744</v>
      </c>
      <c r="AB67" s="53">
        <f t="shared" si="16"/>
        <v>1723527.9019981858</v>
      </c>
      <c r="AC67" s="53">
        <f t="shared" si="16"/>
        <v>1961802.2206075969</v>
      </c>
      <c r="AD67" s="53">
        <f t="shared" si="16"/>
        <v>2200076.5392170083</v>
      </c>
    </row>
    <row r="68" spans="1:30" x14ac:dyDescent="0.35">
      <c r="A68" s="72"/>
      <c r="B68" s="72"/>
      <c r="C68" s="45"/>
      <c r="D68" s="53"/>
      <c r="E68" s="53"/>
      <c r="F68" s="53"/>
      <c r="G68" s="53"/>
      <c r="H68" s="53"/>
      <c r="I68" s="53"/>
      <c r="J68" s="53"/>
      <c r="K68" s="53"/>
      <c r="L68" s="53"/>
      <c r="M68" s="53"/>
      <c r="N68" s="53"/>
      <c r="O68" s="53"/>
      <c r="P68" s="53"/>
      <c r="Q68" s="53"/>
      <c r="R68" s="53"/>
      <c r="S68" s="53"/>
      <c r="T68" s="53"/>
      <c r="U68" s="53"/>
      <c r="V68" s="53"/>
      <c r="W68" s="53"/>
      <c r="X68" s="53"/>
      <c r="Y68" s="53"/>
      <c r="Z68" s="53"/>
      <c r="AA68" s="53"/>
      <c r="AB68" s="53"/>
      <c r="AC68" s="53"/>
      <c r="AD68" s="53"/>
    </row>
    <row r="69" spans="1:30" x14ac:dyDescent="0.35">
      <c r="A69" s="72" t="s">
        <v>120</v>
      </c>
      <c r="B69" s="72" t="s">
        <v>31</v>
      </c>
      <c r="C69" s="18">
        <f>NPV('Cost Assumptions'!$B$3,D69:AD69)</f>
        <v>24319550.560312912</v>
      </c>
      <c r="D69" s="53">
        <f>'Baseline System Analysis'!D28-D32</f>
        <v>160311.2620318876</v>
      </c>
      <c r="E69" s="53">
        <f>'Baseline System Analysis'!E28-E32</f>
        <v>426681.41358302307</v>
      </c>
      <c r="F69" s="53">
        <f>'Baseline System Analysis'!F28-F32</f>
        <v>622797.58403751405</v>
      </c>
      <c r="G69" s="53">
        <f>'Baseline System Analysis'!G28-G32</f>
        <v>833710.68965832237</v>
      </c>
      <c r="H69" s="53">
        <f>'Baseline System Analysis'!H28-H32</f>
        <v>1064544.9637495263</v>
      </c>
      <c r="I69" s="53">
        <f>'Baseline System Analysis'!I28-I32</f>
        <v>1155248.1483230039</v>
      </c>
      <c r="J69" s="53">
        <f>'Baseline System Analysis'!J28-J32</f>
        <v>1567795.6535710837</v>
      </c>
      <c r="K69" s="53">
        <f>'Baseline System Analysis'!K28-K32</f>
        <v>1347745.4554885479</v>
      </c>
      <c r="L69" s="53">
        <f>'Baseline System Analysis'!L28-L32</f>
        <v>1143199.8672408643</v>
      </c>
      <c r="M69" s="53">
        <f>'Baseline System Analysis'!M28-M32</f>
        <v>1340230.0479167867</v>
      </c>
      <c r="N69" s="53">
        <f>'Baseline System Analysis'!N28-N32</f>
        <v>1211871.2277846751</v>
      </c>
      <c r="O69" s="53">
        <f>'Baseline System Analysis'!O28-O32</f>
        <v>1844840.0090543826</v>
      </c>
      <c r="P69" s="53">
        <f>'Baseline System Analysis'!P28-P32</f>
        <v>2356895.0256503327</v>
      </c>
      <c r="Q69" s="53">
        <f>'Baseline System Analysis'!Q28-Q32</f>
        <v>2752240.7792296447</v>
      </c>
      <c r="R69" s="53">
        <f>'Baseline System Analysis'!R28-R32</f>
        <v>3112959.3920374792</v>
      </c>
      <c r="S69" s="53">
        <f>'Baseline System Analysis'!S28-S32</f>
        <v>3866030.048087935</v>
      </c>
      <c r="T69" s="53">
        <f>'Baseline System Analysis'!T28-T32</f>
        <v>4800043.3764840001</v>
      </c>
      <c r="U69" s="53">
        <f>'Baseline System Analysis'!U28-U32</f>
        <v>5605356.4974824116</v>
      </c>
      <c r="V69" s="53">
        <f>'Baseline System Analysis'!V28-V32</f>
        <v>6874181.4866932966</v>
      </c>
      <c r="W69" s="53">
        <f>'Baseline System Analysis'!W28-W32</f>
        <v>7999576.6636784412</v>
      </c>
      <c r="X69" s="53">
        <f>'Baseline System Analysis'!X28-X32</f>
        <v>9754283.3840660583</v>
      </c>
      <c r="Y69" s="53">
        <f>'Baseline System Analysis'!Y28-Y32</f>
        <v>11535617.976796627</v>
      </c>
      <c r="Z69" s="53">
        <f>'Baseline System Analysis'!Z28-Z32</f>
        <v>13419029.134060645</v>
      </c>
      <c r="AA69" s="53">
        <f>'Baseline System Analysis'!AA28-AA32</f>
        <v>15550241.498579893</v>
      </c>
      <c r="AB69" s="53">
        <f>'Baseline System Analysis'!AB28-AB32</f>
        <v>17751814.256896835</v>
      </c>
      <c r="AC69" s="53">
        <f>'Baseline System Analysis'!AC28-AC32</f>
        <v>19753092.153455924</v>
      </c>
      <c r="AD69" s="53">
        <f>'Baseline System Analysis'!AD28-AD32</f>
        <v>21631755.934633426</v>
      </c>
    </row>
    <row r="70" spans="1:30" x14ac:dyDescent="0.35">
      <c r="A70" s="72" t="s">
        <v>121</v>
      </c>
      <c r="B70" s="72" t="s">
        <v>31</v>
      </c>
      <c r="C70" s="18">
        <f>NPV('Cost Assumptions'!$B$3,D70:AD70)</f>
        <v>111597552.24971694</v>
      </c>
      <c r="D70" s="53">
        <f>'Baseline System Analysis'!D29-D33</f>
        <v>903346.68264248176</v>
      </c>
      <c r="E70" s="53">
        <f>'Baseline System Analysis'!E29-E33</f>
        <v>2253380.2014470203</v>
      </c>
      <c r="F70" s="53">
        <f>'Baseline System Analysis'!F29-F33</f>
        <v>3310518.2522157584</v>
      </c>
      <c r="G70" s="53">
        <f>'Baseline System Analysis'!G29-G33</f>
        <v>4447479.3478986584</v>
      </c>
      <c r="H70" s="53">
        <f>'Baseline System Analysis'!H29-H33</f>
        <v>5587189.795765399</v>
      </c>
      <c r="I70" s="53">
        <f>'Baseline System Analysis'!I29-I33</f>
        <v>5454549.1605001325</v>
      </c>
      <c r="J70" s="53">
        <f>'Baseline System Analysis'!J29-J33</f>
        <v>7543147.8061243081</v>
      </c>
      <c r="K70" s="53">
        <f>'Baseline System Analysis'!K29-K33</f>
        <v>6412592.364404032</v>
      </c>
      <c r="L70" s="53">
        <f>'Baseline System Analysis'!L29-L33</f>
        <v>5385232.8797742622</v>
      </c>
      <c r="M70" s="53">
        <f>'Baseline System Analysis'!M29-M33</f>
        <v>6340117.1212563487</v>
      </c>
      <c r="N70" s="53">
        <f>'Baseline System Analysis'!N29-N33</f>
        <v>6361112.9189538537</v>
      </c>
      <c r="O70" s="53">
        <f>'Baseline System Analysis'!O29-O33</f>
        <v>8895771.1264487375</v>
      </c>
      <c r="P70" s="53">
        <f>'Baseline System Analysis'!P29-P33</f>
        <v>11481103.835917845</v>
      </c>
      <c r="Q70" s="53">
        <f>'Baseline System Analysis'!Q29-Q33</f>
        <v>12843987.910857875</v>
      </c>
      <c r="R70" s="53">
        <f>'Baseline System Analysis'!R29-R33</f>
        <v>13698596.18827603</v>
      </c>
      <c r="S70" s="53">
        <f>'Baseline System Analysis'!S29-S33</f>
        <v>17199347.660875205</v>
      </c>
      <c r="T70" s="53">
        <f>'Baseline System Analysis'!T29-T33</f>
        <v>21372792.810114369</v>
      </c>
      <c r="U70" s="53">
        <f>'Baseline System Analysis'!U29-U33</f>
        <v>24257449.061312743</v>
      </c>
      <c r="V70" s="53">
        <f>'Baseline System Analysis'!V29-V33</f>
        <v>29703520.689742472</v>
      </c>
      <c r="W70" s="53">
        <f>'Baseline System Analysis'!W29-W33</f>
        <v>34774447.076135397</v>
      </c>
      <c r="X70" s="53">
        <f>'Baseline System Analysis'!X29-X33</f>
        <v>42273498.74532187</v>
      </c>
      <c r="Y70" s="53">
        <f>'Baseline System Analysis'!Y29-Y33</f>
        <v>50410415.488010727</v>
      </c>
      <c r="Z70" s="53">
        <f>'Baseline System Analysis'!Z29-Z33</f>
        <v>59093268.855131164</v>
      </c>
      <c r="AA70" s="53">
        <f>'Baseline System Analysis'!AA29-AA33</f>
        <v>69213486.158677086</v>
      </c>
      <c r="AB70" s="53">
        <f>'Baseline System Analysis'!AB29-AB33</f>
        <v>79553492.093079031</v>
      </c>
      <c r="AC70" s="53">
        <f>'Baseline System Analysis'!AC29-AC33</f>
        <v>89158920.062468082</v>
      </c>
      <c r="AD70" s="53">
        <f>'Baseline System Analysis'!AD29-AD33</f>
        <v>98114570.117517889</v>
      </c>
    </row>
    <row r="71" spans="1:30" x14ac:dyDescent="0.35">
      <c r="A71" s="72" t="s">
        <v>24</v>
      </c>
      <c r="B71" s="72" t="s">
        <v>31</v>
      </c>
      <c r="C71" s="18">
        <f>NPV('Cost Assumptions'!$B$3,D71:AD71)</f>
        <v>135917102.81002986</v>
      </c>
      <c r="D71" s="53">
        <f>SUM(D69:D70)</f>
        <v>1063657.9446743694</v>
      </c>
      <c r="E71" s="53">
        <f t="shared" ref="E71:AD71" si="17">SUM(E69:E70)</f>
        <v>2680061.6150300433</v>
      </c>
      <c r="F71" s="53">
        <f t="shared" si="17"/>
        <v>3933315.8362532724</v>
      </c>
      <c r="G71" s="53">
        <f t="shared" si="17"/>
        <v>5281190.0375569807</v>
      </c>
      <c r="H71" s="53">
        <f t="shared" si="17"/>
        <v>6651734.7595149251</v>
      </c>
      <c r="I71" s="53">
        <f t="shared" si="17"/>
        <v>6609797.3088231366</v>
      </c>
      <c r="J71" s="53">
        <f t="shared" si="17"/>
        <v>9110943.4596953914</v>
      </c>
      <c r="K71" s="53">
        <f t="shared" si="17"/>
        <v>7760337.8198925797</v>
      </c>
      <c r="L71" s="53">
        <f t="shared" si="17"/>
        <v>6528432.747015126</v>
      </c>
      <c r="M71" s="53">
        <f t="shared" si="17"/>
        <v>7680347.1691731354</v>
      </c>
      <c r="N71" s="53">
        <f t="shared" si="17"/>
        <v>7572984.1467385292</v>
      </c>
      <c r="O71" s="53">
        <f t="shared" si="17"/>
        <v>10740611.135503121</v>
      </c>
      <c r="P71" s="53">
        <f t="shared" si="17"/>
        <v>13837998.861568179</v>
      </c>
      <c r="Q71" s="53">
        <f t="shared" si="17"/>
        <v>15596228.69008752</v>
      </c>
      <c r="R71" s="53">
        <f t="shared" si="17"/>
        <v>16811555.580313511</v>
      </c>
      <c r="S71" s="53">
        <f t="shared" si="17"/>
        <v>21065377.708963141</v>
      </c>
      <c r="T71" s="53">
        <f t="shared" si="17"/>
        <v>26172836.186598368</v>
      </c>
      <c r="U71" s="53">
        <f t="shared" si="17"/>
        <v>29862805.558795154</v>
      </c>
      <c r="V71" s="53">
        <f t="shared" si="17"/>
        <v>36577702.176435769</v>
      </c>
      <c r="W71" s="53">
        <f t="shared" si="17"/>
        <v>42774023.739813834</v>
      </c>
      <c r="X71" s="53">
        <f t="shared" si="17"/>
        <v>52027782.12938793</v>
      </c>
      <c r="Y71" s="53">
        <f t="shared" si="17"/>
        <v>61946033.464807354</v>
      </c>
      <c r="Z71" s="53">
        <f t="shared" si="17"/>
        <v>72512297.989191815</v>
      </c>
      <c r="AA71" s="53">
        <f t="shared" si="17"/>
        <v>84763727.657256976</v>
      </c>
      <c r="AB71" s="53">
        <f t="shared" si="17"/>
        <v>97305306.349975869</v>
      </c>
      <c r="AC71" s="53">
        <f t="shared" si="17"/>
        <v>108912012.21592401</v>
      </c>
      <c r="AD71" s="53">
        <f t="shared" si="17"/>
        <v>119746326.05215132</v>
      </c>
    </row>
    <row r="72" spans="1:30" x14ac:dyDescent="0.35">
      <c r="A72" s="72"/>
      <c r="B72" s="72"/>
      <c r="C72" s="45"/>
      <c r="D72" s="53"/>
      <c r="E72" s="53"/>
      <c r="F72" s="53"/>
      <c r="G72" s="53"/>
      <c r="H72" s="53"/>
      <c r="I72" s="53"/>
      <c r="J72" s="53"/>
      <c r="K72" s="53"/>
      <c r="L72" s="53"/>
      <c r="M72" s="53"/>
      <c r="N72" s="53"/>
      <c r="O72" s="53"/>
      <c r="P72" s="53"/>
      <c r="Q72" s="53"/>
      <c r="R72" s="53"/>
      <c r="S72" s="53"/>
      <c r="T72" s="53"/>
      <c r="U72" s="53"/>
      <c r="V72" s="53"/>
      <c r="W72" s="53"/>
      <c r="X72" s="53"/>
      <c r="Y72" s="53"/>
      <c r="Z72" s="53"/>
      <c r="AA72" s="53"/>
      <c r="AB72" s="53"/>
      <c r="AC72" s="53"/>
      <c r="AD72" s="53"/>
    </row>
    <row r="73" spans="1:30" x14ac:dyDescent="0.35">
      <c r="A73" s="72" t="s">
        <v>117</v>
      </c>
      <c r="B73" s="72" t="s">
        <v>144</v>
      </c>
      <c r="C73" s="18">
        <f>NPV('Cost Assumptions'!$B$3,D73:AD73)</f>
        <v>312063183.3266595</v>
      </c>
      <c r="D73" s="53">
        <f>ABS((D49*D60*1000*'Cost Assumptions'!$B$6)/'Cost Assumptions'!$B$14)</f>
        <v>15227769.332799079</v>
      </c>
      <c r="E73" s="53">
        <f>ABS((E49*E60*1000*'Cost Assumptions'!$B$6)/'Cost Assumptions'!$B$14)</f>
        <v>18091342.002631973</v>
      </c>
      <c r="F73" s="53">
        <f>ABS((F49*F60*1000*'Cost Assumptions'!$B$6)/'Cost Assumptions'!$B$14)</f>
        <v>21088575.950123515</v>
      </c>
      <c r="G73" s="53">
        <f>ABS((G49*G60*1000*'Cost Assumptions'!$B$6)/'Cost Assumptions'!$B$14)</f>
        <v>24224364.50623798</v>
      </c>
      <c r="H73" s="53">
        <f>ABS((H49*H60*1000*'Cost Assumptions'!$B$6)/'Cost Assumptions'!$B$14)</f>
        <v>27503762.130189344</v>
      </c>
      <c r="I73" s="53">
        <f>ABS((I49*I60*1000*'Cost Assumptions'!$B$6)/'Cost Assumptions'!$B$14)</f>
        <v>30931989.407521874</v>
      </c>
      <c r="J73" s="53">
        <f>ABS((J49*J60*1000*'Cost Assumptions'!$B$6)/'Cost Assumptions'!$B$14)</f>
        <v>34514438.19738967</v>
      </c>
      <c r="K73" s="53">
        <f>ABS((K49*K60*1000*'Cost Assumptions'!$B$6)/'Cost Assumptions'!$B$14)</f>
        <v>34450611.108742714</v>
      </c>
      <c r="L73" s="53">
        <f>ABS((L49*L60*1000*'Cost Assumptions'!$B$6)/'Cost Assumptions'!$B$14)</f>
        <v>34362021.14179004</v>
      </c>
      <c r="M73" s="53">
        <f>ABS((M49*M60*1000*'Cost Assumptions'!$B$6)/'Cost Assumptions'!$B$14)</f>
        <v>29713560.158101771</v>
      </c>
      <c r="N73" s="53">
        <f>ABS((N49*N60*1000*'Cost Assumptions'!$B$6)/'Cost Assumptions'!$B$14)</f>
        <v>34053541.751008093</v>
      </c>
      <c r="O73" s="53">
        <f>ABS((O49*O60*1000*'Cost Assumptions'!$B$6)/'Cost Assumptions'!$B$14)</f>
        <v>39167536.831001334</v>
      </c>
      <c r="P73" s="53">
        <f>ABS((P49*P60*1000*'Cost Assumptions'!$B$6)/'Cost Assumptions'!$B$14)</f>
        <v>41258306.790347323</v>
      </c>
      <c r="Q73" s="53">
        <f>ABS((Q49*Q60*1000*'Cost Assumptions'!$B$6)/'Cost Assumptions'!$B$14)</f>
        <v>43429135.537141249</v>
      </c>
      <c r="R73" s="53">
        <f>ABS((R49*R60*1000*'Cost Assumptions'!$B$6)/'Cost Assumptions'!$B$14)</f>
        <v>45682719.27953089</v>
      </c>
      <c r="S73" s="53">
        <f>ABS((S49*S60*1000*'Cost Assumptions'!$B$6)/'Cost Assumptions'!$B$14)</f>
        <v>48021838.999329306</v>
      </c>
      <c r="T73" s="53">
        <f>ABS((T49*T60*1000*'Cost Assumptions'!$B$6)/'Cost Assumptions'!$B$14)</f>
        <v>50449363.005567923</v>
      </c>
      <c r="U73" s="53">
        <f>ABS((U49*U60*1000*'Cost Assumptions'!$B$6)/'Cost Assumptions'!$B$14)</f>
        <v>52968249.56274391</v>
      </c>
      <c r="V73" s="53">
        <f>ABS((V49*V60*1000*'Cost Assumptions'!$B$6)/'Cost Assumptions'!$B$14)</f>
        <v>55581549.595900208</v>
      </c>
      <c r="W73" s="53">
        <f>ABS((W49*W60*1000*'Cost Assumptions'!$B$6)/'Cost Assumptions'!$B$14)</f>
        <v>58292409.474737592</v>
      </c>
      <c r="X73" s="53">
        <f>ABS((X49*X60*1000*'Cost Assumptions'!$B$6)/'Cost Assumptions'!$B$14)</f>
        <v>61104073.879019432</v>
      </c>
      <c r="Y73" s="53">
        <f>ABS((Y49*Y60*1000*'Cost Assumptions'!$B$6)/'Cost Assumptions'!$B$14)</f>
        <v>64019888.747593619</v>
      </c>
      <c r="Z73" s="53">
        <f>ABS((Z49*Z60*1000*'Cost Assumptions'!$B$6)/'Cost Assumptions'!$B$14)</f>
        <v>67043304.313422158</v>
      </c>
      <c r="AA73" s="53">
        <f>ABS((AA49*AA60*1000*'Cost Assumptions'!$B$6)/'Cost Assumptions'!$B$14)</f>
        <v>70177878.227074862</v>
      </c>
      <c r="AB73" s="53">
        <f>ABS((AB49*AB60*1000*'Cost Assumptions'!$B$6)/'Cost Assumptions'!$B$14)</f>
        <v>73427278.771214306</v>
      </c>
      <c r="AC73" s="53">
        <f>ABS((AC49*AC60*1000*'Cost Assumptions'!$B$6)/'Cost Assumptions'!$B$14)</f>
        <v>76795288.168668821</v>
      </c>
      <c r="AD73" s="53">
        <f>ABS((AD49*AD60*1000*'Cost Assumptions'!$B$6)/'Cost Assumptions'!$B$14)</f>
        <v>80285805.986763984</v>
      </c>
    </row>
    <row r="74" spans="1:30" x14ac:dyDescent="0.35">
      <c r="A74" s="72" t="s">
        <v>119</v>
      </c>
      <c r="B74" s="72" t="s">
        <v>144</v>
      </c>
      <c r="C74" s="18">
        <f>NPV('Cost Assumptions'!$B$3,D74:AD74)</f>
        <v>1285585636.6045544</v>
      </c>
      <c r="D74" s="53">
        <f>ABS((D49*D62*1000*'Cost Assumptions'!$B$7)/'Cost Assumptions'!$B$14)</f>
        <v>62732813.666396342</v>
      </c>
      <c r="E74" s="53">
        <f>ABS((E49*E62*1000*'Cost Assumptions'!$B$7)/'Cost Assumptions'!$B$14)</f>
        <v>74529680.744615436</v>
      </c>
      <c r="F74" s="53">
        <f>ABS((F49*F62*1000*'Cost Assumptions'!$B$7)/'Cost Assumptions'!$B$14)</f>
        <v>86877183.168203995</v>
      </c>
      <c r="G74" s="53">
        <f>ABS((G49*G62*1000*'Cost Assumptions'!$B$7)/'Cost Assumptions'!$B$14)</f>
        <v>99795479.662506595</v>
      </c>
      <c r="H74" s="53">
        <f>ABS((H49*H62*1000*'Cost Assumptions'!$B$7)/'Cost Assumptions'!$B$14)</f>
        <v>113305392.74204421</v>
      </c>
      <c r="I74" s="53">
        <f>ABS((I49*I62*1000*'Cost Assumptions'!$B$7)/'Cost Assumptions'!$B$14)</f>
        <v>127428429.30076961</v>
      </c>
      <c r="J74" s="53">
        <f>ABS((J49*J62*1000*'Cost Assumptions'!$B$7)/'Cost Assumptions'!$B$14)</f>
        <v>142186801.81696752</v>
      </c>
      <c r="K74" s="53">
        <f>ABS((K49*K62*1000*'Cost Assumptions'!$B$7)/'Cost Assumptions'!$B$14)</f>
        <v>141923857.6672729</v>
      </c>
      <c r="L74" s="53">
        <f>ABS((L49*L62*1000*'Cost Assumptions'!$B$7)/'Cost Assumptions'!$B$14)</f>
        <v>141558899.55895796</v>
      </c>
      <c r="M74" s="53">
        <f>ABS((M49*M62*1000*'Cost Assumptions'!$B$7)/'Cost Assumptions'!$B$14)</f>
        <v>122408948.54826538</v>
      </c>
      <c r="N74" s="53">
        <f>ABS((N49*N62*1000*'Cost Assumptions'!$B$7)/'Cost Assumptions'!$B$14)</f>
        <v>140288077.83064577</v>
      </c>
      <c r="O74" s="53">
        <f>ABS((O49*O62*1000*'Cost Assumptions'!$B$7)/'Cost Assumptions'!$B$14)</f>
        <v>161355858.24107531</v>
      </c>
      <c r="P74" s="53">
        <f>ABS((P49*P62*1000*'Cost Assumptions'!$B$7)/'Cost Assumptions'!$B$14)</f>
        <v>169969062.1458945</v>
      </c>
      <c r="Q74" s="53">
        <f>ABS((Q49*Q62*1000*'Cost Assumptions'!$B$7)/'Cost Assumptions'!$B$14)</f>
        <v>178912078.83455402</v>
      </c>
      <c r="R74" s="53">
        <f>ABS((R49*R62*1000*'Cost Assumptions'!$B$7)/'Cost Assumptions'!$B$14)</f>
        <v>188196015.69380531</v>
      </c>
      <c r="S74" s="53">
        <f>ABS((S49*S62*1000*'Cost Assumptions'!$B$7)/'Cost Assumptions'!$B$14)</f>
        <v>197832329.34674761</v>
      </c>
      <c r="T74" s="53">
        <f>ABS((T49*T62*1000*'Cost Assumptions'!$B$7)/'Cost Assumptions'!$B$14)</f>
        <v>207832836.17252833</v>
      </c>
      <c r="U74" s="53">
        <f>ABS((U49*U62*1000*'Cost Assumptions'!$B$7)/'Cost Assumptions'!$B$14)</f>
        <v>218209723.1337564</v>
      </c>
      <c r="V74" s="53">
        <f>ABS((V49*V62*1000*'Cost Assumptions'!$B$7)/'Cost Assumptions'!$B$14)</f>
        <v>228975558.92043805</v>
      </c>
      <c r="W74" s="53">
        <f>ABS((W49*W62*1000*'Cost Assumptions'!$B$7)/'Cost Assumptions'!$B$14)</f>
        <v>240143305.41949514</v>
      </c>
      <c r="X74" s="53">
        <f>ABS((X49*X62*1000*'Cost Assumptions'!$B$7)/'Cost Assumptions'!$B$14)</f>
        <v>251726329.51917976</v>
      </c>
      <c r="Y74" s="53">
        <f>ABS((Y49*Y62*1000*'Cost Assumptions'!$B$7)/'Cost Assumptions'!$B$14)</f>
        <v>263738415.25796151</v>
      </c>
      <c r="Z74" s="53">
        <f>ABS((Z49*Z62*1000*'Cost Assumptions'!$B$7)/'Cost Assumptions'!$B$14)</f>
        <v>276193776.32773286</v>
      </c>
      <c r="AA74" s="53">
        <f>ABS((AA49*AA62*1000*'Cost Assumptions'!$B$7)/'Cost Assumptions'!$B$14)</f>
        <v>289107068.94145644</v>
      </c>
      <c r="AB74" s="53">
        <f>ABS((AB49*AB62*1000*'Cost Assumptions'!$B$7)/'Cost Assumptions'!$B$14)</f>
        <v>302493405.07566142</v>
      </c>
      <c r="AC74" s="53">
        <f>ABS((AC49*AC62*1000*'Cost Assumptions'!$B$7)/'Cost Assumptions'!$B$14)</f>
        <v>316368366.09848833</v>
      </c>
      <c r="AD74" s="53">
        <f>ABS((AD49*AD62*1000*'Cost Assumptions'!$B$7)/'Cost Assumptions'!$B$14)</f>
        <v>330748016.79428387</v>
      </c>
    </row>
    <row r="75" spans="1:30" x14ac:dyDescent="0.35">
      <c r="A75" s="72" t="s">
        <v>24</v>
      </c>
      <c r="B75" s="72" t="s">
        <v>144</v>
      </c>
      <c r="C75" s="18">
        <f>NPV('Cost Assumptions'!$B$3,D75:AD75)</f>
        <v>1597648819.9312139</v>
      </c>
      <c r="D75" s="53">
        <f>SUM(D73:D74)</f>
        <v>77960582.999195427</v>
      </c>
      <c r="E75" s="53">
        <f t="shared" ref="E75:AD75" si="18">SUM(E73:E74)</f>
        <v>92621022.747247413</v>
      </c>
      <c r="F75" s="53">
        <f t="shared" si="18"/>
        <v>107965759.11832751</v>
      </c>
      <c r="G75" s="53">
        <f t="shared" si="18"/>
        <v>124019844.16874458</v>
      </c>
      <c r="H75" s="53">
        <f t="shared" si="18"/>
        <v>140809154.87223357</v>
      </c>
      <c r="I75" s="53">
        <f t="shared" si="18"/>
        <v>158360418.70829147</v>
      </c>
      <c r="J75" s="53">
        <f t="shared" si="18"/>
        <v>176701240.01435718</v>
      </c>
      <c r="K75" s="53">
        <f t="shared" si="18"/>
        <v>176374468.77601561</v>
      </c>
      <c r="L75" s="53">
        <f t="shared" si="18"/>
        <v>175920920.700748</v>
      </c>
      <c r="M75" s="53">
        <f t="shared" si="18"/>
        <v>152122508.70636716</v>
      </c>
      <c r="N75" s="53">
        <f t="shared" si="18"/>
        <v>174341619.58165386</v>
      </c>
      <c r="O75" s="53">
        <f t="shared" si="18"/>
        <v>200523395.07207665</v>
      </c>
      <c r="P75" s="53">
        <f t="shared" si="18"/>
        <v>211227368.93624181</v>
      </c>
      <c r="Q75" s="53">
        <f t="shared" si="18"/>
        <v>222341214.37169528</v>
      </c>
      <c r="R75" s="53">
        <f t="shared" si="18"/>
        <v>233878734.97333619</v>
      </c>
      <c r="S75" s="53">
        <f t="shared" si="18"/>
        <v>245854168.34607691</v>
      </c>
      <c r="T75" s="53">
        <f t="shared" si="18"/>
        <v>258282199.17809623</v>
      </c>
      <c r="U75" s="53">
        <f t="shared" si="18"/>
        <v>271177972.6965003</v>
      </c>
      <c r="V75" s="53">
        <f t="shared" si="18"/>
        <v>284557108.51633823</v>
      </c>
      <c r="W75" s="53">
        <f t="shared" si="18"/>
        <v>298435714.89423275</v>
      </c>
      <c r="X75" s="53">
        <f t="shared" si="18"/>
        <v>312830403.3981992</v>
      </c>
      <c r="Y75" s="53">
        <f t="shared" si="18"/>
        <v>327758304.00555515</v>
      </c>
      <c r="Z75" s="53">
        <f t="shared" si="18"/>
        <v>343237080.641155</v>
      </c>
      <c r="AA75" s="53">
        <f t="shared" si="18"/>
        <v>359284947.1685313</v>
      </c>
      <c r="AB75" s="53">
        <f t="shared" si="18"/>
        <v>375920683.84687573</v>
      </c>
      <c r="AC75" s="53">
        <f t="shared" si="18"/>
        <v>393163654.26715714</v>
      </c>
      <c r="AD75" s="53">
        <f t="shared" si="18"/>
        <v>411033822.78104782</v>
      </c>
    </row>
    <row r="76" spans="1:30" x14ac:dyDescent="0.35">
      <c r="A76" s="72"/>
      <c r="B76" s="72"/>
      <c r="C76" s="18"/>
      <c r="D76" s="53"/>
      <c r="E76" s="53"/>
      <c r="F76" s="53"/>
      <c r="G76" s="53"/>
      <c r="H76" s="53"/>
      <c r="I76" s="53"/>
      <c r="J76" s="53"/>
      <c r="K76" s="53"/>
      <c r="L76" s="53"/>
      <c r="M76" s="53"/>
      <c r="N76" s="53"/>
      <c r="O76" s="53"/>
      <c r="P76" s="53"/>
      <c r="Q76" s="53"/>
      <c r="R76" s="53"/>
      <c r="S76" s="53"/>
      <c r="T76" s="53"/>
      <c r="U76" s="53"/>
      <c r="V76" s="53"/>
      <c r="W76" s="53"/>
      <c r="X76" s="53"/>
      <c r="Y76" s="53"/>
      <c r="Z76" s="53"/>
      <c r="AA76" s="53"/>
      <c r="AB76" s="53"/>
      <c r="AC76" s="53"/>
      <c r="AD76" s="53"/>
    </row>
    <row r="77" spans="1:30" x14ac:dyDescent="0.35">
      <c r="A77" s="72" t="s">
        <v>117</v>
      </c>
      <c r="B77" s="72" t="s">
        <v>152</v>
      </c>
      <c r="C77" s="18">
        <f>NPV('Cost Assumptions'!$B$3,D77:AD77)</f>
        <v>53475109.116148114</v>
      </c>
      <c r="D77" s="53">
        <f>ABS(D50)*D61*1000*'Cost Assumptions'!$B$6*'Cost Assumptions'!$B$13</f>
        <v>4633243.5483236359</v>
      </c>
      <c r="E77" s="53">
        <f>ABS(E50)*E61*1000*'Cost Assumptions'!$B$6*'Cost Assumptions'!$B$13</f>
        <v>4770793.6071356935</v>
      </c>
      <c r="F77" s="53">
        <f>ABS(F50)*F61*1000*'Cost Assumptions'!$B$6*'Cost Assumptions'!$B$13</f>
        <v>4900302.2687189495</v>
      </c>
      <c r="G77" s="53">
        <f>ABS(G50)*G61*1000*'Cost Assumptions'!$B$6*'Cost Assumptions'!$B$13</f>
        <v>5033329.00044691</v>
      </c>
      <c r="H77" s="53">
        <f>ABS(H50)*H61*1000*'Cost Assumptions'!$B$6*'Cost Assumptions'!$B$13</f>
        <v>5170225.442844443</v>
      </c>
      <c r="I77" s="53">
        <f>ABS(I50)*I61*1000*'Cost Assumptions'!$B$6*'Cost Assumptions'!$B$13</f>
        <v>5312425.0351311574</v>
      </c>
      <c r="J77" s="53">
        <f>ABS(J50)*J61*1000*'Cost Assumptions'!$B$6*'Cost Assumptions'!$B$13</f>
        <v>5458066.4273013696</v>
      </c>
      <c r="K77" s="53">
        <f>ABS(K50)*K61*1000*'Cost Assumptions'!$B$6*'Cost Assumptions'!$B$13</f>
        <v>5585896.7396920417</v>
      </c>
      <c r="L77" s="53">
        <f>ABS(L50)*L61*1000*'Cost Assumptions'!$B$6*'Cost Assumptions'!$B$13</f>
        <v>5716482.1477297032</v>
      </c>
      <c r="M77" s="53">
        <f>ABS(M50)*M61*1000*'Cost Assumptions'!$B$6*'Cost Assumptions'!$B$13</f>
        <v>5849955.4389215754</v>
      </c>
      <c r="N77" s="53">
        <f>ABS(N50)*N61*1000*'Cost Assumptions'!$B$6*'Cost Assumptions'!$B$13</f>
        <v>6011657.6118221153</v>
      </c>
      <c r="O77" s="53">
        <f>ABS(O50)*O61*1000*'Cost Assumptions'!$B$6*'Cost Assumptions'!$B$13</f>
        <v>6177632.5424167858</v>
      </c>
      <c r="P77" s="53">
        <f>ABS(P50)*P61*1000*'Cost Assumptions'!$B$6*'Cost Assumptions'!$B$13</f>
        <v>6348154.5443541743</v>
      </c>
      <c r="Q77" s="53">
        <f>ABS(Q50)*Q61*1000*'Cost Assumptions'!$B$6*'Cost Assumptions'!$B$13</f>
        <v>6522771.8228264367</v>
      </c>
      <c r="R77" s="53">
        <f>ABS(R50)*R61*1000*'Cost Assumptions'!$B$6*'Cost Assumptions'!$B$13</f>
        <v>6702066.4531530067</v>
      </c>
      <c r="S77" s="53">
        <f>ABS(S50)*S61*1000*'Cost Assumptions'!$B$6*'Cost Assumptions'!$B$13</f>
        <v>6885889.1829448584</v>
      </c>
      <c r="T77" s="53">
        <f>ABS(T50)*T61*1000*'Cost Assumptions'!$B$6*'Cost Assumptions'!$B$13</f>
        <v>7074412.2591529703</v>
      </c>
      <c r="U77" s="53">
        <f>ABS(U50)*U61*1000*'Cost Assumptions'!$B$6*'Cost Assumptions'!$B$13</f>
        <v>7266006.7941390993</v>
      </c>
      <c r="V77" s="53">
        <f>ABS(V50)*V61*1000*'Cost Assumptions'!$B$6*'Cost Assumptions'!$B$13</f>
        <v>7462132.9929670915</v>
      </c>
      <c r="W77" s="53">
        <f>ABS(W50)*W61*1000*'Cost Assumptions'!$B$6*'Cost Assumptions'!$B$13</f>
        <v>7663132.3015395282</v>
      </c>
      <c r="X77" s="53">
        <f>ABS(X50)*X61*1000*'Cost Assumptions'!$B$6*'Cost Assumptions'!$B$13</f>
        <v>7869037.3535523834</v>
      </c>
      <c r="Y77" s="53">
        <f>ABS(Y50)*Y61*1000*'Cost Assumptions'!$B$6*'Cost Assumptions'!$B$13</f>
        <v>8077746.2767590666</v>
      </c>
      <c r="Z77" s="53">
        <f>ABS(Z50)*Z61*1000*'Cost Assumptions'!$B$6*'Cost Assumptions'!$B$13</f>
        <v>8291430.2624998521</v>
      </c>
      <c r="AA77" s="53">
        <f>ABS(AA50)*AA61*1000*'Cost Assumptions'!$B$6*'Cost Assumptions'!$B$13</f>
        <v>8510049.4398606978</v>
      </c>
      <c r="AB77" s="53">
        <f>ABS(AB50)*AB61*1000*'Cost Assumptions'!$B$6*'Cost Assumptions'!$B$13</f>
        <v>8733980.1779314429</v>
      </c>
      <c r="AC77" s="53">
        <f>ABS(AC50)*AC61*1000*'Cost Assumptions'!$B$6*'Cost Assumptions'!$B$13</f>
        <v>8960381.491917029</v>
      </c>
      <c r="AD77" s="53">
        <f>ABS(AD50)*AD61*1000*'Cost Assumptions'!$B$6*'Cost Assumptions'!$B$13</f>
        <v>9191542.5672404189</v>
      </c>
    </row>
    <row r="78" spans="1:30" x14ac:dyDescent="0.35">
      <c r="A78" s="72" t="s">
        <v>119</v>
      </c>
      <c r="B78" s="72" t="s">
        <v>152</v>
      </c>
      <c r="C78" s="18">
        <f>NPV('Cost Assumptions'!$B$3,D78:AD78)</f>
        <v>241047180.11936244</v>
      </c>
      <c r="D78" s="53">
        <f>ABS(D50)*D63*1000*'Cost Assumptions'!$B$7*'Cost Assumptions'!$B$13</f>
        <v>20885049.335829917</v>
      </c>
      <c r="E78" s="53">
        <f>ABS(E50)*E63*1000*'Cost Assumptions'!$B$7*'Cost Assumptions'!$B$13</f>
        <v>21505077.127262443</v>
      </c>
      <c r="F78" s="53">
        <f>ABS(F50)*F63*1000*'Cost Assumptions'!$B$7*'Cost Assumptions'!$B$13</f>
        <v>22088857.098760433</v>
      </c>
      <c r="G78" s="53">
        <f>ABS(G50)*G63*1000*'Cost Assumptions'!$B$7*'Cost Assumptions'!$B$13</f>
        <v>22688495.306021925</v>
      </c>
      <c r="H78" s="53">
        <f>ABS(H50)*H63*1000*'Cost Assumptions'!$B$7*'Cost Assumptions'!$B$13</f>
        <v>23305576.822146095</v>
      </c>
      <c r="I78" s="53">
        <f>ABS(I50)*I63*1000*'Cost Assumptions'!$B$7*'Cost Assumptions'!$B$13</f>
        <v>23946563.09223273</v>
      </c>
      <c r="J78" s="53">
        <f>ABS(J50)*J63*1000*'Cost Assumptions'!$B$7*'Cost Assumptions'!$B$13</f>
        <v>24603063.798290882</v>
      </c>
      <c r="K78" s="53">
        <f>ABS(K50)*K63*1000*'Cost Assumptions'!$B$7*'Cost Assumptions'!$B$13</f>
        <v>25179278.355770741</v>
      </c>
      <c r="L78" s="53">
        <f>ABS(L50)*L63*1000*'Cost Assumptions'!$B$7*'Cost Assumptions'!$B$13</f>
        <v>25767911.925528325</v>
      </c>
      <c r="M78" s="53">
        <f>ABS(M50)*M63*1000*'Cost Assumptions'!$B$7*'Cost Assumptions'!$B$13</f>
        <v>26369563.067430086</v>
      </c>
      <c r="N78" s="53">
        <f>ABS(N50)*N63*1000*'Cost Assumptions'!$B$7*'Cost Assumptions'!$B$13</f>
        <v>27098460.183136549</v>
      </c>
      <c r="O78" s="53">
        <f>ABS(O50)*O63*1000*'Cost Assumptions'!$B$7*'Cost Assumptions'!$B$13</f>
        <v>27846617.403413653</v>
      </c>
      <c r="P78" s="53">
        <f>ABS(P50)*P63*1000*'Cost Assumptions'!$B$7*'Cost Assumptions'!$B$13</f>
        <v>28615271.238715567</v>
      </c>
      <c r="Q78" s="53">
        <f>ABS(Q50)*Q63*1000*'Cost Assumptions'!$B$7*'Cost Assumptions'!$B$13</f>
        <v>29402385.15529374</v>
      </c>
      <c r="R78" s="53">
        <f>ABS(R50)*R63*1000*'Cost Assumptions'!$B$7*'Cost Assumptions'!$B$13</f>
        <v>30210582.946099412</v>
      </c>
      <c r="S78" s="53">
        <f>ABS(S50)*S63*1000*'Cost Assumptions'!$B$7*'Cost Assumptions'!$B$13</f>
        <v>31039191.833309498</v>
      </c>
      <c r="T78" s="53">
        <f>ABS(T50)*T63*1000*'Cost Assumptions'!$B$7*'Cost Assumptions'!$B$13</f>
        <v>31888988.246229209</v>
      </c>
      <c r="U78" s="53">
        <f>ABS(U50)*U63*1000*'Cost Assumptions'!$B$7*'Cost Assumptions'!$B$13</f>
        <v>32752629.726312533</v>
      </c>
      <c r="V78" s="53">
        <f>ABS(V50)*V63*1000*'Cost Assumptions'!$B$7*'Cost Assumptions'!$B$13</f>
        <v>33636698.369769327</v>
      </c>
      <c r="W78" s="53">
        <f>ABS(W50)*W63*1000*'Cost Assumptions'!$B$7*'Cost Assumptions'!$B$13</f>
        <v>34542733.295889676</v>
      </c>
      <c r="X78" s="53">
        <f>ABS(X50)*X63*1000*'Cost Assumptions'!$B$7*'Cost Assumptions'!$B$13</f>
        <v>35470881.606017046</v>
      </c>
      <c r="Y78" s="53">
        <f>ABS(Y50)*Y63*1000*'Cost Assumptions'!$B$7*'Cost Assumptions'!$B$13</f>
        <v>36411668.79161118</v>
      </c>
      <c r="Z78" s="53">
        <f>ABS(Z50)*Z63*1000*'Cost Assumptions'!$B$7*'Cost Assumptions'!$B$13</f>
        <v>37374881.82756041</v>
      </c>
      <c r="AA78" s="53">
        <f>ABS(AA50)*AA63*1000*'Cost Assumptions'!$B$7*'Cost Assumptions'!$B$13</f>
        <v>38360340.989661179</v>
      </c>
      <c r="AB78" s="53">
        <f>ABS(AB50)*AB63*1000*'Cost Assumptions'!$B$7*'Cost Assumptions'!$B$13</f>
        <v>39369742.818776883</v>
      </c>
      <c r="AC78" s="53">
        <f>ABS(AC50)*AC63*1000*'Cost Assumptions'!$B$7*'Cost Assumptions'!$B$13</f>
        <v>40390281.144243583</v>
      </c>
      <c r="AD78" s="53">
        <f>ABS(AD50)*AD63*1000*'Cost Assumptions'!$B$7*'Cost Assumptions'!$B$13</f>
        <v>41432274.817207158</v>
      </c>
    </row>
    <row r="79" spans="1:30" ht="32.5" customHeight="1" x14ac:dyDescent="0.35">
      <c r="A79" s="3" t="s">
        <v>146</v>
      </c>
      <c r="B79" s="72" t="s">
        <v>152</v>
      </c>
      <c r="C79" s="18">
        <f>NPV('Cost Assumptions'!$B$3,D79:AD79)</f>
        <v>294522289.23551047</v>
      </c>
      <c r="D79" s="53">
        <f>SUM(D77:D78)</f>
        <v>25518292.884153552</v>
      </c>
      <c r="E79" s="53">
        <f t="shared" ref="E79:AD79" si="19">SUM(E77:E78)</f>
        <v>26275870.734398138</v>
      </c>
      <c r="F79" s="53">
        <f t="shared" si="19"/>
        <v>26989159.367479384</v>
      </c>
      <c r="G79" s="53">
        <f t="shared" si="19"/>
        <v>27721824.306468837</v>
      </c>
      <c r="H79" s="53">
        <f t="shared" si="19"/>
        <v>28475802.264990538</v>
      </c>
      <c r="I79" s="53">
        <f t="shared" si="19"/>
        <v>29258988.127363887</v>
      </c>
      <c r="J79" s="53">
        <f t="shared" si="19"/>
        <v>30061130.225592252</v>
      </c>
      <c r="K79" s="53">
        <f t="shared" si="19"/>
        <v>30765175.095462784</v>
      </c>
      <c r="L79" s="53">
        <f t="shared" si="19"/>
        <v>31484394.073258027</v>
      </c>
      <c r="M79" s="53">
        <f t="shared" si="19"/>
        <v>32219518.506351661</v>
      </c>
      <c r="N79" s="53">
        <f t="shared" si="19"/>
        <v>33110117.794958666</v>
      </c>
      <c r="O79" s="53">
        <f t="shared" si="19"/>
        <v>34024249.945830442</v>
      </c>
      <c r="P79" s="53">
        <f t="shared" si="19"/>
        <v>34963425.783069745</v>
      </c>
      <c r="Q79" s="53">
        <f t="shared" si="19"/>
        <v>35925156.978120178</v>
      </c>
      <c r="R79" s="53">
        <f t="shared" si="19"/>
        <v>36912649.399252415</v>
      </c>
      <c r="S79" s="53">
        <f t="shared" si="19"/>
        <v>37925081.016254358</v>
      </c>
      <c r="T79" s="53">
        <f t="shared" si="19"/>
        <v>38963400.50538218</v>
      </c>
      <c r="U79" s="53">
        <f t="shared" si="19"/>
        <v>40018636.520451635</v>
      </c>
      <c r="V79" s="53">
        <f t="shared" si="19"/>
        <v>41098831.362736419</v>
      </c>
      <c r="W79" s="53">
        <f t="shared" si="19"/>
        <v>42205865.597429201</v>
      </c>
      <c r="X79" s="53">
        <f t="shared" si="19"/>
        <v>43339918.959569432</v>
      </c>
      <c r="Y79" s="53">
        <f t="shared" si="19"/>
        <v>44489415.068370245</v>
      </c>
      <c r="Z79" s="53">
        <f t="shared" si="19"/>
        <v>45666312.090060264</v>
      </c>
      <c r="AA79" s="53">
        <f t="shared" si="19"/>
        <v>46870390.429521874</v>
      </c>
      <c r="AB79" s="53">
        <f t="shared" si="19"/>
        <v>48103722.996708326</v>
      </c>
      <c r="AC79" s="53">
        <f t="shared" si="19"/>
        <v>49350662.636160612</v>
      </c>
      <c r="AD79" s="53">
        <f t="shared" si="19"/>
        <v>50623817.384447575</v>
      </c>
    </row>
    <row r="80" spans="1:30" s="52" customFormat="1" ht="32.5" customHeight="1" x14ac:dyDescent="0.35">
      <c r="A80" s="3"/>
      <c r="B80" s="72"/>
      <c r="C80" s="18"/>
      <c r="D80" s="53"/>
      <c r="E80" s="53"/>
      <c r="F80" s="53"/>
      <c r="G80" s="53"/>
      <c r="H80" s="53"/>
      <c r="I80" s="53"/>
      <c r="J80" s="53"/>
      <c r="K80" s="53"/>
      <c r="L80" s="53"/>
      <c r="M80" s="53"/>
      <c r="N80" s="53"/>
      <c r="O80" s="53"/>
      <c r="P80" s="53"/>
      <c r="Q80" s="53"/>
      <c r="R80" s="53"/>
      <c r="S80" s="53"/>
      <c r="T80" s="53"/>
      <c r="U80" s="53"/>
      <c r="V80" s="53"/>
      <c r="W80" s="53"/>
      <c r="X80" s="53"/>
      <c r="Y80" s="53"/>
      <c r="Z80" s="53"/>
      <c r="AA80" s="53"/>
      <c r="AB80" s="53"/>
      <c r="AC80" s="53"/>
      <c r="AD80" s="53"/>
    </row>
    <row r="81" spans="1:30" s="52" customFormat="1" ht="29" x14ac:dyDescent="0.35">
      <c r="A81" s="3" t="s">
        <v>147</v>
      </c>
      <c r="B81" s="72" t="s">
        <v>148</v>
      </c>
      <c r="C81" s="18">
        <f>NPV('Cost Assumptions'!$B$3,D81:AD81)</f>
        <v>175851094.61246035</v>
      </c>
      <c r="D81" s="53">
        <f>('Baseline System Analysis'!D42-D36)</f>
        <v>12311267.346117377</v>
      </c>
      <c r="E81" s="53">
        <f>('Baseline System Analysis'!E42-E36)</f>
        <v>13409297.588950472</v>
      </c>
      <c r="F81" s="53">
        <f>('Baseline System Analysis'!F42-F36)</f>
        <v>14134718.131840475</v>
      </c>
      <c r="G81" s="53">
        <f>('Baseline System Analysis'!G42-G36)</f>
        <v>14916869.393818408</v>
      </c>
      <c r="H81" s="53">
        <f>('Baseline System Analysis'!H42-H36)</f>
        <v>15731542.525671236</v>
      </c>
      <c r="I81" s="53">
        <f>('Baseline System Analysis'!I42-I36)</f>
        <v>16634785.543985054</v>
      </c>
      <c r="J81" s="53">
        <f>('Baseline System Analysis'!J42-J36)</f>
        <v>17527795.189012602</v>
      </c>
      <c r="K81" s="53">
        <f>('Baseline System Analysis'!K42-K36)</f>
        <v>17700803.192812424</v>
      </c>
      <c r="L81" s="53">
        <f>('Baseline System Analysis'!L42-L36)</f>
        <v>17736497.180770479</v>
      </c>
      <c r="M81" s="53">
        <f>('Baseline System Analysis'!M42-M36)</f>
        <v>17813893.396555506</v>
      </c>
      <c r="N81" s="53">
        <f>('Baseline System Analysis'!N42-N36)</f>
        <v>18889864.957832657</v>
      </c>
      <c r="O81" s="53">
        <f>('Baseline System Analysis'!O42-O36)</f>
        <v>19937712.149635501</v>
      </c>
      <c r="P81" s="53">
        <f>('Baseline System Analysis'!P42-P36)</f>
        <v>21185354.663479306</v>
      </c>
      <c r="Q81" s="53">
        <f>('Baseline System Analysis'!Q42-Q36)</f>
        <v>22374288.674214758</v>
      </c>
      <c r="R81" s="53">
        <f>('Baseline System Analysis'!R42-R36)</f>
        <v>23734941.632456027</v>
      </c>
      <c r="S81" s="53">
        <f>('Baseline System Analysis'!S42-S36)</f>
        <v>24995759.020613585</v>
      </c>
      <c r="T81" s="53">
        <f>('Baseline System Analysis'!T42-T36)</f>
        <v>26226140.559314072</v>
      </c>
      <c r="U81" s="53">
        <f>('Baseline System Analysis'!U42-U36)</f>
        <v>27630716.856432363</v>
      </c>
      <c r="V81" s="53">
        <f>('Baseline System Analysis'!V42-V36)</f>
        <v>29179870.513516344</v>
      </c>
      <c r="W81" s="53">
        <f>('Baseline System Analysis'!W42-W36)</f>
        <v>30782900.550376602</v>
      </c>
      <c r="X81" s="53">
        <f>('Baseline System Analysis'!X42-X36)</f>
        <v>32262754.184310604</v>
      </c>
      <c r="Y81" s="53">
        <f>('Baseline System Analysis'!Y42-Y36)</f>
        <v>33802002.258139625</v>
      </c>
      <c r="Z81" s="53">
        <f>('Baseline System Analysis'!Z42-Z36)</f>
        <v>35475056.379588209</v>
      </c>
      <c r="AA81" s="53">
        <f>('Baseline System Analysis'!AA42-AA36)</f>
        <v>36996533.523624703</v>
      </c>
      <c r="AB81" s="53">
        <f>('Baseline System Analysis'!AB42-AB36)</f>
        <v>38655870.698991954</v>
      </c>
      <c r="AC81" s="53">
        <f>('Baseline System Analysis'!AC42-AC36)</f>
        <v>40176813.463611871</v>
      </c>
      <c r="AD81" s="53">
        <f>('Baseline System Analysis'!AD42-AD36)</f>
        <v>41572424.969422176</v>
      </c>
    </row>
    <row r="82" spans="1:30" x14ac:dyDescent="0.35">
      <c r="A82" s="72"/>
      <c r="B82" s="72"/>
      <c r="C82" s="72"/>
      <c r="D82" s="53"/>
      <c r="E82" s="53"/>
      <c r="F82" s="53"/>
      <c r="G82" s="53"/>
      <c r="H82" s="53"/>
      <c r="I82" s="53"/>
      <c r="J82" s="53"/>
      <c r="K82" s="53"/>
      <c r="L82" s="53"/>
      <c r="M82" s="53"/>
      <c r="N82" s="53"/>
      <c r="O82" s="53"/>
      <c r="P82" s="53"/>
      <c r="Q82" s="53"/>
      <c r="R82" s="53"/>
      <c r="S82" s="53"/>
      <c r="T82" s="53"/>
      <c r="U82" s="53"/>
      <c r="V82" s="53"/>
      <c r="W82" s="53"/>
      <c r="X82" s="53"/>
      <c r="Y82" s="53"/>
      <c r="Z82" s="53"/>
      <c r="AA82" s="53"/>
      <c r="AB82" s="53"/>
      <c r="AC82" s="53"/>
      <c r="AD82" s="53"/>
    </row>
    <row r="83" spans="1:30" ht="20" thickBot="1" x14ac:dyDescent="0.5">
      <c r="A83" s="134" t="s">
        <v>61</v>
      </c>
      <c r="B83" s="134"/>
      <c r="C83" s="18">
        <f>NPV('Cost Assumptions'!$B$3,D83:AD83)/1000000</f>
        <v>2205.767531364485</v>
      </c>
      <c r="D83" s="53">
        <f>SUM(D67,D71,D75,D79,D81)</f>
        <v>116860778.54986745</v>
      </c>
      <c r="E83" s="53">
        <f t="shared" ref="E83:AD83" si="20">SUM(E67,E71,E75,E79,E81)</f>
        <v>135004115.37519729</v>
      </c>
      <c r="F83" s="53">
        <f t="shared" si="20"/>
        <v>153051700.45731631</v>
      </c>
      <c r="G83" s="53">
        <f t="shared" si="20"/>
        <v>171979361.22384894</v>
      </c>
      <c r="H83" s="53">
        <f t="shared" si="20"/>
        <v>191718753.05351487</v>
      </c>
      <c r="I83" s="53">
        <f t="shared" si="20"/>
        <v>210925393.6334126</v>
      </c>
      <c r="J83" s="53">
        <f t="shared" si="20"/>
        <v>233473398.14745098</v>
      </c>
      <c r="K83" s="53">
        <f t="shared" si="20"/>
        <v>232663027.46718749</v>
      </c>
      <c r="L83" s="53">
        <f t="shared" si="20"/>
        <v>231724116.49953225</v>
      </c>
      <c r="M83" s="53">
        <f t="shared" si="20"/>
        <v>209880607.5442408</v>
      </c>
      <c r="N83" s="53">
        <f t="shared" si="20"/>
        <v>233979122.17001614</v>
      </c>
      <c r="O83" s="53">
        <f t="shared" si="20"/>
        <v>265324935.27978387</v>
      </c>
      <c r="P83" s="53">
        <f t="shared" si="20"/>
        <v>281347546.50900298</v>
      </c>
      <c r="Q83" s="53">
        <f t="shared" si="20"/>
        <v>296404718.26666743</v>
      </c>
      <c r="R83" s="53">
        <f t="shared" si="20"/>
        <v>311540142.4258135</v>
      </c>
      <c r="S83" s="53">
        <f t="shared" si="20"/>
        <v>330077078.22026914</v>
      </c>
      <c r="T83" s="53">
        <f t="shared" si="20"/>
        <v>349915699.84565771</v>
      </c>
      <c r="U83" s="53">
        <f t="shared" si="20"/>
        <v>369108771.35442692</v>
      </c>
      <c r="V83" s="53">
        <f t="shared" si="20"/>
        <v>391979668.59725487</v>
      </c>
      <c r="W83" s="53">
        <f t="shared" si="20"/>
        <v>414912177.11606109</v>
      </c>
      <c r="X83" s="53">
        <f t="shared" si="20"/>
        <v>441322047.31165653</v>
      </c>
      <c r="Y83" s="53">
        <f t="shared" si="20"/>
        <v>469004459.74304229</v>
      </c>
      <c r="Z83" s="53">
        <f t="shared" si="20"/>
        <v>498137726.36477464</v>
      </c>
      <c r="AA83" s="53">
        <f t="shared" si="20"/>
        <v>529400852.36232364</v>
      </c>
      <c r="AB83" s="53">
        <f t="shared" si="20"/>
        <v>561709111.79455006</v>
      </c>
      <c r="AC83" s="53">
        <f t="shared" si="20"/>
        <v>593564944.80346119</v>
      </c>
      <c r="AD83" s="53">
        <f t="shared" si="20"/>
        <v>625176467.72628593</v>
      </c>
    </row>
    <row r="84" spans="1:30" s="52" customFormat="1" ht="20.5" thickTop="1" thickBot="1" x14ac:dyDescent="0.5">
      <c r="A84" s="134" t="s">
        <v>149</v>
      </c>
      <c r="B84" s="134"/>
      <c r="C84" s="18">
        <f>NPV('Cost Assumptions'!$B$3,D84:AD84)/1000000</f>
        <v>2208.9613622025113</v>
      </c>
      <c r="D84" s="53">
        <f>D83+D43</f>
        <v>117090764.94986744</v>
      </c>
      <c r="E84" s="53">
        <f t="shared" ref="E84:AD84" si="21">E83+E43</f>
        <v>135248447.81846651</v>
      </c>
      <c r="F84" s="53">
        <f t="shared" si="21"/>
        <v>153310952.50451821</v>
      </c>
      <c r="G84" s="53">
        <f t="shared" si="21"/>
        <v>172254126.14740312</v>
      </c>
      <c r="H84" s="53">
        <f t="shared" si="21"/>
        <v>192009644.46470943</v>
      </c>
      <c r="I84" s="53">
        <f t="shared" si="21"/>
        <v>211233046.12855235</v>
      </c>
      <c r="J84" s="53">
        <f t="shared" si="21"/>
        <v>233798467.97360119</v>
      </c>
      <c r="K84" s="53">
        <f t="shared" si="21"/>
        <v>232975073.86310127</v>
      </c>
      <c r="L84" s="53">
        <f t="shared" si="21"/>
        <v>232065155.45577037</v>
      </c>
      <c r="M84" s="53">
        <f t="shared" si="21"/>
        <v>210252191.38875407</v>
      </c>
      <c r="N84" s="53">
        <f t="shared" si="21"/>
        <v>234362687.8450684</v>
      </c>
      <c r="O84" s="53">
        <f t="shared" si="21"/>
        <v>265721131.7737962</v>
      </c>
      <c r="P84" s="53">
        <f t="shared" si="21"/>
        <v>281756765.63437647</v>
      </c>
      <c r="Q84" s="53">
        <f t="shared" si="21"/>
        <v>296827363.53216141</v>
      </c>
      <c r="R84" s="53">
        <f t="shared" si="21"/>
        <v>311976629.37648058</v>
      </c>
      <c r="S84" s="53">
        <f t="shared" si="21"/>
        <v>330527834.78707713</v>
      </c>
      <c r="T84" s="53">
        <f t="shared" si="21"/>
        <v>350381166.70506942</v>
      </c>
      <c r="U84" s="53">
        <f t="shared" si="21"/>
        <v>369589402.29821831</v>
      </c>
      <c r="V84" s="53">
        <f t="shared" si="21"/>
        <v>392475930.91285777</v>
      </c>
      <c r="W84" s="53">
        <f t="shared" si="21"/>
        <v>415424551.97772622</v>
      </c>
      <c r="X84" s="53">
        <f t="shared" si="21"/>
        <v>441851030.18273973</v>
      </c>
      <c r="Y84" s="53">
        <f t="shared" si="21"/>
        <v>469550560.78972596</v>
      </c>
      <c r="Z84" s="53">
        <f t="shared" si="21"/>
        <v>498701470.88154435</v>
      </c>
      <c r="AA84" s="53">
        <f t="shared" si="21"/>
        <v>529982781.20952952</v>
      </c>
      <c r="AB84" s="53">
        <f t="shared" si="21"/>
        <v>562309781.84839094</v>
      </c>
      <c r="AC84" s="53">
        <f t="shared" si="21"/>
        <v>594184929.41873932</v>
      </c>
      <c r="AD84" s="53">
        <f t="shared" si="21"/>
        <v>625816357.21228945</v>
      </c>
    </row>
    <row r="85" spans="1:30" ht="15" thickTop="1" x14ac:dyDescent="0.35">
      <c r="A85" s="72"/>
      <c r="B85" s="72"/>
      <c r="C85" s="72"/>
      <c r="D85" s="72"/>
      <c r="E85" s="72"/>
      <c r="F85" s="72"/>
      <c r="G85" s="72"/>
      <c r="H85" s="72"/>
      <c r="I85" s="72"/>
      <c r="J85" s="72"/>
      <c r="K85" s="72"/>
      <c r="L85" s="72"/>
      <c r="M85" s="72"/>
      <c r="N85" s="72"/>
      <c r="O85" s="72"/>
      <c r="P85" s="72"/>
      <c r="Q85" s="72"/>
      <c r="R85" s="72"/>
      <c r="S85" s="72"/>
      <c r="T85" s="72"/>
      <c r="U85" s="72"/>
      <c r="V85" s="72"/>
      <c r="W85" s="72"/>
      <c r="X85" s="72"/>
      <c r="Y85" s="72"/>
      <c r="Z85" s="72"/>
      <c r="AA85" s="72"/>
      <c r="AB85" s="72"/>
      <c r="AC85" s="72"/>
      <c r="AD85" s="72"/>
    </row>
    <row r="86" spans="1:30" ht="20" thickBot="1" x14ac:dyDescent="0.5">
      <c r="A86" s="134" t="s">
        <v>150</v>
      </c>
      <c r="B86" s="134"/>
      <c r="C86" s="18">
        <f>Summary!$D$8</f>
        <v>469</v>
      </c>
      <c r="D86" s="72"/>
      <c r="E86" s="72"/>
      <c r="F86" s="72"/>
      <c r="G86" s="72"/>
      <c r="H86" s="72"/>
      <c r="I86" s="72"/>
      <c r="J86" s="72"/>
      <c r="K86" s="72"/>
      <c r="L86" s="72"/>
      <c r="M86" s="72"/>
      <c r="N86" s="72"/>
      <c r="O86" s="72"/>
      <c r="P86" s="72"/>
      <c r="Q86" s="72"/>
      <c r="R86" s="72"/>
      <c r="S86" s="72"/>
      <c r="T86" s="72"/>
      <c r="U86" s="72"/>
      <c r="V86" s="72"/>
      <c r="W86" s="72"/>
      <c r="X86" s="72"/>
      <c r="Y86" s="72"/>
      <c r="Z86" s="72"/>
      <c r="AA86" s="72"/>
      <c r="AB86" s="72"/>
      <c r="AC86" s="72"/>
      <c r="AD86" s="72"/>
    </row>
    <row r="87" spans="1:30" ht="15" thickTop="1" x14ac:dyDescent="0.35">
      <c r="A87" s="72"/>
      <c r="B87" s="72"/>
      <c r="C87" s="72"/>
      <c r="D87" s="72"/>
      <c r="E87" s="72"/>
      <c r="F87" s="72"/>
      <c r="G87" s="72"/>
      <c r="H87" s="72"/>
      <c r="I87" s="72"/>
      <c r="J87" s="72"/>
      <c r="K87" s="72"/>
      <c r="L87" s="72"/>
      <c r="M87" s="72"/>
      <c r="N87" s="72"/>
      <c r="O87" s="72"/>
      <c r="P87" s="72"/>
      <c r="Q87" s="72"/>
      <c r="R87" s="72"/>
      <c r="S87" s="72"/>
      <c r="T87" s="72"/>
      <c r="U87" s="72"/>
      <c r="V87" s="72"/>
      <c r="W87" s="72"/>
      <c r="X87" s="72"/>
      <c r="Y87" s="72"/>
      <c r="Z87" s="72"/>
      <c r="AA87" s="72"/>
      <c r="AB87" s="72"/>
      <c r="AC87" s="72"/>
      <c r="AD87" s="72"/>
    </row>
    <row r="88" spans="1:30" ht="20" thickBot="1" x14ac:dyDescent="0.5">
      <c r="A88" s="134" t="s">
        <v>7</v>
      </c>
      <c r="B88" s="134"/>
      <c r="C88" s="46">
        <f>C84/C86</f>
        <v>4.7099389385981052</v>
      </c>
      <c r="D88" s="72"/>
      <c r="E88" s="72"/>
      <c r="F88" s="72"/>
      <c r="G88" s="72"/>
      <c r="H88" s="72"/>
      <c r="I88" s="72"/>
      <c r="J88" s="72"/>
      <c r="K88" s="72"/>
      <c r="L88" s="72"/>
      <c r="M88" s="72"/>
      <c r="N88" s="72"/>
      <c r="O88" s="72"/>
      <c r="P88" s="72"/>
      <c r="Q88" s="72"/>
      <c r="R88" s="72"/>
      <c r="S88" s="72"/>
      <c r="T88" s="72"/>
      <c r="U88" s="72"/>
      <c r="V88" s="72"/>
      <c r="W88" s="72"/>
      <c r="X88" s="72"/>
      <c r="Y88" s="72"/>
      <c r="Z88" s="72"/>
      <c r="AA88" s="72"/>
      <c r="AB88" s="72"/>
      <c r="AC88" s="72"/>
      <c r="AD88" s="72"/>
    </row>
    <row r="89" spans="1:30" ht="15" thickTop="1" x14ac:dyDescent="0.35">
      <c r="A89" s="72"/>
      <c r="B89" s="72"/>
      <c r="C89" s="72"/>
      <c r="D89" s="72"/>
      <c r="E89" s="72"/>
      <c r="F89" s="72"/>
      <c r="G89" s="72"/>
      <c r="H89" s="72"/>
      <c r="I89" s="72"/>
      <c r="J89" s="72"/>
      <c r="K89" s="72"/>
      <c r="L89" s="72"/>
      <c r="M89" s="72"/>
      <c r="N89" s="72"/>
      <c r="O89" s="72"/>
      <c r="P89" s="72"/>
      <c r="Q89" s="72"/>
      <c r="R89" s="72"/>
      <c r="S89" s="72"/>
      <c r="T89" s="72"/>
      <c r="U89" s="72"/>
      <c r="V89" s="72"/>
      <c r="W89" s="72"/>
      <c r="X89" s="72"/>
      <c r="Y89" s="72"/>
      <c r="Z89" s="72"/>
      <c r="AA89" s="72"/>
      <c r="AB89" s="72"/>
      <c r="AC89" s="72"/>
      <c r="AD89" s="72"/>
    </row>
  </sheetData>
  <mergeCells count="8">
    <mergeCell ref="A86:B86"/>
    <mergeCell ref="A88:B88"/>
    <mergeCell ref="A84:B84"/>
    <mergeCell ref="B18:B31"/>
    <mergeCell ref="B2:B15"/>
    <mergeCell ref="B40:AD40"/>
    <mergeCell ref="A58:AD59"/>
    <mergeCell ref="A83:B83"/>
  </mergeCells>
  <phoneticPr fontId="16" type="noConversion"/>
  <pageMargins left="0.7" right="0.7" top="0.75" bottom="0.75" header="0.3" footer="0.3"/>
  <pageSetup orientation="portrait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D90"/>
  <sheetViews>
    <sheetView zoomScale="73" zoomScaleNormal="73" workbookViewId="0"/>
  </sheetViews>
  <sheetFormatPr defaultRowHeight="14.5" x14ac:dyDescent="0.35"/>
  <cols>
    <col min="1" max="1" width="19.81640625" customWidth="1"/>
    <col min="2" max="2" width="29.453125" customWidth="1"/>
    <col min="3" max="3" width="19.26953125" customWidth="1"/>
    <col min="4" max="4" width="15.1796875" bestFit="1" customWidth="1"/>
    <col min="5" max="6" width="15.7265625" bestFit="1" customWidth="1"/>
    <col min="7" max="7" width="16.1796875" bestFit="1" customWidth="1"/>
    <col min="8" max="14" width="14.81640625" bestFit="1" customWidth="1"/>
    <col min="15" max="16" width="16.453125" customWidth="1"/>
    <col min="17" max="17" width="17.54296875" customWidth="1"/>
    <col min="18" max="19" width="16.81640625" bestFit="1" customWidth="1"/>
    <col min="20" max="20" width="14.81640625" bestFit="1" customWidth="1"/>
    <col min="21" max="21" width="21.1796875" customWidth="1"/>
    <col min="22" max="22" width="19.7265625" customWidth="1"/>
    <col min="23" max="23" width="16.54296875" bestFit="1" customWidth="1"/>
    <col min="24" max="24" width="16.81640625" bestFit="1" customWidth="1"/>
    <col min="25" max="30" width="16.26953125" bestFit="1" customWidth="1"/>
  </cols>
  <sheetData>
    <row r="1" spans="1:30" ht="20" thickBot="1" x14ac:dyDescent="0.5">
      <c r="A1" s="113"/>
      <c r="B1" s="122"/>
      <c r="C1" s="113" t="s">
        <v>105</v>
      </c>
      <c r="D1" s="113">
        <v>2022</v>
      </c>
      <c r="E1" s="113">
        <v>2023</v>
      </c>
      <c r="F1" s="113">
        <v>2024</v>
      </c>
      <c r="G1" s="113">
        <v>2025</v>
      </c>
      <c r="H1" s="113">
        <v>2026</v>
      </c>
      <c r="I1" s="113">
        <v>2027</v>
      </c>
      <c r="J1" s="113">
        <v>2028</v>
      </c>
      <c r="K1" s="113">
        <v>2029</v>
      </c>
      <c r="L1" s="113">
        <v>2030</v>
      </c>
      <c r="M1" s="113">
        <v>2031</v>
      </c>
      <c r="N1" s="113">
        <v>2032</v>
      </c>
      <c r="O1" s="113">
        <v>2033</v>
      </c>
      <c r="P1" s="113">
        <v>2034</v>
      </c>
      <c r="Q1" s="113">
        <v>2035</v>
      </c>
      <c r="R1" s="113">
        <v>2036</v>
      </c>
      <c r="S1" s="113">
        <v>2037</v>
      </c>
      <c r="T1" s="113">
        <v>2038</v>
      </c>
      <c r="U1" s="113">
        <v>2039</v>
      </c>
      <c r="V1" s="113">
        <v>2040</v>
      </c>
      <c r="W1" s="113">
        <v>2041</v>
      </c>
      <c r="X1" s="113">
        <v>2042</v>
      </c>
      <c r="Y1" s="113">
        <v>2043</v>
      </c>
      <c r="Z1" s="113">
        <v>2044</v>
      </c>
      <c r="AA1" s="113">
        <v>2045</v>
      </c>
      <c r="AB1" s="113">
        <v>2046</v>
      </c>
      <c r="AC1" s="113">
        <v>2047</v>
      </c>
      <c r="AD1" s="113">
        <v>2048</v>
      </c>
    </row>
    <row r="2" spans="1:30" ht="15" thickTop="1" x14ac:dyDescent="0.35">
      <c r="A2" s="72"/>
      <c r="B2" s="174" t="s">
        <v>26</v>
      </c>
      <c r="C2" s="72" t="s">
        <v>107</v>
      </c>
      <c r="D2" s="53">
        <f>'Baseline System Analysis'!D2</f>
        <v>49666.999999999534</v>
      </c>
      <c r="E2" s="53">
        <f>'Baseline System Analysis'!E2</f>
        <v>50103.790384614935</v>
      </c>
      <c r="F2" s="53">
        <f>'Baseline System Analysis'!F2</f>
        <v>50540.580769230335</v>
      </c>
      <c r="G2" s="53">
        <f>'Baseline System Analysis'!G2</f>
        <v>50977.371153845736</v>
      </c>
      <c r="H2" s="53">
        <f>'Baseline System Analysis'!H2</f>
        <v>51414.161538461136</v>
      </c>
      <c r="I2" s="53">
        <f>'Baseline System Analysis'!I2</f>
        <v>51850.951923076536</v>
      </c>
      <c r="J2" s="53">
        <f>'Baseline System Analysis'!J2</f>
        <v>52287.742307691937</v>
      </c>
      <c r="K2" s="53">
        <f>'Baseline System Analysis'!K2</f>
        <v>51698.184615384183</v>
      </c>
      <c r="L2" s="53">
        <f>'Baseline System Analysis'!L2</f>
        <v>51988.353846153419</v>
      </c>
      <c r="M2" s="53">
        <f>'Baseline System Analysis'!M2</f>
        <v>52278.523076922655</v>
      </c>
      <c r="N2" s="53">
        <f>'Baseline System Analysis'!N2</f>
        <v>52568.69230769189</v>
      </c>
      <c r="O2" s="53">
        <f>'Baseline System Analysis'!O2</f>
        <v>52858.861538461126</v>
      </c>
      <c r="P2" s="53">
        <f>'Baseline System Analysis'!P2</f>
        <v>53149.030769230361</v>
      </c>
      <c r="Q2" s="53">
        <f>'Baseline System Analysis'!Q2</f>
        <v>53439.199999999597</v>
      </c>
      <c r="R2" s="53">
        <f>'Baseline System Analysis'!R2</f>
        <v>53729.369230768832</v>
      </c>
      <c r="S2" s="53">
        <f>'Baseline System Analysis'!S2</f>
        <v>54019.538461538068</v>
      </c>
      <c r="T2" s="53">
        <f>'Baseline System Analysis'!T2</f>
        <v>54309.707692307304</v>
      </c>
      <c r="U2" s="53">
        <f>'Baseline System Analysis'!U2</f>
        <v>54599.876923076539</v>
      </c>
      <c r="V2" s="53">
        <f>'Baseline System Analysis'!V2</f>
        <v>54890.046153845775</v>
      </c>
      <c r="W2" s="53">
        <f>'Baseline System Analysis'!W2</f>
        <v>55180.21538461501</v>
      </c>
      <c r="X2" s="53">
        <f>'Baseline System Analysis'!X2</f>
        <v>55470.384615384246</v>
      </c>
      <c r="Y2" s="53">
        <f>'Baseline System Analysis'!Y2</f>
        <v>55760.553846153482</v>
      </c>
      <c r="Z2" s="53">
        <f>'Baseline System Analysis'!Z2</f>
        <v>56050.723076922717</v>
      </c>
      <c r="AA2" s="53">
        <f>'Baseline System Analysis'!AA2</f>
        <v>56340.892307691953</v>
      </c>
      <c r="AB2" s="53">
        <f>'Baseline System Analysis'!AB2</f>
        <v>56631.061538461188</v>
      </c>
      <c r="AC2" s="53">
        <f>'Baseline System Analysis'!AC2</f>
        <v>56921.230769230424</v>
      </c>
      <c r="AD2" s="53">
        <f>'Baseline System Analysis'!AD2</f>
        <v>57211.399999999638</v>
      </c>
    </row>
    <row r="3" spans="1:30" x14ac:dyDescent="0.35">
      <c r="A3" s="72" t="s">
        <v>30</v>
      </c>
      <c r="B3" s="176"/>
      <c r="C3" s="72" t="s">
        <v>31</v>
      </c>
      <c r="D3" s="53">
        <f>'Baseline System Analysis'!D3</f>
        <v>10</v>
      </c>
      <c r="E3" s="53">
        <f>'Baseline System Analysis'!E3</f>
        <v>20.5</v>
      </c>
      <c r="F3" s="53">
        <f>'Baseline System Analysis'!F3</f>
        <v>29.879999999999995</v>
      </c>
      <c r="G3" s="53">
        <f>'Baseline System Analysis'!G3</f>
        <v>39.259999999999991</v>
      </c>
      <c r="H3" s="53">
        <f>'Baseline System Analysis'!H3</f>
        <v>48.639999999999986</v>
      </c>
      <c r="I3" s="53">
        <f>'Baseline System Analysis'!I3</f>
        <v>58.019999999999982</v>
      </c>
      <c r="J3" s="53">
        <f>'Baseline System Analysis'!J3</f>
        <v>67.399999999999977</v>
      </c>
      <c r="K3" s="53">
        <f>'Baseline System Analysis'!K3</f>
        <v>57.599999999999966</v>
      </c>
      <c r="L3" s="53">
        <f>'Baseline System Analysis'!L3</f>
        <v>49.800000000000011</v>
      </c>
      <c r="M3" s="53">
        <f>'Baseline System Analysis'!M3</f>
        <v>41.5</v>
      </c>
      <c r="N3" s="53">
        <f>'Baseline System Analysis'!N3</f>
        <v>53.700000000000017</v>
      </c>
      <c r="O3" s="53">
        <f>'Baseline System Analysis'!O3</f>
        <v>75.066666666666691</v>
      </c>
      <c r="P3" s="53">
        <f>'Baseline System Analysis'!P3</f>
        <v>96.433333333333366</v>
      </c>
      <c r="Q3" s="53">
        <f>'Baseline System Analysis'!Q3</f>
        <v>117.80000000000004</v>
      </c>
      <c r="R3" s="53">
        <f>'Baseline System Analysis'!R3</f>
        <v>139.16666666666671</v>
      </c>
      <c r="S3" s="53">
        <f>'Baseline System Analysis'!S3</f>
        <v>160.53333333333339</v>
      </c>
      <c r="T3" s="53">
        <f>'Baseline System Analysis'!T3</f>
        <v>181.90000000000003</v>
      </c>
      <c r="U3" s="53">
        <f>'Baseline System Analysis'!U3</f>
        <v>244.23000000000002</v>
      </c>
      <c r="V3" s="53">
        <f>'Baseline System Analysis'!V3</f>
        <v>306.56</v>
      </c>
      <c r="W3" s="53">
        <f>'Baseline System Analysis'!W3</f>
        <v>368.89</v>
      </c>
      <c r="X3" s="53">
        <f>'Baseline System Analysis'!X3</f>
        <v>431.21999999999997</v>
      </c>
      <c r="Y3" s="53">
        <f>'Baseline System Analysis'!Y3</f>
        <v>453.7000000000001</v>
      </c>
      <c r="Z3" s="53">
        <f>'Baseline System Analysis'!Z3</f>
        <v>524.00000000000011</v>
      </c>
      <c r="AA3" s="53">
        <f>'Baseline System Analysis'!AA3</f>
        <v>594.30000000000007</v>
      </c>
      <c r="AB3" s="53">
        <f>'Baseline System Analysis'!AB3</f>
        <v>664.6</v>
      </c>
      <c r="AC3" s="53">
        <f>'Baseline System Analysis'!AC3</f>
        <v>734.9</v>
      </c>
      <c r="AD3" s="53">
        <f>'Baseline System Analysis'!AD3</f>
        <v>805.2</v>
      </c>
    </row>
    <row r="4" spans="1:30" x14ac:dyDescent="0.35">
      <c r="A4" s="72" t="s">
        <v>30</v>
      </c>
      <c r="B4" s="176"/>
      <c r="C4" s="72" t="s">
        <v>32</v>
      </c>
      <c r="D4" s="53">
        <f>'Baseline System Analysis'!D4</f>
        <v>2</v>
      </c>
      <c r="E4" s="53">
        <f>'Baseline System Analysis'!E4</f>
        <v>3</v>
      </c>
      <c r="F4" s="53">
        <f>'Baseline System Analysis'!F4</f>
        <v>4.6799999999999953</v>
      </c>
      <c r="G4" s="53">
        <f>'Baseline System Analysis'!G4</f>
        <v>6.3599999999999905</v>
      </c>
      <c r="H4" s="53">
        <f>'Baseline System Analysis'!H4</f>
        <v>8.0399999999999867</v>
      </c>
      <c r="I4" s="53">
        <f>'Baseline System Analysis'!I4</f>
        <v>9.7199999999999829</v>
      </c>
      <c r="J4" s="53">
        <f>'Baseline System Analysis'!J4</f>
        <v>11.399999999999977</v>
      </c>
      <c r="K4" s="53">
        <f>'Baseline System Analysis'!K4</f>
        <v>10.199999999999989</v>
      </c>
      <c r="L4" s="53">
        <f>'Baseline System Analysis'!L4</f>
        <v>8.5999999999999943</v>
      </c>
      <c r="M4" s="53">
        <f>'Baseline System Analysis'!M4</f>
        <v>6.8000000000000114</v>
      </c>
      <c r="N4" s="53">
        <f>'Baseline System Analysis'!N4</f>
        <v>9.6000000000000227</v>
      </c>
      <c r="O4" s="53">
        <f>'Baseline System Analysis'!O4</f>
        <v>11.333333333333352</v>
      </c>
      <c r="P4" s="53">
        <f>'Baseline System Analysis'!P4</f>
        <v>13.066666666666681</v>
      </c>
      <c r="Q4" s="53">
        <f>'Baseline System Analysis'!Q4</f>
        <v>14.80000000000001</v>
      </c>
      <c r="R4" s="53">
        <f>'Baseline System Analysis'!R4</f>
        <v>16.533333333333339</v>
      </c>
      <c r="S4" s="53">
        <f>'Baseline System Analysis'!S4</f>
        <v>18.266666666666669</v>
      </c>
      <c r="T4" s="53">
        <f>'Baseline System Analysis'!T4</f>
        <v>20</v>
      </c>
      <c r="U4" s="53">
        <f>'Baseline System Analysis'!U4</f>
        <v>21.860000000000003</v>
      </c>
      <c r="V4" s="53">
        <f>'Baseline System Analysis'!V4</f>
        <v>23.720000000000006</v>
      </c>
      <c r="W4" s="53">
        <f>'Baseline System Analysis'!W4</f>
        <v>25.580000000000009</v>
      </c>
      <c r="X4" s="53">
        <f>'Baseline System Analysis'!X4</f>
        <v>27.440000000000012</v>
      </c>
      <c r="Y4" s="53">
        <f>'Baseline System Analysis'!Y4</f>
        <v>29.300000000000011</v>
      </c>
      <c r="Z4" s="53">
        <f>'Baseline System Analysis'!Z4</f>
        <v>30.480000000000008</v>
      </c>
      <c r="AA4" s="53">
        <f>'Baseline System Analysis'!AA4</f>
        <v>31.660000000000004</v>
      </c>
      <c r="AB4" s="53">
        <f>'Baseline System Analysis'!AB4</f>
        <v>32.839999999999996</v>
      </c>
      <c r="AC4" s="53">
        <f>'Baseline System Analysis'!AC4</f>
        <v>34.019999999999989</v>
      </c>
      <c r="AD4" s="53">
        <f>'Baseline System Analysis'!AD4</f>
        <v>35.199999999999989</v>
      </c>
    </row>
    <row r="5" spans="1:30" x14ac:dyDescent="0.35">
      <c r="A5" s="72" t="s">
        <v>30</v>
      </c>
      <c r="B5" s="176"/>
      <c r="C5" s="72" t="s">
        <v>33</v>
      </c>
      <c r="D5" s="53">
        <f>'Baseline System Analysis'!D5</f>
        <v>8.4812112193331513E-2</v>
      </c>
      <c r="E5" s="53">
        <f>'Baseline System Analysis'!E5</f>
        <v>0.24283371212350299</v>
      </c>
      <c r="F5" s="53">
        <f>'Baseline System Analysis'!F5</f>
        <v>0.34046276046663143</v>
      </c>
      <c r="G5" s="53">
        <f>'Baseline System Analysis'!G5</f>
        <v>0.43809180880975984</v>
      </c>
      <c r="H5" s="53">
        <f>'Baseline System Analysis'!H5</f>
        <v>0.53572085715288831</v>
      </c>
      <c r="I5" s="53">
        <f>'Baseline System Analysis'!I5</f>
        <v>0.63334990549601677</v>
      </c>
      <c r="J5" s="53">
        <f>'Baseline System Analysis'!J5</f>
        <v>0.73097895383914513</v>
      </c>
      <c r="K5" s="53">
        <f>'Baseline System Analysis'!K5</f>
        <v>0.61764830497225676</v>
      </c>
      <c r="L5" s="53">
        <f>'Baseline System Analysis'!L5</f>
        <v>0.52957812632109091</v>
      </c>
      <c r="M5" s="53">
        <f>'Baseline System Analysis'!M5</f>
        <v>0.48185121670948772</v>
      </c>
      <c r="N5" s="53">
        <f>'Baseline System Analysis'!N5</f>
        <v>0.56680711827214547</v>
      </c>
      <c r="O5" s="53">
        <f>'Baseline System Analysis'!O5</f>
        <v>0.96980348799493798</v>
      </c>
      <c r="P5" s="53">
        <f>'Baseline System Analysis'!P5</f>
        <v>1.3727998577177305</v>
      </c>
      <c r="Q5" s="53">
        <f>'Baseline System Analysis'!Q5</f>
        <v>1.775796227440523</v>
      </c>
      <c r="R5" s="53">
        <f>'Baseline System Analysis'!R5</f>
        <v>2.1787925971633153</v>
      </c>
      <c r="S5" s="53">
        <f>'Baseline System Analysis'!S5</f>
        <v>2.5817889668861076</v>
      </c>
      <c r="T5" s="53">
        <f>'Baseline System Analysis'!T5</f>
        <v>2.9847853366089003</v>
      </c>
      <c r="U5" s="53">
        <f>'Baseline System Analysis'!U5</f>
        <v>21.070525908414965</v>
      </c>
      <c r="V5" s="53">
        <f>'Baseline System Analysis'!V5</f>
        <v>39.156266480221028</v>
      </c>
      <c r="W5" s="53">
        <f>'Baseline System Analysis'!W5</f>
        <v>57.242007052027091</v>
      </c>
      <c r="X5" s="53">
        <f>'Baseline System Analysis'!X5</f>
        <v>75.327747623833147</v>
      </c>
      <c r="Y5" s="53">
        <f>'Baseline System Analysis'!Y5</f>
        <v>93.413488195639218</v>
      </c>
      <c r="Z5" s="53">
        <f>'Baseline System Analysis'!Z5</f>
        <v>81.062212021092932</v>
      </c>
      <c r="AA5" s="53">
        <f>'Baseline System Analysis'!AA5</f>
        <v>68.710935846546647</v>
      </c>
      <c r="AB5" s="53">
        <f>'Baseline System Analysis'!AB5</f>
        <v>56.359659672000362</v>
      </c>
      <c r="AC5" s="53">
        <f>'Baseline System Analysis'!AC5</f>
        <v>44.008383497454076</v>
      </c>
      <c r="AD5" s="53">
        <f>'Baseline System Analysis'!AD5</f>
        <v>31.657107322907791</v>
      </c>
    </row>
    <row r="6" spans="1:30" x14ac:dyDescent="0.35">
      <c r="A6" s="72" t="s">
        <v>30</v>
      </c>
      <c r="B6" s="176"/>
      <c r="C6" s="72" t="s">
        <v>34</v>
      </c>
      <c r="D6" s="53">
        <f>'Baseline System Analysis'!D6</f>
        <v>6.0580080138093939E-3</v>
      </c>
      <c r="E6" s="53">
        <f>'Baseline System Analysis'!E6</f>
        <v>1.7771756236396739E-2</v>
      </c>
      <c r="F6" s="53">
        <f>'Baseline System Analysis'!F6</f>
        <v>2.504677784712513E-2</v>
      </c>
      <c r="G6" s="53">
        <f>'Baseline System Analysis'!G6</f>
        <v>3.2321799457853517E-2</v>
      </c>
      <c r="H6" s="53">
        <f>'Baseline System Analysis'!H6</f>
        <v>3.9596821068581908E-2</v>
      </c>
      <c r="I6" s="53">
        <f>'Baseline System Analysis'!I6</f>
        <v>4.6871842679310299E-2</v>
      </c>
      <c r="J6" s="53">
        <f>'Baseline System Analysis'!J6</f>
        <v>5.414686429003869E-2</v>
      </c>
      <c r="K6" s="53">
        <f>'Baseline System Analysis'!K6</f>
        <v>4.57170533491131E-2</v>
      </c>
      <c r="L6" s="53">
        <f>'Baseline System Analysis'!L6</f>
        <v>3.8991796004088156E-2</v>
      </c>
      <c r="M6" s="53">
        <f>'Baseline System Analysis'!M6</f>
        <v>3.1792887361975948E-2</v>
      </c>
      <c r="N6" s="53">
        <f>'Baseline System Analysis'!N6</f>
        <v>4.2212624824281168E-2</v>
      </c>
      <c r="O6" s="53">
        <f>'Baseline System Analysis'!O6</f>
        <v>5.9766414638595444E-2</v>
      </c>
      <c r="P6" s="53">
        <f>'Baseline System Analysis'!P6</f>
        <v>7.7320204452909727E-2</v>
      </c>
      <c r="Q6" s="53">
        <f>'Baseline System Analysis'!Q6</f>
        <v>9.487399426722401E-2</v>
      </c>
      <c r="R6" s="53">
        <f>'Baseline System Analysis'!R6</f>
        <v>0.11242778408153829</v>
      </c>
      <c r="S6" s="53">
        <f>'Baseline System Analysis'!S6</f>
        <v>0.12998157389585258</v>
      </c>
      <c r="T6" s="53">
        <f>'Baseline System Analysis'!T6</f>
        <v>0.14753536371016684</v>
      </c>
      <c r="U6" s="53">
        <f>'Baseline System Analysis'!U6</f>
        <v>0.40051087482777559</v>
      </c>
      <c r="V6" s="53">
        <f>'Baseline System Analysis'!V6</f>
        <v>0.65348638594538433</v>
      </c>
      <c r="W6" s="53">
        <f>'Baseline System Analysis'!W6</f>
        <v>0.90646189706299307</v>
      </c>
      <c r="X6" s="53">
        <f>'Baseline System Analysis'!X6</f>
        <v>1.1594374081806018</v>
      </c>
      <c r="Y6" s="53">
        <f>'Baseline System Analysis'!Y6</f>
        <v>1.4124129192982104</v>
      </c>
      <c r="Z6" s="53">
        <f>'Baseline System Analysis'!Z6</f>
        <v>1.2710233198999881</v>
      </c>
      <c r="AA6" s="53">
        <f>'Baseline System Analysis'!AA6</f>
        <v>1.1296337205017657</v>
      </c>
      <c r="AB6" s="53">
        <f>'Baseline System Analysis'!AB6</f>
        <v>0.98824412110354332</v>
      </c>
      <c r="AC6" s="53">
        <f>'Baseline System Analysis'!AC6</f>
        <v>0.84685452170532094</v>
      </c>
      <c r="AD6" s="53">
        <f>'Baseline System Analysis'!AD6</f>
        <v>0.70546492230709823</v>
      </c>
    </row>
    <row r="7" spans="1:30" x14ac:dyDescent="0.35">
      <c r="A7" s="72" t="s">
        <v>30</v>
      </c>
      <c r="B7" s="176"/>
      <c r="C7" s="72" t="s">
        <v>35</v>
      </c>
      <c r="D7" s="53">
        <f>'Baseline System Analysis'!D7</f>
        <v>14</v>
      </c>
      <c r="E7" s="53">
        <f>'Baseline System Analysis'!E7</f>
        <v>21</v>
      </c>
      <c r="F7" s="53">
        <f>'Baseline System Analysis'!F7</f>
        <v>23.2</v>
      </c>
      <c r="G7" s="53">
        <f>'Baseline System Analysis'!G7</f>
        <v>25.4</v>
      </c>
      <c r="H7" s="53">
        <f>'Baseline System Analysis'!H7</f>
        <v>27.599999999999998</v>
      </c>
      <c r="I7" s="53">
        <f>'Baseline System Analysis'!I7</f>
        <v>29.799999999999997</v>
      </c>
      <c r="J7" s="53">
        <f>'Baseline System Analysis'!J7</f>
        <v>32</v>
      </c>
      <c r="K7" s="53">
        <f>'Baseline System Analysis'!K7</f>
        <v>30</v>
      </c>
      <c r="L7" s="53">
        <f>'Baseline System Analysis'!L7</f>
        <v>29</v>
      </c>
      <c r="M7" s="53">
        <f>'Baseline System Analysis'!M7</f>
        <v>29</v>
      </c>
      <c r="N7" s="53">
        <f>'Baseline System Analysis'!N7</f>
        <v>29</v>
      </c>
      <c r="O7" s="53">
        <f>'Baseline System Analysis'!O7</f>
        <v>32.666666666666664</v>
      </c>
      <c r="P7" s="53">
        <f>'Baseline System Analysis'!P7</f>
        <v>36.333333333333329</v>
      </c>
      <c r="Q7" s="53">
        <f>'Baseline System Analysis'!Q7</f>
        <v>39.999999999999993</v>
      </c>
      <c r="R7" s="53">
        <f>'Baseline System Analysis'!R7</f>
        <v>43.666666666666657</v>
      </c>
      <c r="S7" s="53">
        <f>'Baseline System Analysis'!S7</f>
        <v>47.333333333333321</v>
      </c>
      <c r="T7" s="53">
        <f>'Baseline System Analysis'!T7</f>
        <v>51</v>
      </c>
      <c r="U7" s="53">
        <f>'Baseline System Analysis'!U7</f>
        <v>56.6</v>
      </c>
      <c r="V7" s="53">
        <f>'Baseline System Analysis'!V7</f>
        <v>62.2</v>
      </c>
      <c r="W7" s="53">
        <f>'Baseline System Analysis'!W7</f>
        <v>67.8</v>
      </c>
      <c r="X7" s="53">
        <f>'Baseline System Analysis'!X7</f>
        <v>73.399999999999991</v>
      </c>
      <c r="Y7" s="53">
        <f>'Baseline System Analysis'!Y7</f>
        <v>79</v>
      </c>
      <c r="Z7" s="53">
        <f>'Baseline System Analysis'!Z7</f>
        <v>82</v>
      </c>
      <c r="AA7" s="53">
        <f>'Baseline System Analysis'!AA7</f>
        <v>85</v>
      </c>
      <c r="AB7" s="53">
        <f>'Baseline System Analysis'!AB7</f>
        <v>88</v>
      </c>
      <c r="AC7" s="53">
        <f>'Baseline System Analysis'!AC7</f>
        <v>91</v>
      </c>
      <c r="AD7" s="53">
        <f>'Baseline System Analysis'!AD7</f>
        <v>94</v>
      </c>
    </row>
    <row r="8" spans="1:30" x14ac:dyDescent="0.35">
      <c r="A8" s="72" t="s">
        <v>39</v>
      </c>
      <c r="B8" s="176"/>
      <c r="C8" s="72" t="s">
        <v>31</v>
      </c>
      <c r="D8" s="53">
        <f>'Baseline System Analysis'!D8</f>
        <v>22.2</v>
      </c>
      <c r="E8" s="53">
        <f>'Baseline System Analysis'!E8</f>
        <v>65.8</v>
      </c>
      <c r="F8" s="53">
        <f>'Baseline System Analysis'!F8</f>
        <v>102.72</v>
      </c>
      <c r="G8" s="53">
        <f>'Baseline System Analysis'!G8</f>
        <v>139.63999999999999</v>
      </c>
      <c r="H8" s="53">
        <f>'Baseline System Analysis'!H8</f>
        <v>176.56</v>
      </c>
      <c r="I8" s="53">
        <f>'Baseline System Analysis'!I8</f>
        <v>213.48000000000002</v>
      </c>
      <c r="J8" s="53">
        <f>'Baseline System Analysis'!J8</f>
        <v>250.4</v>
      </c>
      <c r="K8" s="53">
        <f>'Baseline System Analysis'!K8</f>
        <v>216.60000000000014</v>
      </c>
      <c r="L8" s="53">
        <f>'Baseline System Analysis'!L8</f>
        <v>182.59999999999991</v>
      </c>
      <c r="M8" s="53">
        <f>'Baseline System Analysis'!M8</f>
        <v>151.20000000000005</v>
      </c>
      <c r="N8" s="53">
        <f>'Baseline System Analysis'!N8</f>
        <v>202.60000000000014</v>
      </c>
      <c r="O8" s="53">
        <f>'Baseline System Analysis'!O8</f>
        <v>292.1666666666668</v>
      </c>
      <c r="P8" s="53">
        <f>'Baseline System Analysis'!P8</f>
        <v>381.73333333333346</v>
      </c>
      <c r="Q8" s="53">
        <f>'Baseline System Analysis'!Q8</f>
        <v>471.30000000000013</v>
      </c>
      <c r="R8" s="53">
        <f>'Baseline System Analysis'!R8</f>
        <v>560.86666666666679</v>
      </c>
      <c r="S8" s="53">
        <f>'Baseline System Analysis'!S8</f>
        <v>650.43333333333339</v>
      </c>
      <c r="T8" s="53">
        <f>'Baseline System Analysis'!T8</f>
        <v>740</v>
      </c>
      <c r="U8" s="53">
        <f>'Baseline System Analysis'!U8</f>
        <v>930.87999999999988</v>
      </c>
      <c r="V8" s="53">
        <f>'Baseline System Analysis'!V8</f>
        <v>1121.7599999999998</v>
      </c>
      <c r="W8" s="53">
        <f>'Baseline System Analysis'!W8</f>
        <v>1312.6399999999996</v>
      </c>
      <c r="X8" s="53">
        <f>'Baseline System Analysis'!X8</f>
        <v>1503.5199999999995</v>
      </c>
      <c r="Y8" s="53">
        <f>'Baseline System Analysis'!Y8</f>
        <v>1694.3999999999994</v>
      </c>
      <c r="Z8" s="53">
        <f>'Baseline System Analysis'!Z8</f>
        <v>1887.3999999999994</v>
      </c>
      <c r="AA8" s="53">
        <f>'Baseline System Analysis'!AA8</f>
        <v>2080.3999999999996</v>
      </c>
      <c r="AB8" s="53">
        <f>'Baseline System Analysis'!AB8</f>
        <v>2273.3999999999996</v>
      </c>
      <c r="AC8" s="53">
        <f>'Baseline System Analysis'!AC8</f>
        <v>2466.3999999999996</v>
      </c>
      <c r="AD8" s="53">
        <f>'Baseline System Analysis'!AD8</f>
        <v>2659.3999999999996</v>
      </c>
    </row>
    <row r="9" spans="1:30" x14ac:dyDescent="0.35">
      <c r="A9" s="72" t="s">
        <v>39</v>
      </c>
      <c r="B9" s="176"/>
      <c r="C9" s="72" t="s">
        <v>32</v>
      </c>
      <c r="D9" s="53">
        <f>'Baseline System Analysis'!D9</f>
        <v>13</v>
      </c>
      <c r="E9" s="53">
        <f>'Baseline System Analysis'!E9</f>
        <v>27</v>
      </c>
      <c r="F9" s="53">
        <f>'Baseline System Analysis'!F9</f>
        <v>34.519999999999982</v>
      </c>
      <c r="G9" s="53">
        <f>'Baseline System Analysis'!G9</f>
        <v>42.039999999999964</v>
      </c>
      <c r="H9" s="53">
        <f>'Baseline System Analysis'!H9</f>
        <v>49.559999999999945</v>
      </c>
      <c r="I9" s="53">
        <f>'Baseline System Analysis'!I9</f>
        <v>57.079999999999927</v>
      </c>
      <c r="J9" s="53">
        <f>'Baseline System Analysis'!J9</f>
        <v>64.599999999999909</v>
      </c>
      <c r="K9" s="53">
        <f>'Baseline System Analysis'!K9</f>
        <v>59.799999999999955</v>
      </c>
      <c r="L9" s="53">
        <f>'Baseline System Analysis'!L9</f>
        <v>52.799999999999955</v>
      </c>
      <c r="M9" s="53">
        <f>'Baseline System Analysis'!M9</f>
        <v>46</v>
      </c>
      <c r="N9" s="53">
        <f>'Baseline System Analysis'!N9</f>
        <v>57.400000000000091</v>
      </c>
      <c r="O9" s="53">
        <f>'Baseline System Analysis'!O9</f>
        <v>67.333333333333414</v>
      </c>
      <c r="P9" s="53">
        <f>'Baseline System Analysis'!P9</f>
        <v>77.266666666666737</v>
      </c>
      <c r="Q9" s="53">
        <f>'Baseline System Analysis'!Q9</f>
        <v>87.20000000000006</v>
      </c>
      <c r="R9" s="53">
        <f>'Baseline System Analysis'!R9</f>
        <v>97.133333333333383</v>
      </c>
      <c r="S9" s="53">
        <f>'Baseline System Analysis'!S9</f>
        <v>107.06666666666671</v>
      </c>
      <c r="T9" s="53">
        <f>'Baseline System Analysis'!T9</f>
        <v>117</v>
      </c>
      <c r="U9" s="53">
        <f>'Baseline System Analysis'!U9</f>
        <v>126.6</v>
      </c>
      <c r="V9" s="53">
        <f>'Baseline System Analysis'!V9</f>
        <v>136.19999999999999</v>
      </c>
      <c r="W9" s="53">
        <f>'Baseline System Analysis'!W9</f>
        <v>145.79999999999998</v>
      </c>
      <c r="X9" s="53">
        <f>'Baseline System Analysis'!X9</f>
        <v>155.39999999999998</v>
      </c>
      <c r="Y9" s="53">
        <f>'Baseline System Analysis'!Y9</f>
        <v>165</v>
      </c>
      <c r="Z9" s="53">
        <f>'Baseline System Analysis'!Z9</f>
        <v>171.84</v>
      </c>
      <c r="AA9" s="53">
        <f>'Baseline System Analysis'!AA9</f>
        <v>178.68</v>
      </c>
      <c r="AB9" s="53">
        <f>'Baseline System Analysis'!AB9</f>
        <v>185.52</v>
      </c>
      <c r="AC9" s="53">
        <f>'Baseline System Analysis'!AC9</f>
        <v>192.36</v>
      </c>
      <c r="AD9" s="53">
        <f>'Baseline System Analysis'!AD9</f>
        <v>199.20000000000005</v>
      </c>
    </row>
    <row r="10" spans="1:30" x14ac:dyDescent="0.35">
      <c r="A10" s="72" t="s">
        <v>39</v>
      </c>
      <c r="B10" s="176"/>
      <c r="C10" s="72" t="s">
        <v>33</v>
      </c>
      <c r="D10" s="53">
        <f>'Baseline System Analysis'!D10</f>
        <v>4.7253529883901121E-2</v>
      </c>
      <c r="E10" s="53">
        <f>'Baseline System Analysis'!E10</f>
        <v>0.28011551949195379</v>
      </c>
      <c r="F10" s="53">
        <f>'Baseline System Analysis'!F10</f>
        <v>0.59718244793816533</v>
      </c>
      <c r="G10" s="53">
        <f>'Baseline System Analysis'!G10</f>
        <v>0.91424937638437687</v>
      </c>
      <c r="H10" s="53">
        <f>'Baseline System Analysis'!H10</f>
        <v>1.2313163048305884</v>
      </c>
      <c r="I10" s="53">
        <f>'Baseline System Analysis'!I10</f>
        <v>1.5483832332767999</v>
      </c>
      <c r="J10" s="53">
        <f>'Baseline System Analysis'!J10</f>
        <v>1.8654501617230115</v>
      </c>
      <c r="K10" s="53">
        <f>'Baseline System Analysis'!K10</f>
        <v>1.6136441894137561</v>
      </c>
      <c r="L10" s="53">
        <f>'Baseline System Analysis'!L10</f>
        <v>1.1660127779459895</v>
      </c>
      <c r="M10" s="53">
        <f>'Baseline System Analysis'!M10</f>
        <v>0.80458713045561225</v>
      </c>
      <c r="N10" s="53">
        <f>'Baseline System Analysis'!N10</f>
        <v>0.56680711827214547</v>
      </c>
      <c r="O10" s="53">
        <f>'Baseline System Analysis'!O10</f>
        <v>3.0445179689462347</v>
      </c>
      <c r="P10" s="53">
        <f>'Baseline System Analysis'!P10</f>
        <v>4.5886299372095039</v>
      </c>
      <c r="Q10" s="53">
        <f>'Baseline System Analysis'!Q10</f>
        <v>6.1327419054727734</v>
      </c>
      <c r="R10" s="53">
        <f>'Baseline System Analysis'!R10</f>
        <v>7.676853873736043</v>
      </c>
      <c r="S10" s="53">
        <f>'Baseline System Analysis'!S10</f>
        <v>9.2209658419993126</v>
      </c>
      <c r="T10" s="53">
        <f>'Baseline System Analysis'!T10</f>
        <v>10.765077810262582</v>
      </c>
      <c r="U10" s="53">
        <f>'Baseline System Analysis'!U10</f>
        <v>11.285969377257926</v>
      </c>
      <c r="V10" s="53">
        <f>'Baseline System Analysis'!V10</f>
        <v>11.80686094425327</v>
      </c>
      <c r="W10" s="53">
        <f>'Baseline System Analysis'!W10</f>
        <v>12.327752511248613</v>
      </c>
      <c r="X10" s="53">
        <f>'Baseline System Analysis'!X10</f>
        <v>12.848644078243957</v>
      </c>
      <c r="Y10" s="53">
        <f>'Baseline System Analysis'!Y10</f>
        <v>13.369535645239303</v>
      </c>
      <c r="Z10" s="53">
        <f>'Baseline System Analysis'!Z10</f>
        <v>31.024884631077057</v>
      </c>
      <c r="AA10" s="53">
        <f>'Baseline System Analysis'!AA10</f>
        <v>48.680233616914812</v>
      </c>
      <c r="AB10" s="53">
        <f>'Baseline System Analysis'!AB10</f>
        <v>66.335582602752567</v>
      </c>
      <c r="AC10" s="53">
        <f>'Baseline System Analysis'!AC10</f>
        <v>83.990931588590314</v>
      </c>
      <c r="AD10" s="53">
        <f>'Baseline System Analysis'!AD10</f>
        <v>101.64628057442808</v>
      </c>
    </row>
    <row r="11" spans="1:30" x14ac:dyDescent="0.35">
      <c r="A11" s="72" t="s">
        <v>39</v>
      </c>
      <c r="B11" s="176"/>
      <c r="C11" s="72" t="s">
        <v>34</v>
      </c>
      <c r="D11" s="53">
        <f>'Baseline System Analysis'!D11</f>
        <v>2.3626764941950561E-2</v>
      </c>
      <c r="E11" s="53">
        <f>'Baseline System Analysis'!E11</f>
        <v>7.0028879872988448E-2</v>
      </c>
      <c r="F11" s="53">
        <f>'Baseline System Analysis'!F11</f>
        <v>0.10932167994761965</v>
      </c>
      <c r="G11" s="53">
        <f>'Baseline System Analysis'!G11</f>
        <v>0.14861448002225086</v>
      </c>
      <c r="H11" s="53">
        <f>'Baseline System Analysis'!H11</f>
        <v>0.18790728009688207</v>
      </c>
      <c r="I11" s="53">
        <f>'Baseline System Analysis'!I11</f>
        <v>0.22720008017151327</v>
      </c>
      <c r="J11" s="53">
        <f>'Baseline System Analysis'!J11</f>
        <v>0.26649288024614448</v>
      </c>
      <c r="K11" s="53">
        <f>'Baseline System Analysis'!K11</f>
        <v>0.23052059848767945</v>
      </c>
      <c r="L11" s="53">
        <f>'Baseline System Analysis'!L11</f>
        <v>0.19433546299099821</v>
      </c>
      <c r="M11" s="53">
        <f>'Baseline System Analysis'!M11</f>
        <v>0.16091742609112245</v>
      </c>
      <c r="N11" s="53">
        <f>'Baseline System Analysis'!N11</f>
        <v>4.2212624824281168E-2</v>
      </c>
      <c r="O11" s="53">
        <f>'Baseline System Analysis'!O11</f>
        <v>0.30677545020347896</v>
      </c>
      <c r="P11" s="53">
        <f>'Baseline System Analysis'!P11</f>
        <v>0.39920718602367722</v>
      </c>
      <c r="Q11" s="53">
        <f>'Baseline System Analysis'!Q11</f>
        <v>0.49163892184387548</v>
      </c>
      <c r="R11" s="53">
        <f>'Baseline System Analysis'!R11</f>
        <v>0.58407065766407373</v>
      </c>
      <c r="S11" s="53">
        <f>'Baseline System Analysis'!S11</f>
        <v>0.67650239348427199</v>
      </c>
      <c r="T11" s="53">
        <f>'Baseline System Analysis'!T11</f>
        <v>0.76893412930447014</v>
      </c>
      <c r="U11" s="53">
        <f>'Baseline System Analysis'!U11</f>
        <v>0.69278283231502535</v>
      </c>
      <c r="V11" s="53">
        <f>'Baseline System Analysis'!V11</f>
        <v>0.61663153532558057</v>
      </c>
      <c r="W11" s="53">
        <f>'Baseline System Analysis'!W11</f>
        <v>0.54048023833613579</v>
      </c>
      <c r="X11" s="53">
        <f>'Baseline System Analysis'!X11</f>
        <v>0.464328941346691</v>
      </c>
      <c r="Y11" s="53">
        <f>'Baseline System Analysis'!Y11</f>
        <v>0.38817764435724611</v>
      </c>
      <c r="Z11" s="53">
        <f>'Baseline System Analysis'!Z11</f>
        <v>0.85998146994216484</v>
      </c>
      <c r="AA11" s="53">
        <f>'Baseline System Analysis'!AA11</f>
        <v>1.3317852955270837</v>
      </c>
      <c r="AB11" s="53">
        <f>'Baseline System Analysis'!AB11</f>
        <v>1.8035891211120025</v>
      </c>
      <c r="AC11" s="53">
        <f>'Baseline System Analysis'!AC11</f>
        <v>2.2753929466969214</v>
      </c>
      <c r="AD11" s="53">
        <f>'Baseline System Analysis'!AD11</f>
        <v>2.74719677228184</v>
      </c>
    </row>
    <row r="12" spans="1:30" x14ac:dyDescent="0.35">
      <c r="A12" s="72" t="s">
        <v>39</v>
      </c>
      <c r="B12" s="176"/>
      <c r="C12" s="72" t="s">
        <v>35</v>
      </c>
      <c r="D12" s="53">
        <f>'Baseline System Analysis'!D12</f>
        <v>2</v>
      </c>
      <c r="E12" s="53">
        <f>'Baseline System Analysis'!E12</f>
        <v>4</v>
      </c>
      <c r="F12" s="53">
        <f>'Baseline System Analysis'!F12</f>
        <v>4.5999999999999996</v>
      </c>
      <c r="G12" s="53">
        <f>'Baseline System Analysis'!G12</f>
        <v>5.1999999999999993</v>
      </c>
      <c r="H12" s="53">
        <f>'Baseline System Analysis'!H12</f>
        <v>5.7999999999999989</v>
      </c>
      <c r="I12" s="53">
        <f>'Baseline System Analysis'!I12</f>
        <v>6.3999999999999986</v>
      </c>
      <c r="J12" s="53">
        <f>'Baseline System Analysis'!J12</f>
        <v>7</v>
      </c>
      <c r="K12" s="53">
        <f>'Baseline System Analysis'!K12</f>
        <v>7</v>
      </c>
      <c r="L12" s="53">
        <f>'Baseline System Analysis'!L12</f>
        <v>6</v>
      </c>
      <c r="M12" s="53">
        <f>'Baseline System Analysis'!M12</f>
        <v>5</v>
      </c>
      <c r="N12" s="53">
        <f>'Baseline System Analysis'!N12</f>
        <v>7</v>
      </c>
      <c r="O12" s="53">
        <f>'Baseline System Analysis'!O12</f>
        <v>8.1666666666666661</v>
      </c>
      <c r="P12" s="53">
        <f>'Baseline System Analysis'!P12</f>
        <v>9.3333333333333321</v>
      </c>
      <c r="Q12" s="53">
        <f>'Baseline System Analysis'!Q12</f>
        <v>10.499999999999998</v>
      </c>
      <c r="R12" s="53">
        <f>'Baseline System Analysis'!R12</f>
        <v>11.666666666666664</v>
      </c>
      <c r="S12" s="53">
        <f>'Baseline System Analysis'!S12</f>
        <v>12.83333333333333</v>
      </c>
      <c r="T12" s="53">
        <f>'Baseline System Analysis'!T12</f>
        <v>14</v>
      </c>
      <c r="U12" s="53">
        <f>'Baseline System Analysis'!U12</f>
        <v>17</v>
      </c>
      <c r="V12" s="53">
        <f>'Baseline System Analysis'!V12</f>
        <v>20</v>
      </c>
      <c r="W12" s="53">
        <f>'Baseline System Analysis'!W12</f>
        <v>23</v>
      </c>
      <c r="X12" s="53">
        <f>'Baseline System Analysis'!X12</f>
        <v>26</v>
      </c>
      <c r="Y12" s="53">
        <f>'Baseline System Analysis'!Y12</f>
        <v>29</v>
      </c>
      <c r="Z12" s="53">
        <f>'Baseline System Analysis'!Z12</f>
        <v>30.6</v>
      </c>
      <c r="AA12" s="53">
        <f>'Baseline System Analysis'!AA12</f>
        <v>32.200000000000003</v>
      </c>
      <c r="AB12" s="53">
        <f>'Baseline System Analysis'!AB12</f>
        <v>33.800000000000004</v>
      </c>
      <c r="AC12" s="53">
        <f>'Baseline System Analysis'!AC12</f>
        <v>35.400000000000006</v>
      </c>
      <c r="AD12" s="53">
        <f>'Baseline System Analysis'!AD12</f>
        <v>37</v>
      </c>
    </row>
    <row r="13" spans="1:30" s="52" customFormat="1" x14ac:dyDescent="0.35">
      <c r="A13" s="72" t="s">
        <v>30</v>
      </c>
      <c r="B13" s="176"/>
      <c r="C13" s="72" t="s">
        <v>108</v>
      </c>
      <c r="D13" s="53">
        <f>'Baseline System Analysis'!D13</f>
        <v>5445.825674993449</v>
      </c>
      <c r="E13" s="53">
        <f>'Baseline System Analysis'!E13</f>
        <v>7241.293555071361</v>
      </c>
      <c r="F13" s="53">
        <f>'Baseline System Analysis'!F13</f>
        <v>9036.7614351492721</v>
      </c>
      <c r="G13" s="53">
        <f>'Baseline System Analysis'!G13</f>
        <v>10832.229315227183</v>
      </c>
      <c r="H13" s="53">
        <f>'Baseline System Analysis'!H13</f>
        <v>12627.697195305094</v>
      </c>
      <c r="I13" s="53">
        <f>'Baseline System Analysis'!I13</f>
        <v>14423.165075383005</v>
      </c>
      <c r="J13" s="53">
        <f>'Baseline System Analysis'!J13</f>
        <v>16218.632955460916</v>
      </c>
      <c r="K13" s="53">
        <f>'Baseline System Analysis'!K13</f>
        <v>15620.143662101613</v>
      </c>
      <c r="L13" s="53">
        <f>'Baseline System Analysis'!L13</f>
        <v>15021.654368742309</v>
      </c>
      <c r="M13" s="53">
        <f>'Baseline System Analysis'!M13</f>
        <v>13525.43113534405</v>
      </c>
      <c r="N13" s="53">
        <f>'Baseline System Analysis'!N13</f>
        <v>14423.165075383005</v>
      </c>
      <c r="O13" s="53">
        <f>'Baseline System Analysis'!O13</f>
        <v>16913.232955460899</v>
      </c>
      <c r="P13" s="53">
        <f>'Baseline System Analysis'!P13</f>
        <v>17831.369243247562</v>
      </c>
      <c r="Q13" s="53">
        <f>'Baseline System Analysis'!Q13</f>
        <v>18749.505531034225</v>
      </c>
      <c r="R13" s="53">
        <f>'Baseline System Analysis'!R13</f>
        <v>19667.641818820888</v>
      </c>
      <c r="S13" s="53">
        <f>'Baseline System Analysis'!S13</f>
        <v>20585.778106607551</v>
      </c>
      <c r="T13" s="53">
        <f>'Baseline System Analysis'!T13</f>
        <v>21503.914394394214</v>
      </c>
      <c r="U13" s="53">
        <f>'Baseline System Analysis'!U13</f>
        <v>22422.050682180878</v>
      </c>
      <c r="V13" s="53">
        <f>'Baseline System Analysis'!V13</f>
        <v>23340.186969967541</v>
      </c>
      <c r="W13" s="53">
        <f>'Baseline System Analysis'!W13</f>
        <v>24258.323257754204</v>
      </c>
      <c r="X13" s="53">
        <f>'Baseline System Analysis'!X13</f>
        <v>25176.459545540867</v>
      </c>
      <c r="Y13" s="53">
        <f>'Baseline System Analysis'!Y13</f>
        <v>26094.59583332753</v>
      </c>
      <c r="Z13" s="53">
        <f>'Baseline System Analysis'!Z13</f>
        <v>27012.732121114193</v>
      </c>
      <c r="AA13" s="53">
        <f>'Baseline System Analysis'!AA13</f>
        <v>27930.868408900857</v>
      </c>
      <c r="AB13" s="53">
        <f>'Baseline System Analysis'!AB13</f>
        <v>28849.00469668752</v>
      </c>
      <c r="AC13" s="53">
        <f>'Baseline System Analysis'!AC13</f>
        <v>29767.140984474183</v>
      </c>
      <c r="AD13" s="53">
        <f>'Baseline System Analysis'!AD13</f>
        <v>30685.277272260842</v>
      </c>
    </row>
    <row r="14" spans="1:30" s="52" customFormat="1" x14ac:dyDescent="0.35">
      <c r="A14" s="72" t="s">
        <v>30</v>
      </c>
      <c r="B14" s="176"/>
      <c r="C14" s="72" t="s">
        <v>109</v>
      </c>
      <c r="D14" s="53">
        <f>'Baseline System Analysis'!D14</f>
        <v>192864.66620394157</v>
      </c>
      <c r="E14" s="53">
        <f>'Baseline System Analysis'!E14</f>
        <v>195239.2419650236</v>
      </c>
      <c r="F14" s="53">
        <f>'Baseline System Analysis'!F14</f>
        <v>196366.76544203321</v>
      </c>
      <c r="G14" s="53">
        <f>'Baseline System Analysis'!G14</f>
        <v>197525.37556068008</v>
      </c>
      <c r="H14" s="53">
        <f>'Baseline System Analysis'!H14</f>
        <v>198743.92387830256</v>
      </c>
      <c r="I14" s="53">
        <f>'Baseline System Analysis'!I14</f>
        <v>200140.93841202525</v>
      </c>
      <c r="J14" s="53">
        <f>'Baseline System Analysis'!J14</f>
        <v>201537.7102617296</v>
      </c>
      <c r="K14" s="53">
        <f>'Baseline System Analysis'!K14</f>
        <v>200616.89493678272</v>
      </c>
      <c r="L14" s="53">
        <f>'Baseline System Analysis'!L14</f>
        <v>199696.14928779242</v>
      </c>
      <c r="M14" s="53">
        <f>'Baseline System Analysis'!M14</f>
        <v>198775.23322502323</v>
      </c>
      <c r="N14" s="53">
        <f>'Baseline System Analysis'!N14</f>
        <v>200250.33489773443</v>
      </c>
      <c r="O14" s="53">
        <f>'Baseline System Analysis'!O14</f>
        <v>201766.1654636735</v>
      </c>
      <c r="P14" s="53">
        <f>'Baseline System Analysis'!P14</f>
        <v>203325.96278464468</v>
      </c>
      <c r="Q14" s="53">
        <f>'Baseline System Analysis'!Q14</f>
        <v>204856.96017693213</v>
      </c>
      <c r="R14" s="53">
        <f>'Baseline System Analysis'!R14</f>
        <v>206421.18825616254</v>
      </c>
      <c r="S14" s="53">
        <f>'Baseline System Analysis'!S14</f>
        <v>208013.70502273936</v>
      </c>
      <c r="T14" s="53">
        <f>'Baseline System Analysis'!T14</f>
        <v>209643.37199318074</v>
      </c>
      <c r="U14" s="53">
        <f>'Baseline System Analysis'!U14</f>
        <v>211125.2902170599</v>
      </c>
      <c r="V14" s="53">
        <f>'Baseline System Analysis'!V14</f>
        <v>212613.854578328</v>
      </c>
      <c r="W14" s="53">
        <f>'Baseline System Analysis'!W14</f>
        <v>214101.90769825791</v>
      </c>
      <c r="X14" s="53">
        <f>'Baseline System Analysis'!X14</f>
        <v>215599.50398982322</v>
      </c>
      <c r="Y14" s="53">
        <f>'Baseline System Analysis'!Y14</f>
        <v>216849.14823265999</v>
      </c>
      <c r="Z14" s="53">
        <f>'Baseline System Analysis'!Z14</f>
        <v>218069.3108916957</v>
      </c>
      <c r="AA14" s="53">
        <f>'Baseline System Analysis'!AA14</f>
        <v>219248.74465750376</v>
      </c>
      <c r="AB14" s="53">
        <f>'Baseline System Analysis'!AB14</f>
        <v>220395.79980526475</v>
      </c>
      <c r="AC14" s="53">
        <f>'Baseline System Analysis'!AC14</f>
        <v>221214.46760051764</v>
      </c>
      <c r="AD14" s="53">
        <f>'Baseline System Analysis'!AD14</f>
        <v>221946.05395460132</v>
      </c>
    </row>
    <row r="15" spans="1:30" s="52" customFormat="1" x14ac:dyDescent="0.35">
      <c r="A15" s="72" t="s">
        <v>30</v>
      </c>
      <c r="B15" s="176"/>
      <c r="C15" s="72" t="s">
        <v>110</v>
      </c>
      <c r="D15" s="53">
        <f>'Baseline System Analysis'!D15</f>
        <v>57814.1637958055</v>
      </c>
      <c r="E15" s="53">
        <f>'Baseline System Analysis'!E15</f>
        <v>62191.746894023359</v>
      </c>
      <c r="F15" s="53">
        <f>'Baseline System Analysis'!F15</f>
        <v>64361.105239567863</v>
      </c>
      <c r="G15" s="53">
        <f>'Baseline System Analysis'!G15</f>
        <v>66628.501001105484</v>
      </c>
      <c r="H15" s="53">
        <f>'Baseline System Analysis'!H15</f>
        <v>69068.22672153436</v>
      </c>
      <c r="I15" s="53">
        <f>'Baseline System Analysis'!I15</f>
        <v>71918.961016641551</v>
      </c>
      <c r="J15" s="53">
        <f>'Baseline System Analysis'!J15</f>
        <v>74820.679205256296</v>
      </c>
      <c r="K15" s="53">
        <f>'Baseline System Analysis'!K15</f>
        <v>72899.28225345345</v>
      </c>
      <c r="L15" s="53">
        <f>'Baseline System Analysis'!L15</f>
        <v>71006.352594376862</v>
      </c>
      <c r="M15" s="53">
        <f>'Baseline System Analysis'!M15</f>
        <v>69131.616141376318</v>
      </c>
      <c r="N15" s="53">
        <f>'Baseline System Analysis'!N15</f>
        <v>72143.764963991809</v>
      </c>
      <c r="O15" s="53">
        <f>'Baseline System Analysis'!O15</f>
        <v>75301.925896232133</v>
      </c>
      <c r="P15" s="53">
        <f>'Baseline System Analysis'!P15</f>
        <v>78629.627518656707</v>
      </c>
      <c r="Q15" s="53">
        <f>'Baseline System Analysis'!Q15</f>
        <v>81951.057574073071</v>
      </c>
      <c r="R15" s="53">
        <f>'Baseline System Analysis'!R15</f>
        <v>85383.424638269789</v>
      </c>
      <c r="S15" s="53">
        <f>'Baseline System Analysis'!S15</f>
        <v>88945.971119594135</v>
      </c>
      <c r="T15" s="53">
        <f>'Baseline System Analysis'!T15</f>
        <v>92676.895920951385</v>
      </c>
      <c r="U15" s="53">
        <f>'Baseline System Analysis'!U15</f>
        <v>96145.729908431153</v>
      </c>
      <c r="V15" s="53">
        <f>'Baseline System Analysis'!V15</f>
        <v>99700.858162341799</v>
      </c>
      <c r="W15" s="53">
        <f>'Baseline System Analysis'!W15</f>
        <v>103340.20977892888</v>
      </c>
      <c r="X15" s="53">
        <f>'Baseline System Analysis'!X15</f>
        <v>107065.51818072386</v>
      </c>
      <c r="Y15" s="53">
        <f>'Baseline System Analysis'!Y15</f>
        <v>110237.64392344528</v>
      </c>
      <c r="Z15" s="53">
        <f>'Baseline System Analysis'!Z15</f>
        <v>113355.67104643886</v>
      </c>
      <c r="AA15" s="53">
        <f>'Baseline System Analysis'!AA15</f>
        <v>116394.79841235251</v>
      </c>
      <c r="AB15" s="53">
        <f>'Baseline System Analysis'!AB15</f>
        <v>119393.94598127359</v>
      </c>
      <c r="AC15" s="53">
        <f>'Baseline System Analysis'!AC15</f>
        <v>121552.79504833522</v>
      </c>
      <c r="AD15" s="53">
        <f>'Baseline System Analysis'!AD15</f>
        <v>123501.36707164065</v>
      </c>
    </row>
    <row r="16" spans="1:30" s="52" customFormat="1" x14ac:dyDescent="0.35">
      <c r="A16" s="72"/>
      <c r="B16" s="72"/>
      <c r="C16" s="72"/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3"/>
      <c r="R16" s="53"/>
      <c r="S16" s="53"/>
      <c r="T16" s="53"/>
      <c r="U16" s="53"/>
      <c r="V16" s="53"/>
      <c r="W16" s="53"/>
      <c r="X16" s="53"/>
      <c r="Y16" s="53"/>
      <c r="Z16" s="53"/>
      <c r="AA16" s="53"/>
      <c r="AB16" s="53"/>
      <c r="AC16" s="53"/>
      <c r="AD16" s="53"/>
    </row>
    <row r="17" spans="1:30" ht="20" thickBot="1" x14ac:dyDescent="0.5">
      <c r="A17" s="113"/>
      <c r="B17" s="122"/>
      <c r="C17" s="113" t="s">
        <v>105</v>
      </c>
      <c r="D17" s="113">
        <v>2022</v>
      </c>
      <c r="E17" s="113">
        <v>2023</v>
      </c>
      <c r="F17" s="113">
        <v>2024</v>
      </c>
      <c r="G17" s="113">
        <v>2025</v>
      </c>
      <c r="H17" s="113">
        <v>2026</v>
      </c>
      <c r="I17" s="113">
        <v>2027</v>
      </c>
      <c r="J17" s="113">
        <v>2028</v>
      </c>
      <c r="K17" s="113">
        <v>2029</v>
      </c>
      <c r="L17" s="113">
        <v>2030</v>
      </c>
      <c r="M17" s="113">
        <v>2031</v>
      </c>
      <c r="N17" s="113">
        <v>2032</v>
      </c>
      <c r="O17" s="113">
        <v>2033</v>
      </c>
      <c r="P17" s="113">
        <v>2034</v>
      </c>
      <c r="Q17" s="113">
        <v>2035</v>
      </c>
      <c r="R17" s="113">
        <v>2036</v>
      </c>
      <c r="S17" s="113">
        <v>2037</v>
      </c>
      <c r="T17" s="113">
        <v>2038</v>
      </c>
      <c r="U17" s="113">
        <v>2039</v>
      </c>
      <c r="V17" s="113">
        <v>2040</v>
      </c>
      <c r="W17" s="113">
        <v>2041</v>
      </c>
      <c r="X17" s="113">
        <v>2042</v>
      </c>
      <c r="Y17" s="113">
        <v>2043</v>
      </c>
      <c r="Z17" s="113">
        <v>2044</v>
      </c>
      <c r="AA17" s="113">
        <v>2045</v>
      </c>
      <c r="AB17" s="113">
        <v>2046</v>
      </c>
      <c r="AC17" s="113">
        <v>2047</v>
      </c>
      <c r="AD17" s="113">
        <v>2048</v>
      </c>
    </row>
    <row r="18" spans="1:30" ht="49.75" customHeight="1" thickTop="1" x14ac:dyDescent="0.35">
      <c r="A18" s="72"/>
      <c r="B18" s="179" t="s">
        <v>12</v>
      </c>
      <c r="C18" s="72" t="s">
        <v>107</v>
      </c>
      <c r="D18" s="53">
        <v>49328.200000000405</v>
      </c>
      <c r="E18" s="4">
        <v>49736.291346154219</v>
      </c>
      <c r="F18" s="4">
        <v>50144.382692308034</v>
      </c>
      <c r="G18" s="4">
        <v>50552.474038461849</v>
      </c>
      <c r="H18" s="4">
        <v>50960.565384615664</v>
      </c>
      <c r="I18" s="4">
        <v>51368.656730769479</v>
      </c>
      <c r="J18" s="4">
        <v>51776.748076923293</v>
      </c>
      <c r="K18" s="4">
        <v>51088.999999999942</v>
      </c>
      <c r="L18" s="4">
        <v>50877.450000000033</v>
      </c>
      <c r="M18" s="4">
        <v>50664.200000000375</v>
      </c>
      <c r="N18" s="4">
        <v>51004.824999999888</v>
      </c>
      <c r="O18" s="53">
        <v>51341.95156249986</v>
      </c>
      <c r="P18" s="53">
        <v>51679.078124999833</v>
      </c>
      <c r="Q18" s="53">
        <v>52016.204687499805</v>
      </c>
      <c r="R18" s="53">
        <v>52353.331249999777</v>
      </c>
      <c r="S18" s="53">
        <v>52690.45781249975</v>
      </c>
      <c r="T18" s="53">
        <v>53027.584374999722</v>
      </c>
      <c r="U18" s="53">
        <v>53364.710937499694</v>
      </c>
      <c r="V18" s="53">
        <v>53701.837499999667</v>
      </c>
      <c r="W18" s="53">
        <v>54038.964062499639</v>
      </c>
      <c r="X18" s="53">
        <v>54376.090624999611</v>
      </c>
      <c r="Y18" s="53">
        <v>54713.217187499584</v>
      </c>
      <c r="Z18" s="53">
        <v>55050.343749999556</v>
      </c>
      <c r="AA18" s="53">
        <v>55387.470312499529</v>
      </c>
      <c r="AB18" s="53">
        <v>55724.596874999501</v>
      </c>
      <c r="AC18" s="53">
        <v>56061.723437499473</v>
      </c>
      <c r="AD18" s="53">
        <v>56398.849999999438</v>
      </c>
    </row>
    <row r="19" spans="1:30" x14ac:dyDescent="0.35">
      <c r="A19" s="72" t="s">
        <v>30</v>
      </c>
      <c r="B19" s="180"/>
      <c r="C19" s="72" t="s">
        <v>31</v>
      </c>
      <c r="D19" s="53">
        <v>5.7999999999999829</v>
      </c>
      <c r="E19" s="53">
        <v>14.48333333333332</v>
      </c>
      <c r="F19" s="53">
        <v>23.166666666666657</v>
      </c>
      <c r="G19" s="53">
        <v>31.849999999999994</v>
      </c>
      <c r="H19" s="53">
        <v>40.533333333333331</v>
      </c>
      <c r="I19" s="53">
        <v>49.216666666666669</v>
      </c>
      <c r="J19" s="53">
        <v>57.900000000000006</v>
      </c>
      <c r="K19" s="53">
        <v>52.5</v>
      </c>
      <c r="L19" s="53">
        <v>44.099999999999966</v>
      </c>
      <c r="M19" s="53">
        <v>35.900000000000006</v>
      </c>
      <c r="N19" s="53">
        <v>48.499999999999972</v>
      </c>
      <c r="O19" s="53">
        <v>61.10000000000008</v>
      </c>
      <c r="P19" s="53">
        <v>82.380000000000067</v>
      </c>
      <c r="Q19" s="53">
        <v>103.66000000000005</v>
      </c>
      <c r="R19" s="53">
        <v>124.94000000000004</v>
      </c>
      <c r="S19" s="53">
        <v>146.22000000000003</v>
      </c>
      <c r="T19" s="53">
        <v>167.5</v>
      </c>
      <c r="U19" s="53">
        <v>220.02</v>
      </c>
      <c r="V19" s="53">
        <v>272.54000000000002</v>
      </c>
      <c r="W19" s="53">
        <v>325.06</v>
      </c>
      <c r="X19" s="53">
        <v>377.58</v>
      </c>
      <c r="Y19" s="53">
        <v>430.1</v>
      </c>
      <c r="Z19" s="53">
        <v>490.70000000000005</v>
      </c>
      <c r="AA19" s="53">
        <v>551.30000000000007</v>
      </c>
      <c r="AB19" s="53">
        <v>611.90000000000009</v>
      </c>
      <c r="AC19" s="53">
        <v>672.50000000000011</v>
      </c>
      <c r="AD19" s="53">
        <v>733.1</v>
      </c>
    </row>
    <row r="20" spans="1:30" x14ac:dyDescent="0.35">
      <c r="A20" s="72" t="s">
        <v>30</v>
      </c>
      <c r="B20" s="180"/>
      <c r="C20" s="72" t="s">
        <v>32</v>
      </c>
      <c r="D20" s="53">
        <v>3</v>
      </c>
      <c r="E20" s="53">
        <v>4.916666666666667</v>
      </c>
      <c r="F20" s="53">
        <v>6.8333333333333339</v>
      </c>
      <c r="G20" s="53">
        <v>8.75</v>
      </c>
      <c r="H20" s="53">
        <v>10.666666666666666</v>
      </c>
      <c r="I20" s="53">
        <v>12.583333333333332</v>
      </c>
      <c r="J20" s="53">
        <v>14.5</v>
      </c>
      <c r="K20" s="53">
        <v>13.5</v>
      </c>
      <c r="L20" s="53">
        <v>11.800000000000011</v>
      </c>
      <c r="M20" s="53">
        <v>10.100000000000023</v>
      </c>
      <c r="N20" s="53">
        <v>12.899999999999977</v>
      </c>
      <c r="O20" s="53">
        <v>15.100000000000023</v>
      </c>
      <c r="P20" s="53">
        <v>17.260000000000012</v>
      </c>
      <c r="Q20" s="53">
        <v>19.420000000000002</v>
      </c>
      <c r="R20" s="53">
        <v>21.579999999999991</v>
      </c>
      <c r="S20" s="53">
        <v>23.739999999999981</v>
      </c>
      <c r="T20" s="53">
        <v>25.899999999999977</v>
      </c>
      <c r="U20" s="53">
        <v>27.819999999999983</v>
      </c>
      <c r="V20" s="53">
        <v>29.739999999999988</v>
      </c>
      <c r="W20" s="53">
        <v>31.659999999999993</v>
      </c>
      <c r="X20" s="53">
        <v>33.58</v>
      </c>
      <c r="Y20" s="53">
        <v>35.5</v>
      </c>
      <c r="Z20" s="53">
        <v>36.58</v>
      </c>
      <c r="AA20" s="53">
        <v>37.659999999999997</v>
      </c>
      <c r="AB20" s="53">
        <v>38.739999999999995</v>
      </c>
      <c r="AC20" s="53">
        <v>39.819999999999993</v>
      </c>
      <c r="AD20" s="53">
        <v>40.899999999999977</v>
      </c>
    </row>
    <row r="21" spans="1:30" x14ac:dyDescent="0.35">
      <c r="A21" s="72" t="s">
        <v>30</v>
      </c>
      <c r="B21" s="180"/>
      <c r="C21" s="72" t="s">
        <v>33</v>
      </c>
      <c r="D21" s="53">
        <v>1.589413014335395E-2</v>
      </c>
      <c r="E21" s="53">
        <v>8.3763892766986259E-2</v>
      </c>
      <c r="F21" s="53">
        <v>0.15163365539061857</v>
      </c>
      <c r="G21" s="53">
        <v>0.21950341801425088</v>
      </c>
      <c r="H21" s="53">
        <v>0.2873731806378832</v>
      </c>
      <c r="I21" s="53">
        <v>0.35524294326151551</v>
      </c>
      <c r="J21" s="53">
        <v>0.42311270588514782</v>
      </c>
      <c r="K21" s="53">
        <v>0.33569499009670084</v>
      </c>
      <c r="L21" s="53">
        <v>0.28198379168122845</v>
      </c>
      <c r="M21" s="53">
        <v>0.19675836970565813</v>
      </c>
      <c r="N21" s="53">
        <v>0.31011822894647584</v>
      </c>
      <c r="O21" s="53">
        <v>0.44649717322249682</v>
      </c>
      <c r="P21" s="53">
        <v>0.87624427563870033</v>
      </c>
      <c r="Q21" s="53">
        <v>1.305991378054904</v>
      </c>
      <c r="R21" s="53">
        <v>1.7357384804711073</v>
      </c>
      <c r="S21" s="53">
        <v>2.1654855828873107</v>
      </c>
      <c r="T21" s="53">
        <v>2.5952326853035141</v>
      </c>
      <c r="U21" s="53">
        <v>4.3787527413114233</v>
      </c>
      <c r="V21" s="53">
        <v>6.162272797319333</v>
      </c>
      <c r="W21" s="53">
        <v>7.9457928533272426</v>
      </c>
      <c r="X21" s="53">
        <v>9.7293129093351514</v>
      </c>
      <c r="Y21" s="53">
        <v>11.512832965343062</v>
      </c>
      <c r="Z21" s="53">
        <v>14.811529356203364</v>
      </c>
      <c r="AA21" s="53">
        <v>18.110225747063666</v>
      </c>
      <c r="AB21" s="53">
        <v>21.408922137923966</v>
      </c>
      <c r="AC21" s="53">
        <v>24.707618528784266</v>
      </c>
      <c r="AD21" s="53">
        <v>28.00631491964457</v>
      </c>
    </row>
    <row r="22" spans="1:30" x14ac:dyDescent="0.35">
      <c r="A22" s="72" t="s">
        <v>30</v>
      </c>
      <c r="B22" s="180"/>
      <c r="C22" s="72" t="s">
        <v>34</v>
      </c>
      <c r="D22" s="53">
        <v>5.2980433811179832E-3</v>
      </c>
      <c r="E22" s="53">
        <v>1.3229884190205566E-2</v>
      </c>
      <c r="F22" s="53">
        <v>2.1161724999293148E-2</v>
      </c>
      <c r="G22" s="53">
        <v>2.9093565808380732E-2</v>
      </c>
      <c r="H22" s="53">
        <v>3.7025406617468316E-2</v>
      </c>
      <c r="I22" s="53">
        <v>4.4957247426555901E-2</v>
      </c>
      <c r="J22" s="53">
        <v>5.2889088235643478E-2</v>
      </c>
      <c r="K22" s="53">
        <v>4.7956427156671547E-2</v>
      </c>
      <c r="L22" s="53">
        <v>4.0283398811604067E-2</v>
      </c>
      <c r="M22" s="53">
        <v>3.2793061617609691E-2</v>
      </c>
      <c r="N22" s="53">
        <v>4.4302604135210831E-2</v>
      </c>
      <c r="O22" s="53">
        <v>5.5812146652812103E-2</v>
      </c>
      <c r="P22" s="53">
        <v>7.5253192874087688E-2</v>
      </c>
      <c r="Q22" s="53">
        <v>9.4694239095363286E-2</v>
      </c>
      <c r="R22" s="53">
        <v>0.11413528531663888</v>
      </c>
      <c r="S22" s="53">
        <v>0.13357633153791448</v>
      </c>
      <c r="T22" s="53">
        <v>0.15301737775919005</v>
      </c>
      <c r="U22" s="53">
        <v>0.20155147472899532</v>
      </c>
      <c r="V22" s="53">
        <v>0.25008557169880058</v>
      </c>
      <c r="W22" s="53">
        <v>0.29861966866860584</v>
      </c>
      <c r="X22" s="53">
        <v>0.3471537656384111</v>
      </c>
      <c r="Y22" s="53">
        <v>0.39568786260821631</v>
      </c>
      <c r="Z22" s="53">
        <v>0.45221430727952383</v>
      </c>
      <c r="AA22" s="53">
        <v>0.50874075195083135</v>
      </c>
      <c r="AB22" s="53">
        <v>0.56526719662213887</v>
      </c>
      <c r="AC22" s="53">
        <v>0.62179364129344639</v>
      </c>
      <c r="AD22" s="53">
        <v>0.67832008596475402</v>
      </c>
    </row>
    <row r="23" spans="1:30" ht="13.9" customHeight="1" x14ac:dyDescent="0.35">
      <c r="A23" s="72" t="s">
        <v>30</v>
      </c>
      <c r="B23" s="180"/>
      <c r="C23" s="72" t="s">
        <v>35</v>
      </c>
      <c r="D23" s="53">
        <v>3</v>
      </c>
      <c r="E23" s="53">
        <v>3.8333333333333335</v>
      </c>
      <c r="F23" s="53">
        <v>4.666666666666667</v>
      </c>
      <c r="G23" s="53">
        <v>5.5</v>
      </c>
      <c r="H23" s="53">
        <v>6.333333333333333</v>
      </c>
      <c r="I23" s="53">
        <v>7.1666666666666661</v>
      </c>
      <c r="J23" s="53">
        <v>8</v>
      </c>
      <c r="K23" s="53">
        <v>7</v>
      </c>
      <c r="L23" s="53">
        <v>6.9999999999999991</v>
      </c>
      <c r="M23" s="53">
        <v>6</v>
      </c>
      <c r="N23" s="53">
        <v>7</v>
      </c>
      <c r="O23" s="53">
        <v>8</v>
      </c>
      <c r="P23" s="53">
        <v>9.8000000000000007</v>
      </c>
      <c r="Q23" s="53">
        <v>11.600000000000001</v>
      </c>
      <c r="R23" s="53">
        <v>13.400000000000002</v>
      </c>
      <c r="S23" s="53">
        <v>15.200000000000003</v>
      </c>
      <c r="T23" s="53">
        <v>17</v>
      </c>
      <c r="U23" s="53">
        <v>19.600000000000001</v>
      </c>
      <c r="V23" s="53">
        <v>22.200000000000003</v>
      </c>
      <c r="W23" s="53">
        <v>24.800000000000004</v>
      </c>
      <c r="X23" s="53">
        <v>27.400000000000006</v>
      </c>
      <c r="Y23" s="53">
        <v>30</v>
      </c>
      <c r="Z23" s="53">
        <v>32.799999999999997</v>
      </c>
      <c r="AA23" s="53">
        <v>35.599999999999994</v>
      </c>
      <c r="AB23" s="53">
        <v>38.399999999999991</v>
      </c>
      <c r="AC23" s="53">
        <v>41.199999999999989</v>
      </c>
      <c r="AD23" s="53">
        <v>44</v>
      </c>
    </row>
    <row r="24" spans="1:30" x14ac:dyDescent="0.35">
      <c r="A24" s="72" t="s">
        <v>30</v>
      </c>
      <c r="B24" s="180"/>
      <c r="C24" s="72" t="s">
        <v>108</v>
      </c>
      <c r="D24" s="53">
        <v>3808.3606649666053</v>
      </c>
      <c r="E24" s="53">
        <v>5063.9625989576198</v>
      </c>
      <c r="F24" s="53">
        <v>6319.5645329486342</v>
      </c>
      <c r="G24" s="53">
        <v>7575.1664669396487</v>
      </c>
      <c r="H24" s="53">
        <v>8830.7684009306613</v>
      </c>
      <c r="I24" s="53">
        <v>10086.370334921676</v>
      </c>
      <c r="J24" s="53">
        <v>11341.97226891269</v>
      </c>
      <c r="K24" s="53">
        <v>10868.455604166578</v>
      </c>
      <c r="L24" s="53">
        <v>10394.938939420466</v>
      </c>
      <c r="M24" s="53">
        <v>9921.4222746743526</v>
      </c>
      <c r="N24" s="53">
        <v>10158.180607047409</v>
      </c>
      <c r="O24" s="53">
        <v>11732.447696763189</v>
      </c>
      <c r="P24" s="53">
        <v>12452.819245108331</v>
      </c>
      <c r="Q24" s="53">
        <v>13173.190793453474</v>
      </c>
      <c r="R24" s="53">
        <v>13893.562341798617</v>
      </c>
      <c r="S24" s="53">
        <v>14613.933890143759</v>
      </c>
      <c r="T24" s="53">
        <v>15334.3054384889</v>
      </c>
      <c r="U24" s="53">
        <v>16054.676986834043</v>
      </c>
      <c r="V24" s="53">
        <v>16775.048535179187</v>
      </c>
      <c r="W24" s="53">
        <v>17495.420083524328</v>
      </c>
      <c r="X24" s="53">
        <v>18215.79163186947</v>
      </c>
      <c r="Y24" s="53">
        <v>18936.163180214615</v>
      </c>
      <c r="Z24" s="53">
        <v>19656.534728559756</v>
      </c>
      <c r="AA24" s="53">
        <v>20376.906276904898</v>
      </c>
      <c r="AB24" s="53">
        <v>21097.277825250039</v>
      </c>
      <c r="AC24" s="53">
        <v>21817.649373595181</v>
      </c>
      <c r="AD24" s="53">
        <v>22538.02092194033</v>
      </c>
    </row>
    <row r="25" spans="1:30" x14ac:dyDescent="0.35">
      <c r="A25" s="72" t="s">
        <v>30</v>
      </c>
      <c r="B25" s="180"/>
      <c r="C25" s="72" t="s">
        <v>109</v>
      </c>
      <c r="D25" s="53">
        <v>192864.66620394157</v>
      </c>
      <c r="E25" s="53">
        <v>195239.2419650236</v>
      </c>
      <c r="F25" s="53">
        <v>196366.76544203321</v>
      </c>
      <c r="G25" s="53">
        <v>197525.37556068008</v>
      </c>
      <c r="H25" s="53">
        <v>198743.92387830256</v>
      </c>
      <c r="I25" s="53">
        <v>200140.93841202525</v>
      </c>
      <c r="J25" s="53">
        <v>201537.7102617296</v>
      </c>
      <c r="K25" s="53">
        <v>200616.89493678272</v>
      </c>
      <c r="L25" s="53">
        <v>199696.14928779242</v>
      </c>
      <c r="M25" s="53">
        <v>198775.23322502323</v>
      </c>
      <c r="N25" s="53">
        <v>200250.33489773443</v>
      </c>
      <c r="O25" s="53">
        <v>201766.1654636735</v>
      </c>
      <c r="P25" s="53">
        <v>203325.96278464468</v>
      </c>
      <c r="Q25" s="53">
        <v>204856.96017693213</v>
      </c>
      <c r="R25" s="53">
        <v>206421.18825616254</v>
      </c>
      <c r="S25" s="53">
        <v>208013.70502273936</v>
      </c>
      <c r="T25" s="53">
        <v>209643.37199318074</v>
      </c>
      <c r="U25" s="53">
        <v>211125.2902170599</v>
      </c>
      <c r="V25" s="53">
        <v>212613.854578328</v>
      </c>
      <c r="W25" s="53">
        <v>214101.90769825791</v>
      </c>
      <c r="X25" s="53">
        <v>215599.50398982322</v>
      </c>
      <c r="Y25" s="53">
        <v>216849.14823265999</v>
      </c>
      <c r="Z25" s="53">
        <v>218069.3108916957</v>
      </c>
      <c r="AA25" s="53">
        <v>219248.74465750376</v>
      </c>
      <c r="AB25" s="53">
        <v>220395.79980526475</v>
      </c>
      <c r="AC25" s="53">
        <v>221214.46760051764</v>
      </c>
      <c r="AD25" s="53">
        <v>221946.05395460132</v>
      </c>
    </row>
    <row r="26" spans="1:30" s="66" customFormat="1" x14ac:dyDescent="0.35">
      <c r="A26" s="72" t="s">
        <v>30</v>
      </c>
      <c r="B26" s="180"/>
      <c r="C26" s="72" t="s">
        <v>110</v>
      </c>
      <c r="D26" s="53">
        <v>15863.846476217259</v>
      </c>
      <c r="E26" s="53">
        <v>17648.293767042403</v>
      </c>
      <c r="F26" s="53">
        <v>18532.244523148096</v>
      </c>
      <c r="G26" s="53">
        <v>19475.148233995918</v>
      </c>
      <c r="H26" s="53">
        <v>20493.678762344603</v>
      </c>
      <c r="I26" s="53">
        <v>21703.196239143919</v>
      </c>
      <c r="J26" s="53">
        <v>22945.987241384046</v>
      </c>
      <c r="K26" s="53">
        <v>22121.167384204149</v>
      </c>
      <c r="L26" s="53">
        <v>21313.216847513409</v>
      </c>
      <c r="M26" s="53">
        <v>20520.343055199748</v>
      </c>
      <c r="N26" s="53">
        <v>21799.181944671545</v>
      </c>
      <c r="O26" s="53">
        <v>23155.160797144639</v>
      </c>
      <c r="P26" s="53">
        <v>24606.212858334246</v>
      </c>
      <c r="Q26" s="53">
        <v>26062.534655766136</v>
      </c>
      <c r="R26" s="53">
        <v>27614.352629039277</v>
      </c>
      <c r="S26" s="53">
        <v>29256.497034562006</v>
      </c>
      <c r="T26" s="53">
        <v>30979.052125443355</v>
      </c>
      <c r="U26" s="53">
        <v>32583.371772255432</v>
      </c>
      <c r="V26" s="53">
        <v>34238.68977756815</v>
      </c>
      <c r="W26" s="53">
        <v>35926.36101064668</v>
      </c>
      <c r="X26" s="53">
        <v>37681.745153968404</v>
      </c>
      <c r="Y26" s="53">
        <v>39178.670783861744</v>
      </c>
      <c r="Z26" s="53">
        <v>40662.761386946149</v>
      </c>
      <c r="AA26" s="53">
        <v>42131.111721124595</v>
      </c>
      <c r="AB26" s="53">
        <v>43588.039918084593</v>
      </c>
      <c r="AC26" s="53">
        <v>44646.029972745077</v>
      </c>
      <c r="AD26" s="53">
        <v>45597.096228981674</v>
      </c>
    </row>
    <row r="27" spans="1:30" s="66" customFormat="1" x14ac:dyDescent="0.35">
      <c r="A27" s="72" t="s">
        <v>39</v>
      </c>
      <c r="B27" s="180"/>
      <c r="C27" s="72" t="s">
        <v>153</v>
      </c>
      <c r="D27" s="53">
        <v>0</v>
      </c>
      <c r="E27" s="53">
        <v>0</v>
      </c>
      <c r="F27" s="53">
        <v>0</v>
      </c>
      <c r="G27" s="53">
        <v>0</v>
      </c>
      <c r="H27" s="53">
        <v>0</v>
      </c>
      <c r="I27" s="53">
        <v>0</v>
      </c>
      <c r="J27" s="53">
        <v>0</v>
      </c>
      <c r="K27" s="53">
        <v>0</v>
      </c>
      <c r="L27" s="53">
        <v>0</v>
      </c>
      <c r="M27" s="53">
        <v>0</v>
      </c>
      <c r="N27" s="53">
        <v>0</v>
      </c>
      <c r="O27" s="53">
        <v>0</v>
      </c>
      <c r="P27" s="53">
        <v>0</v>
      </c>
      <c r="Q27" s="53">
        <v>0</v>
      </c>
      <c r="R27" s="53">
        <v>0</v>
      </c>
      <c r="S27" s="53">
        <v>0</v>
      </c>
      <c r="T27" s="53">
        <v>0</v>
      </c>
      <c r="U27" s="53">
        <v>0</v>
      </c>
      <c r="V27" s="53">
        <v>0</v>
      </c>
      <c r="W27" s="53">
        <v>0</v>
      </c>
      <c r="X27" s="53">
        <v>0</v>
      </c>
      <c r="Y27" s="53">
        <v>0</v>
      </c>
      <c r="Z27" s="53">
        <v>0</v>
      </c>
      <c r="AA27" s="53">
        <v>0</v>
      </c>
      <c r="AB27" s="53">
        <v>0</v>
      </c>
      <c r="AC27" s="53">
        <v>0</v>
      </c>
      <c r="AD27" s="53">
        <v>0</v>
      </c>
    </row>
    <row r="28" spans="1:30" x14ac:dyDescent="0.35">
      <c r="A28" s="72" t="s">
        <v>39</v>
      </c>
      <c r="B28" s="180"/>
      <c r="C28" s="72" t="s">
        <v>154</v>
      </c>
      <c r="D28" s="53">
        <v>0</v>
      </c>
      <c r="E28" s="53">
        <v>0</v>
      </c>
      <c r="F28" s="53">
        <v>0</v>
      </c>
      <c r="G28" s="53">
        <v>0</v>
      </c>
      <c r="H28" s="53">
        <v>0</v>
      </c>
      <c r="I28" s="53">
        <v>0</v>
      </c>
      <c r="J28" s="53">
        <v>0</v>
      </c>
      <c r="K28" s="53">
        <v>0</v>
      </c>
      <c r="L28" s="53">
        <v>0</v>
      </c>
      <c r="M28" s="53">
        <v>0</v>
      </c>
      <c r="N28" s="53">
        <v>0</v>
      </c>
      <c r="O28" s="53">
        <v>0</v>
      </c>
      <c r="P28" s="53">
        <v>0</v>
      </c>
      <c r="Q28" s="53">
        <v>0</v>
      </c>
      <c r="R28" s="53">
        <v>0</v>
      </c>
      <c r="S28" s="53">
        <v>0</v>
      </c>
      <c r="T28" s="53">
        <v>0</v>
      </c>
      <c r="U28" s="53">
        <v>0</v>
      </c>
      <c r="V28" s="53">
        <v>0</v>
      </c>
      <c r="W28" s="53">
        <v>0</v>
      </c>
      <c r="X28" s="53">
        <v>0</v>
      </c>
      <c r="Y28" s="53">
        <v>0</v>
      </c>
      <c r="Z28" s="53">
        <v>0</v>
      </c>
      <c r="AA28" s="53">
        <v>1.2000000000000455</v>
      </c>
      <c r="AB28" s="53">
        <v>23.400000000000091</v>
      </c>
      <c r="AC28" s="53">
        <v>45.600000000000136</v>
      </c>
      <c r="AD28" s="53">
        <v>67.800000000000182</v>
      </c>
    </row>
    <row r="29" spans="1:30" x14ac:dyDescent="0.35">
      <c r="A29" s="72" t="s">
        <v>39</v>
      </c>
      <c r="B29" s="180"/>
      <c r="C29" s="72" t="s">
        <v>32</v>
      </c>
      <c r="D29" s="53">
        <v>0</v>
      </c>
      <c r="E29" s="53">
        <v>0</v>
      </c>
      <c r="F29" s="53">
        <v>0</v>
      </c>
      <c r="G29" s="53">
        <v>0</v>
      </c>
      <c r="H29" s="53">
        <v>0</v>
      </c>
      <c r="I29" s="53">
        <v>0</v>
      </c>
      <c r="J29" s="53">
        <v>0</v>
      </c>
      <c r="K29" s="53">
        <v>0</v>
      </c>
      <c r="L29" s="53">
        <v>0</v>
      </c>
      <c r="M29" s="53">
        <v>0</v>
      </c>
      <c r="N29" s="53">
        <v>0</v>
      </c>
      <c r="O29" s="53">
        <v>0</v>
      </c>
      <c r="P29" s="53">
        <v>0</v>
      </c>
      <c r="Q29" s="53">
        <v>0</v>
      </c>
      <c r="R29" s="53">
        <v>0</v>
      </c>
      <c r="S29" s="53">
        <v>0</v>
      </c>
      <c r="T29" s="53">
        <v>0</v>
      </c>
      <c r="U29" s="53">
        <v>0</v>
      </c>
      <c r="V29" s="53">
        <v>0</v>
      </c>
      <c r="W29" s="53">
        <v>0</v>
      </c>
      <c r="X29" s="53">
        <v>0</v>
      </c>
      <c r="Y29" s="53">
        <v>0</v>
      </c>
      <c r="Z29" s="53">
        <v>0</v>
      </c>
      <c r="AA29" s="53">
        <v>1.2000000000000455</v>
      </c>
      <c r="AB29" s="53">
        <v>13.000000000000076</v>
      </c>
      <c r="AC29" s="53">
        <v>24.800000000000107</v>
      </c>
      <c r="AD29" s="53">
        <v>36.600000000000136</v>
      </c>
    </row>
    <row r="30" spans="1:30" x14ac:dyDescent="0.35">
      <c r="A30" s="72" t="s">
        <v>39</v>
      </c>
      <c r="B30" s="180"/>
      <c r="C30" s="72" t="s">
        <v>33</v>
      </c>
      <c r="D30" s="53">
        <v>0</v>
      </c>
      <c r="E30" s="53">
        <v>0</v>
      </c>
      <c r="F30" s="53">
        <v>0</v>
      </c>
      <c r="G30" s="53">
        <v>0</v>
      </c>
      <c r="H30" s="53">
        <v>0</v>
      </c>
      <c r="I30" s="53">
        <v>0</v>
      </c>
      <c r="J30" s="53">
        <v>0</v>
      </c>
      <c r="K30" s="53">
        <v>0</v>
      </c>
      <c r="L30" s="53">
        <v>0</v>
      </c>
      <c r="M30" s="53">
        <v>0</v>
      </c>
      <c r="N30" s="53">
        <v>0</v>
      </c>
      <c r="O30" s="53">
        <v>0</v>
      </c>
      <c r="P30" s="53">
        <v>0</v>
      </c>
      <c r="Q30" s="53">
        <v>0</v>
      </c>
      <c r="R30" s="53">
        <v>0</v>
      </c>
      <c r="S30" s="53">
        <v>0</v>
      </c>
      <c r="T30" s="53">
        <v>0</v>
      </c>
      <c r="U30" s="53">
        <v>0</v>
      </c>
      <c r="V30" s="53">
        <v>0</v>
      </c>
      <c r="W30" s="53">
        <v>0</v>
      </c>
      <c r="X30" s="53">
        <v>0</v>
      </c>
      <c r="Y30" s="53">
        <v>0</v>
      </c>
      <c r="Z30" s="53">
        <v>0</v>
      </c>
      <c r="AA30" s="53">
        <v>1.0437537363604536E-3</v>
      </c>
      <c r="AB30" s="53">
        <v>9.8982645998179575E-2</v>
      </c>
      <c r="AC30" s="53">
        <v>0.1969215382599987</v>
      </c>
      <c r="AD30" s="53">
        <v>0.29486043052181782</v>
      </c>
    </row>
    <row r="31" spans="1:30" x14ac:dyDescent="0.35">
      <c r="A31" s="72" t="s">
        <v>39</v>
      </c>
      <c r="B31" s="180"/>
      <c r="C31" s="72" t="s">
        <v>34</v>
      </c>
      <c r="D31" s="53">
        <v>0</v>
      </c>
      <c r="E31" s="53">
        <v>0</v>
      </c>
      <c r="F31" s="53">
        <v>0</v>
      </c>
      <c r="G31" s="53">
        <v>0</v>
      </c>
      <c r="H31" s="53">
        <v>0</v>
      </c>
      <c r="I31" s="53">
        <v>0</v>
      </c>
      <c r="J31" s="53">
        <v>0</v>
      </c>
      <c r="K31" s="53">
        <v>0</v>
      </c>
      <c r="L31" s="53">
        <v>0</v>
      </c>
      <c r="M31" s="53">
        <v>0</v>
      </c>
      <c r="N31" s="53">
        <v>0</v>
      </c>
      <c r="O31" s="53">
        <v>0</v>
      </c>
      <c r="P31" s="53">
        <v>0</v>
      </c>
      <c r="Q31" s="53">
        <v>0</v>
      </c>
      <c r="R31" s="53">
        <v>0</v>
      </c>
      <c r="S31" s="53">
        <v>0</v>
      </c>
      <c r="T31" s="53">
        <v>0</v>
      </c>
      <c r="U31" s="53">
        <v>0</v>
      </c>
      <c r="V31" s="53">
        <v>0</v>
      </c>
      <c r="W31" s="53">
        <v>0</v>
      </c>
      <c r="X31" s="53">
        <v>0</v>
      </c>
      <c r="Y31" s="53">
        <v>0</v>
      </c>
      <c r="Z31" s="53">
        <v>0</v>
      </c>
      <c r="AA31" s="53">
        <v>1.0437537363604536E-3</v>
      </c>
      <c r="AB31" s="53">
        <v>2.0353197859028154E-2</v>
      </c>
      <c r="AC31" s="53">
        <v>3.9662641981695855E-2</v>
      </c>
      <c r="AD31" s="53">
        <v>5.8972086104363559E-2</v>
      </c>
    </row>
    <row r="32" spans="1:30" x14ac:dyDescent="0.35">
      <c r="A32" s="72" t="s">
        <v>39</v>
      </c>
      <c r="B32" s="180"/>
      <c r="C32" s="72" t="s">
        <v>35</v>
      </c>
      <c r="D32" s="53">
        <v>0</v>
      </c>
      <c r="E32" s="53">
        <v>0</v>
      </c>
      <c r="F32" s="53">
        <v>0</v>
      </c>
      <c r="G32" s="53">
        <v>0</v>
      </c>
      <c r="H32" s="53">
        <v>0</v>
      </c>
      <c r="I32" s="53">
        <v>0</v>
      </c>
      <c r="J32" s="53">
        <v>0</v>
      </c>
      <c r="K32" s="53">
        <v>0</v>
      </c>
      <c r="L32" s="53">
        <v>0</v>
      </c>
      <c r="M32" s="53">
        <v>0</v>
      </c>
      <c r="N32" s="53">
        <v>0</v>
      </c>
      <c r="O32" s="53">
        <v>0</v>
      </c>
      <c r="P32" s="53">
        <v>0</v>
      </c>
      <c r="Q32" s="53">
        <v>0</v>
      </c>
      <c r="R32" s="53">
        <v>0</v>
      </c>
      <c r="S32" s="53">
        <v>0</v>
      </c>
      <c r="T32" s="53">
        <v>0</v>
      </c>
      <c r="U32" s="53">
        <v>0</v>
      </c>
      <c r="V32" s="53">
        <v>0</v>
      </c>
      <c r="W32" s="53">
        <v>0</v>
      </c>
      <c r="X32" s="53">
        <v>0</v>
      </c>
      <c r="Y32" s="53">
        <v>0</v>
      </c>
      <c r="Z32" s="53">
        <v>0</v>
      </c>
      <c r="AA32" s="53">
        <v>1</v>
      </c>
      <c r="AB32" s="53">
        <v>2.333333333333333</v>
      </c>
      <c r="AC32" s="53">
        <v>3.6666666666666661</v>
      </c>
      <c r="AD32" s="53">
        <v>5</v>
      </c>
    </row>
    <row r="33" spans="1:30" x14ac:dyDescent="0.35">
      <c r="A33" s="72" t="s">
        <v>130</v>
      </c>
      <c r="B33" s="72" t="s">
        <v>111</v>
      </c>
      <c r="C33" s="72" t="s">
        <v>131</v>
      </c>
      <c r="D33" s="53">
        <v>0</v>
      </c>
      <c r="E33" s="53">
        <v>0</v>
      </c>
      <c r="F33" s="53">
        <v>0</v>
      </c>
      <c r="G33" s="53">
        <v>0</v>
      </c>
      <c r="H33" s="53">
        <v>0</v>
      </c>
      <c r="I33" s="53">
        <v>0</v>
      </c>
      <c r="J33" s="53">
        <v>0</v>
      </c>
      <c r="K33" s="53">
        <v>0</v>
      </c>
      <c r="L33" s="53">
        <v>0</v>
      </c>
      <c r="M33" s="53">
        <v>0</v>
      </c>
      <c r="N33" s="53">
        <v>0</v>
      </c>
      <c r="O33" s="53">
        <v>0</v>
      </c>
      <c r="P33" s="53">
        <v>0</v>
      </c>
      <c r="Q33" s="53">
        <v>0</v>
      </c>
      <c r="R33" s="53">
        <v>0</v>
      </c>
      <c r="S33" s="53">
        <v>0</v>
      </c>
      <c r="T33" s="53">
        <v>0</v>
      </c>
      <c r="U33" s="53">
        <v>0</v>
      </c>
      <c r="V33" s="53">
        <v>0</v>
      </c>
      <c r="W33" s="53">
        <v>0</v>
      </c>
      <c r="X33" s="53">
        <v>0</v>
      </c>
      <c r="Y33" s="53">
        <v>0</v>
      </c>
      <c r="Z33" s="53">
        <v>0</v>
      </c>
      <c r="AA33" s="53">
        <v>6994.7816642205808</v>
      </c>
      <c r="AB33" s="53">
        <v>167735.62478542808</v>
      </c>
      <c r="AC33" s="53">
        <v>356801.14945396519</v>
      </c>
      <c r="AD33" s="53">
        <v>844489.84017953684</v>
      </c>
    </row>
    <row r="34" spans="1:30" x14ac:dyDescent="0.35">
      <c r="A34" s="72" t="s">
        <v>130</v>
      </c>
      <c r="B34" s="72" t="s">
        <v>132</v>
      </c>
      <c r="C34" s="72" t="s">
        <v>131</v>
      </c>
      <c r="D34" s="53">
        <v>0</v>
      </c>
      <c r="E34" s="53">
        <v>0</v>
      </c>
      <c r="F34" s="53">
        <v>0</v>
      </c>
      <c r="G34" s="53">
        <v>0</v>
      </c>
      <c r="H34" s="53">
        <v>0</v>
      </c>
      <c r="I34" s="53">
        <v>0</v>
      </c>
      <c r="J34" s="53">
        <v>0</v>
      </c>
      <c r="K34" s="53">
        <v>0</v>
      </c>
      <c r="L34" s="53">
        <v>0</v>
      </c>
      <c r="M34" s="53">
        <v>0</v>
      </c>
      <c r="N34" s="53">
        <v>0</v>
      </c>
      <c r="O34" s="53">
        <v>0</v>
      </c>
      <c r="P34" s="53">
        <v>0</v>
      </c>
      <c r="Q34" s="53">
        <v>0</v>
      </c>
      <c r="R34" s="53">
        <v>0</v>
      </c>
      <c r="S34" s="53">
        <v>0</v>
      </c>
      <c r="T34" s="53">
        <v>0</v>
      </c>
      <c r="U34" s="53">
        <v>0</v>
      </c>
      <c r="V34" s="53">
        <v>0</v>
      </c>
      <c r="W34" s="53">
        <v>0</v>
      </c>
      <c r="X34" s="53">
        <v>0</v>
      </c>
      <c r="Y34" s="53">
        <v>0</v>
      </c>
      <c r="Z34" s="53">
        <v>0</v>
      </c>
      <c r="AA34" s="53">
        <v>41845.585767368175</v>
      </c>
      <c r="AB34" s="53">
        <v>1003461.6961820258</v>
      </c>
      <c r="AC34" s="53">
        <v>2036605.0334928492</v>
      </c>
      <c r="AD34" s="53">
        <v>4817272.6302614007</v>
      </c>
    </row>
    <row r="35" spans="1:30" x14ac:dyDescent="0.35">
      <c r="A35" s="72" t="s">
        <v>133</v>
      </c>
      <c r="B35" s="72" t="s">
        <v>111</v>
      </c>
      <c r="C35" s="72" t="s">
        <v>131</v>
      </c>
      <c r="D35" s="53">
        <v>1269.4984609921005</v>
      </c>
      <c r="E35" s="17">
        <v>3507.3998571021511</v>
      </c>
      <c r="F35" s="17">
        <v>5745.301253212202</v>
      </c>
      <c r="G35" s="17">
        <v>7983.2026493222529</v>
      </c>
      <c r="H35" s="17">
        <v>10221.104045432305</v>
      </c>
      <c r="I35" s="17">
        <v>12459.005441542355</v>
      </c>
      <c r="J35" s="53">
        <v>14696.906837652406</v>
      </c>
      <c r="K35" s="17">
        <v>13659.366134735234</v>
      </c>
      <c r="L35" s="17">
        <v>11760.714242007025</v>
      </c>
      <c r="M35" s="17">
        <v>9813.2626376474818</v>
      </c>
      <c r="N35" s="17">
        <v>13588.908603733982</v>
      </c>
      <c r="O35" s="53">
        <v>17547.203578976321</v>
      </c>
      <c r="P35" s="17">
        <v>24911.682783246899</v>
      </c>
      <c r="Q35" s="17">
        <v>32276.161987517477</v>
      </c>
      <c r="R35" s="17">
        <v>39640.641191788054</v>
      </c>
      <c r="S35" s="17">
        <v>47005.120396058635</v>
      </c>
      <c r="T35" s="53">
        <v>54369.599600329217</v>
      </c>
      <c r="U35" s="17">
        <v>77256.78591830263</v>
      </c>
      <c r="V35" s="17">
        <v>100143.97223627605</v>
      </c>
      <c r="W35" s="17">
        <v>123031.15855424947</v>
      </c>
      <c r="X35" s="17">
        <v>145918.34487222289</v>
      </c>
      <c r="Y35" s="53">
        <v>168805.53119019631</v>
      </c>
      <c r="Z35" s="17">
        <v>204593.57758659072</v>
      </c>
      <c r="AA35" s="17">
        <v>240381.62398298515</v>
      </c>
      <c r="AB35" s="17">
        <v>276169.67037937959</v>
      </c>
      <c r="AC35" s="17">
        <v>311957.71677577402</v>
      </c>
      <c r="AD35" s="53">
        <v>347745.7631721684</v>
      </c>
    </row>
    <row r="36" spans="1:30" x14ac:dyDescent="0.35">
      <c r="A36" s="72" t="s">
        <v>133</v>
      </c>
      <c r="B36" s="72" t="s">
        <v>132</v>
      </c>
      <c r="C36" s="72" t="s">
        <v>131</v>
      </c>
      <c r="D36" s="53">
        <v>5267.7658737530246</v>
      </c>
      <c r="E36" s="17">
        <v>14553.906003485823</v>
      </c>
      <c r="F36" s="17">
        <v>23840.046133218624</v>
      </c>
      <c r="G36" s="17">
        <v>33126.186262951422</v>
      </c>
      <c r="H36" s="17">
        <v>42412.326392684219</v>
      </c>
      <c r="I36" s="17">
        <v>51698.466522417017</v>
      </c>
      <c r="J36" s="53">
        <v>60984.606652149814</v>
      </c>
      <c r="K36" s="17">
        <v>56679.346208442345</v>
      </c>
      <c r="L36" s="17">
        <v>48800.91708546882</v>
      </c>
      <c r="M36" s="17">
        <v>40719.994250624492</v>
      </c>
      <c r="N36" s="17">
        <v>56386.983682010279</v>
      </c>
      <c r="O36" s="53">
        <v>72811.872588558865</v>
      </c>
      <c r="P36" s="17">
        <v>103370.67468423292</v>
      </c>
      <c r="Q36" s="17">
        <v>133929.47677990695</v>
      </c>
      <c r="R36" s="17">
        <v>164488.27887558099</v>
      </c>
      <c r="S36" s="17">
        <v>195047.08097125503</v>
      </c>
      <c r="T36" s="53">
        <v>225605.88306692912</v>
      </c>
      <c r="U36" s="17">
        <v>320575.93835776235</v>
      </c>
      <c r="V36" s="17">
        <v>415545.99364859558</v>
      </c>
      <c r="W36" s="17">
        <v>510516.04893942882</v>
      </c>
      <c r="X36" s="17">
        <v>605486.10423026211</v>
      </c>
      <c r="Y36" s="53">
        <v>700456.15952109534</v>
      </c>
      <c r="Z36" s="17">
        <v>848958.1508885267</v>
      </c>
      <c r="AA36" s="17">
        <v>997460.14225595805</v>
      </c>
      <c r="AB36" s="17">
        <v>1145962.1336233895</v>
      </c>
      <c r="AC36" s="17">
        <v>1294464.1249908209</v>
      </c>
      <c r="AD36" s="53">
        <v>1442966.1163582522</v>
      </c>
    </row>
    <row r="37" spans="1:30" ht="29" x14ac:dyDescent="0.35">
      <c r="A37" s="3" t="s">
        <v>134</v>
      </c>
      <c r="B37" s="3" t="s">
        <v>135</v>
      </c>
      <c r="C37" s="72" t="s">
        <v>131</v>
      </c>
      <c r="D37" s="53">
        <v>4851883.8074179851</v>
      </c>
      <c r="E37" s="53">
        <v>5548866.4783700239</v>
      </c>
      <c r="F37" s="53">
        <v>5954619.7490993757</v>
      </c>
      <c r="G37" s="53">
        <v>6363793.177570492</v>
      </c>
      <c r="H37" s="53">
        <v>6862681.5291777924</v>
      </c>
      <c r="I37" s="53">
        <v>7430776.4174247123</v>
      </c>
      <c r="J37" s="53">
        <v>7958064.5940639684</v>
      </c>
      <c r="K37" s="53">
        <v>7957168.0490261456</v>
      </c>
      <c r="L37" s="53">
        <v>7874171.1774361301</v>
      </c>
      <c r="M37" s="53">
        <v>7776287.7266217675</v>
      </c>
      <c r="N37" s="53">
        <v>8450702.8694002908</v>
      </c>
      <c r="O37" s="53">
        <v>9080603.7963677123</v>
      </c>
      <c r="P37" s="53">
        <v>9916810.7160479799</v>
      </c>
      <c r="Q37" s="53">
        <v>10742147.081796253</v>
      </c>
      <c r="R37" s="53">
        <v>11532452.826251276</v>
      </c>
      <c r="S37" s="53">
        <v>12410650.170190752</v>
      </c>
      <c r="T37" s="53">
        <v>13427370.439666543</v>
      </c>
      <c r="U37" s="53">
        <v>14508754.442283049</v>
      </c>
      <c r="V37" s="53">
        <v>15576671.591655424</v>
      </c>
      <c r="W37" s="53">
        <v>16678510.376912402</v>
      </c>
      <c r="X37" s="53">
        <v>17727086.423294671</v>
      </c>
      <c r="Y37" s="53">
        <v>18931202.45624445</v>
      </c>
      <c r="Z37" s="53">
        <v>20126360.67314858</v>
      </c>
      <c r="AA37" s="53">
        <v>21277070.972831454</v>
      </c>
      <c r="AB37" s="53">
        <v>22513024.658740595</v>
      </c>
      <c r="AC37" s="53">
        <v>23603677.486926477</v>
      </c>
      <c r="AD37" s="53">
        <v>24710377.8005694</v>
      </c>
    </row>
    <row r="38" spans="1:30" x14ac:dyDescent="0.35">
      <c r="A38" s="72"/>
      <c r="B38" s="72"/>
      <c r="C38" s="72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</row>
    <row r="39" spans="1:30" x14ac:dyDescent="0.35">
      <c r="A39" s="72"/>
      <c r="B39" s="72"/>
      <c r="C39" s="72" t="s">
        <v>136</v>
      </c>
      <c r="D39" s="53">
        <f>'Cost Assumptions'!$B$4</f>
        <v>40</v>
      </c>
      <c r="E39" s="53">
        <f>D39*'Cost Assumptions'!$B$5</f>
        <v>41</v>
      </c>
      <c r="F39" s="53">
        <f>E39*'Cost Assumptions'!$B$5</f>
        <v>42.024999999999999</v>
      </c>
      <c r="G39" s="53">
        <f>F39*'Cost Assumptions'!$B$5</f>
        <v>43.075624999999995</v>
      </c>
      <c r="H39" s="9">
        <f>G39*'Cost Assumptions'!$B$5</f>
        <v>44.152515624999992</v>
      </c>
      <c r="I39" s="9">
        <f>H39*'Cost Assumptions'!$B$5</f>
        <v>45.256328515624986</v>
      </c>
      <c r="J39" s="9">
        <f>I39*'Cost Assumptions'!$B$5</f>
        <v>46.387736728515605</v>
      </c>
      <c r="K39" s="9">
        <f>J39*'Cost Assumptions'!$B$5</f>
        <v>47.547430146728495</v>
      </c>
      <c r="L39" s="9">
        <f>K39*'Cost Assumptions'!$B$5</f>
        <v>48.736115900396705</v>
      </c>
      <c r="M39" s="9">
        <f>L39*'Cost Assumptions'!$B$5</f>
        <v>49.954518797906616</v>
      </c>
      <c r="N39" s="9">
        <f>M39*'Cost Assumptions'!$B$5</f>
        <v>51.203381767854275</v>
      </c>
      <c r="O39" s="9">
        <f>N39*'Cost Assumptions'!$B$5</f>
        <v>52.483466312050624</v>
      </c>
      <c r="P39" s="9">
        <f>O39*'Cost Assumptions'!$B$5</f>
        <v>53.795552969851883</v>
      </c>
      <c r="Q39" s="9">
        <f>P39*'Cost Assumptions'!$B$5</f>
        <v>55.140441794098173</v>
      </c>
      <c r="R39" s="9">
        <f>Q39*'Cost Assumptions'!$B$5</f>
        <v>56.518952838950625</v>
      </c>
      <c r="S39" s="9">
        <f>R39*'Cost Assumptions'!$B$5</f>
        <v>57.931926659924386</v>
      </c>
      <c r="T39" s="9">
        <f>S39*'Cost Assumptions'!$B$5</f>
        <v>59.380224826422491</v>
      </c>
      <c r="U39" s="9">
        <f>T39*'Cost Assumptions'!$B$5</f>
        <v>60.864730447083048</v>
      </c>
      <c r="V39" s="9">
        <f>U39*'Cost Assumptions'!$B$5</f>
        <v>62.386348708260115</v>
      </c>
      <c r="W39" s="9">
        <f>V39*'Cost Assumptions'!$B$5</f>
        <v>63.946007425966613</v>
      </c>
      <c r="X39" s="9">
        <f>W39*'Cost Assumptions'!$B$5</f>
        <v>65.544657611615776</v>
      </c>
      <c r="Y39" s="9">
        <f>X39*'Cost Assumptions'!$B$5</f>
        <v>67.183274051906167</v>
      </c>
      <c r="Z39" s="9">
        <f>Y39*'Cost Assumptions'!$B$5</f>
        <v>68.862855903203823</v>
      </c>
      <c r="AA39" s="9">
        <f>Z39*'Cost Assumptions'!$B$5</f>
        <v>70.584427300783915</v>
      </c>
      <c r="AB39" s="9">
        <f>AA39*'Cost Assumptions'!$B$5</f>
        <v>72.349037983303504</v>
      </c>
      <c r="AC39" s="9">
        <f>AB39*'Cost Assumptions'!$B$5</f>
        <v>74.157763932886084</v>
      </c>
      <c r="AD39" s="9">
        <f>AC39*'Cost Assumptions'!$B$5</f>
        <v>76.011708031208229</v>
      </c>
    </row>
    <row r="40" spans="1:30" x14ac:dyDescent="0.35">
      <c r="A40" s="72"/>
      <c r="B40" s="72"/>
      <c r="C40" s="72"/>
      <c r="D40" s="72"/>
      <c r="E40" s="72"/>
      <c r="F40" s="72"/>
      <c r="G40" s="53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</row>
    <row r="41" spans="1:30" ht="23.5" x14ac:dyDescent="0.55000000000000004">
      <c r="A41" s="72"/>
      <c r="B41" s="178" t="s">
        <v>137</v>
      </c>
      <c r="C41" s="178"/>
      <c r="D41" s="178"/>
      <c r="E41" s="178"/>
      <c r="F41" s="178"/>
      <c r="G41" s="178"/>
      <c r="H41" s="178"/>
      <c r="I41" s="178"/>
      <c r="J41" s="178"/>
      <c r="K41" s="178"/>
      <c r="L41" s="178"/>
      <c r="M41" s="178"/>
      <c r="N41" s="178"/>
      <c r="O41" s="178"/>
      <c r="P41" s="178"/>
      <c r="Q41" s="178"/>
      <c r="R41" s="178"/>
      <c r="S41" s="178"/>
      <c r="T41" s="178"/>
      <c r="U41" s="178"/>
      <c r="V41" s="178"/>
      <c r="W41" s="178"/>
      <c r="X41" s="178"/>
      <c r="Y41" s="178"/>
      <c r="Z41" s="178"/>
      <c r="AA41" s="178"/>
      <c r="AB41" s="178"/>
      <c r="AC41" s="178"/>
      <c r="AD41" s="178"/>
    </row>
    <row r="42" spans="1:30" ht="20" thickBot="1" x14ac:dyDescent="0.5">
      <c r="A42" s="113"/>
      <c r="B42" s="122" t="s">
        <v>138</v>
      </c>
      <c r="C42" s="113" t="s">
        <v>105</v>
      </c>
      <c r="D42" s="113">
        <v>2022</v>
      </c>
      <c r="E42" s="113">
        <v>2023</v>
      </c>
      <c r="F42" s="113">
        <v>2024</v>
      </c>
      <c r="G42" s="113">
        <v>2025</v>
      </c>
      <c r="H42" s="113">
        <v>2026</v>
      </c>
      <c r="I42" s="113">
        <v>2027</v>
      </c>
      <c r="J42" s="113">
        <v>2028</v>
      </c>
      <c r="K42" s="113">
        <v>2029</v>
      </c>
      <c r="L42" s="113">
        <v>2030</v>
      </c>
      <c r="M42" s="113">
        <v>2031</v>
      </c>
      <c r="N42" s="113">
        <v>2032</v>
      </c>
      <c r="O42" s="113">
        <v>2033</v>
      </c>
      <c r="P42" s="113">
        <v>2034</v>
      </c>
      <c r="Q42" s="113">
        <v>2035</v>
      </c>
      <c r="R42" s="113">
        <v>2036</v>
      </c>
      <c r="S42" s="113">
        <v>2037</v>
      </c>
      <c r="T42" s="113">
        <v>2038</v>
      </c>
      <c r="U42" s="113">
        <v>2039</v>
      </c>
      <c r="V42" s="113">
        <v>2040</v>
      </c>
      <c r="W42" s="113">
        <v>2041</v>
      </c>
      <c r="X42" s="113">
        <v>2042</v>
      </c>
      <c r="Y42" s="113">
        <v>2043</v>
      </c>
      <c r="Z42" s="113">
        <v>2044</v>
      </c>
      <c r="AA42" s="113">
        <v>2045</v>
      </c>
      <c r="AB42" s="113">
        <v>2046</v>
      </c>
      <c r="AC42" s="113">
        <v>2047</v>
      </c>
      <c r="AD42" s="113">
        <v>2048</v>
      </c>
    </row>
    <row r="43" spans="1:30" ht="15" thickTop="1" x14ac:dyDescent="0.35">
      <c r="A43" s="72"/>
      <c r="B43" s="10">
        <f>NPV('Cost Assumptions'!$B$3,'Valley S to Valley N to Vista'!D43:'Valley S to Valley N to Vista'!AD43)</f>
        <v>7386.6021281514886</v>
      </c>
      <c r="C43" s="72" t="s">
        <v>107</v>
      </c>
      <c r="D43" s="53">
        <f t="shared" ref="D43:AD43" si="0">D2-D18</f>
        <v>338.7999999991298</v>
      </c>
      <c r="E43" s="53">
        <f t="shared" si="0"/>
        <v>367.49903846071538</v>
      </c>
      <c r="F43" s="53">
        <f t="shared" si="0"/>
        <v>396.19807692230097</v>
      </c>
      <c r="G43" s="53">
        <f t="shared" si="0"/>
        <v>424.89711538388656</v>
      </c>
      <c r="H43" s="53">
        <f t="shared" si="0"/>
        <v>453.59615384547214</v>
      </c>
      <c r="I43" s="53">
        <f t="shared" si="0"/>
        <v>482.29519230705773</v>
      </c>
      <c r="J43" s="53">
        <f t="shared" si="0"/>
        <v>510.99423076864332</v>
      </c>
      <c r="K43" s="53">
        <f t="shared" si="0"/>
        <v>609.18461538424162</v>
      </c>
      <c r="L43" s="53">
        <f t="shared" si="0"/>
        <v>1110.9038461533855</v>
      </c>
      <c r="M43" s="53">
        <f t="shared" si="0"/>
        <v>1614.3230769222791</v>
      </c>
      <c r="N43" s="53">
        <f t="shared" si="0"/>
        <v>1563.8673076920022</v>
      </c>
      <c r="O43" s="53">
        <f t="shared" si="0"/>
        <v>1516.9099759612654</v>
      </c>
      <c r="P43" s="53">
        <f t="shared" si="0"/>
        <v>1469.9526442305287</v>
      </c>
      <c r="Q43" s="53">
        <f t="shared" si="0"/>
        <v>1422.9953124997919</v>
      </c>
      <c r="R43" s="53">
        <f t="shared" si="0"/>
        <v>1376.0379807690551</v>
      </c>
      <c r="S43" s="53">
        <f t="shared" si="0"/>
        <v>1329.0806490383184</v>
      </c>
      <c r="T43" s="53">
        <f t="shared" si="0"/>
        <v>1282.1233173075816</v>
      </c>
      <c r="U43" s="53">
        <f t="shared" si="0"/>
        <v>1235.1659855768448</v>
      </c>
      <c r="V43" s="53">
        <f t="shared" si="0"/>
        <v>1188.2086538461081</v>
      </c>
      <c r="W43" s="53">
        <f t="shared" si="0"/>
        <v>1141.2513221153713</v>
      </c>
      <c r="X43" s="53">
        <f t="shared" si="0"/>
        <v>1094.2939903846345</v>
      </c>
      <c r="Y43" s="53">
        <f t="shared" si="0"/>
        <v>1047.3366586538978</v>
      </c>
      <c r="Z43" s="53">
        <f t="shared" si="0"/>
        <v>1000.379326923161</v>
      </c>
      <c r="AA43" s="53">
        <f t="shared" si="0"/>
        <v>953.42199519242422</v>
      </c>
      <c r="AB43" s="53">
        <f t="shared" si="0"/>
        <v>906.46466346168745</v>
      </c>
      <c r="AC43" s="53">
        <f t="shared" si="0"/>
        <v>859.50733173095068</v>
      </c>
      <c r="AD43" s="53">
        <f t="shared" si="0"/>
        <v>812.55000000019936</v>
      </c>
    </row>
    <row r="44" spans="1:30" x14ac:dyDescent="0.35">
      <c r="A44" s="72"/>
      <c r="B44" s="10">
        <f>NPV('Cost Assumptions'!$B$3,'Valley S to Valley N to Vista'!D44:'Valley S to Valley N to Vista'!AD44)</f>
        <v>387169.66315450199</v>
      </c>
      <c r="C44" s="72" t="s">
        <v>139</v>
      </c>
      <c r="D44" s="53">
        <f>D43*D39</f>
        <v>13551.999999965192</v>
      </c>
      <c r="E44" s="53">
        <f>E43*E39</f>
        <v>15067.460576889331</v>
      </c>
      <c r="F44" s="53">
        <f>F43*F39</f>
        <v>16650.224182659698</v>
      </c>
      <c r="G44" s="53">
        <f>G43*G39</f>
        <v>18302.708805858027</v>
      </c>
      <c r="H44" s="53">
        <f t="shared" ref="H44:AD44" si="1">H43*H39</f>
        <v>20027.411270102108</v>
      </c>
      <c r="I44" s="53">
        <f t="shared" si="1"/>
        <v>21826.909664554732</v>
      </c>
      <c r="J44" s="53">
        <f t="shared" si="1"/>
        <v>23703.865846686174</v>
      </c>
      <c r="K44" s="53">
        <f t="shared" si="1"/>
        <v>28965.162946443892</v>
      </c>
      <c r="L44" s="53">
        <f t="shared" si="1"/>
        <v>54141.138600327868</v>
      </c>
      <c r="M44" s="53">
        <f t="shared" si="1"/>
        <v>80642.732492008436</v>
      </c>
      <c r="N44" s="53">
        <f t="shared" si="1"/>
        <v>80075.294790020023</v>
      </c>
      <c r="O44" s="53">
        <f t="shared" si="1"/>
        <v>79612.693621776591</v>
      </c>
      <c r="P44" s="53">
        <f t="shared" si="1"/>
        <v>79076.915335877246</v>
      </c>
      <c r="Q44" s="53">
        <f t="shared" si="1"/>
        <v>78464.590202169318</v>
      </c>
      <c r="R44" s="53">
        <f t="shared" si="1"/>
        <v>77772.225739691072</v>
      </c>
      <c r="S44" s="53">
        <f t="shared" si="1"/>
        <v>76996.202685212556</v>
      </c>
      <c r="T44" s="53">
        <f t="shared" si="1"/>
        <v>76132.77083692282</v>
      </c>
      <c r="U44" s="53">
        <f t="shared" si="1"/>
        <v>75178.044769540327</v>
      </c>
      <c r="V44" s="53">
        <f t="shared" si="1"/>
        <v>74127.999417015628</v>
      </c>
      <c r="W44" s="53">
        <f t="shared" si="1"/>
        <v>72978.46551888375</v>
      </c>
      <c r="X44" s="53">
        <f t="shared" si="1"/>
        <v>71725.124926209639</v>
      </c>
      <c r="Y44" s="53">
        <f t="shared" si="1"/>
        <v>70363.505762952511</v>
      </c>
      <c r="Z44" s="53">
        <f t="shared" si="1"/>
        <v>68888.977438453658</v>
      </c>
      <c r="AA44" s="53">
        <f t="shared" si="1"/>
        <v>67296.745506628024</v>
      </c>
      <c r="AB44" s="53">
        <f t="shared" si="1"/>
        <v>65581.846367312057</v>
      </c>
      <c r="AC44" s="53">
        <f t="shared" si="1"/>
        <v>63739.14180508865</v>
      </c>
      <c r="AD44" s="53">
        <f t="shared" si="1"/>
        <v>61763.313360773398</v>
      </c>
    </row>
    <row r="45" spans="1:30" x14ac:dyDescent="0.35">
      <c r="A45" s="72" t="s">
        <v>30</v>
      </c>
      <c r="B45" s="10">
        <f>NPV('Cost Assumptions'!$B$3,'Valley S to Valley N to Vista'!D45:'Valley S to Valley N to Vista'!AD45)</f>
        <v>114.42912412587738</v>
      </c>
      <c r="C45" s="72" t="s">
        <v>31</v>
      </c>
      <c r="D45" s="53">
        <f t="shared" ref="D45:AD45" si="2">D3-D19</f>
        <v>4.2000000000000171</v>
      </c>
      <c r="E45" s="53">
        <f t="shared" si="2"/>
        <v>6.0166666666666799</v>
      </c>
      <c r="F45" s="53">
        <f t="shared" si="2"/>
        <v>6.7133333333333383</v>
      </c>
      <c r="G45" s="53">
        <f t="shared" si="2"/>
        <v>7.4099999999999966</v>
      </c>
      <c r="H45" s="53">
        <f t="shared" si="2"/>
        <v>8.1066666666666549</v>
      </c>
      <c r="I45" s="53">
        <f t="shared" si="2"/>
        <v>8.8033333333333132</v>
      </c>
      <c r="J45" s="53">
        <f t="shared" si="2"/>
        <v>9.4999999999999716</v>
      </c>
      <c r="K45" s="53">
        <f t="shared" si="2"/>
        <v>5.0999999999999659</v>
      </c>
      <c r="L45" s="53">
        <f t="shared" si="2"/>
        <v>5.7000000000000455</v>
      </c>
      <c r="M45" s="53">
        <f t="shared" si="2"/>
        <v>5.5999999999999943</v>
      </c>
      <c r="N45" s="53">
        <f t="shared" si="2"/>
        <v>5.2000000000000455</v>
      </c>
      <c r="O45" s="53">
        <f t="shared" si="2"/>
        <v>13.966666666666612</v>
      </c>
      <c r="P45" s="53">
        <f t="shared" si="2"/>
        <v>14.053333333333299</v>
      </c>
      <c r="Q45" s="53">
        <f t="shared" si="2"/>
        <v>14.139999999999986</v>
      </c>
      <c r="R45" s="53">
        <f t="shared" si="2"/>
        <v>14.226666666666674</v>
      </c>
      <c r="S45" s="53">
        <f t="shared" si="2"/>
        <v>14.313333333333361</v>
      </c>
      <c r="T45" s="53">
        <f t="shared" si="2"/>
        <v>14.400000000000034</v>
      </c>
      <c r="U45" s="53">
        <f t="shared" si="2"/>
        <v>24.210000000000008</v>
      </c>
      <c r="V45" s="53">
        <f t="shared" si="2"/>
        <v>34.019999999999982</v>
      </c>
      <c r="W45" s="53">
        <f t="shared" si="2"/>
        <v>43.829999999999984</v>
      </c>
      <c r="X45" s="53">
        <f t="shared" si="2"/>
        <v>53.639999999999986</v>
      </c>
      <c r="Y45" s="53">
        <f t="shared" si="2"/>
        <v>23.60000000000008</v>
      </c>
      <c r="Z45" s="53">
        <f t="shared" si="2"/>
        <v>33.300000000000068</v>
      </c>
      <c r="AA45" s="53">
        <f t="shared" si="2"/>
        <v>43</v>
      </c>
      <c r="AB45" s="53">
        <f t="shared" si="2"/>
        <v>52.699999999999932</v>
      </c>
      <c r="AC45" s="53">
        <f t="shared" si="2"/>
        <v>62.399999999999864</v>
      </c>
      <c r="AD45" s="53">
        <f t="shared" si="2"/>
        <v>72.100000000000023</v>
      </c>
    </row>
    <row r="46" spans="1:30" x14ac:dyDescent="0.35">
      <c r="A46" s="72" t="s">
        <v>30</v>
      </c>
      <c r="B46" s="10">
        <f>NPV('Cost Assumptions'!$B$3,'Valley S to Valley N to Vista'!D46:'Valley S to Valley N to Vista'!AD46)</f>
        <v>-30.412621955669433</v>
      </c>
      <c r="C46" s="72" t="s">
        <v>32</v>
      </c>
      <c r="D46" s="53">
        <f t="shared" ref="D46:AD46" si="3">D4-D20</f>
        <v>-1</v>
      </c>
      <c r="E46" s="53">
        <f t="shared" si="3"/>
        <v>-1.916666666666667</v>
      </c>
      <c r="F46" s="53">
        <f t="shared" si="3"/>
        <v>-2.1533333333333387</v>
      </c>
      <c r="G46" s="53">
        <f t="shared" si="3"/>
        <v>-2.3900000000000095</v>
      </c>
      <c r="H46" s="53">
        <f t="shared" si="3"/>
        <v>-2.6266666666666794</v>
      </c>
      <c r="I46" s="53">
        <f t="shared" si="3"/>
        <v>-2.8633333333333493</v>
      </c>
      <c r="J46" s="53">
        <f t="shared" si="3"/>
        <v>-3.1000000000000227</v>
      </c>
      <c r="K46" s="53">
        <f t="shared" si="3"/>
        <v>-3.3000000000000114</v>
      </c>
      <c r="L46" s="53">
        <f t="shared" si="3"/>
        <v>-3.2000000000000171</v>
      </c>
      <c r="M46" s="53">
        <f t="shared" si="3"/>
        <v>-3.3000000000000114</v>
      </c>
      <c r="N46" s="53">
        <f t="shared" si="3"/>
        <v>-3.2999999999999545</v>
      </c>
      <c r="O46" s="53">
        <f t="shared" si="3"/>
        <v>-3.766666666666671</v>
      </c>
      <c r="P46" s="53">
        <f t="shared" si="3"/>
        <v>-4.1933333333333316</v>
      </c>
      <c r="Q46" s="53">
        <f t="shared" si="3"/>
        <v>-4.6199999999999921</v>
      </c>
      <c r="R46" s="53">
        <f t="shared" si="3"/>
        <v>-5.0466666666666526</v>
      </c>
      <c r="S46" s="53">
        <f t="shared" si="3"/>
        <v>-5.4733333333333114</v>
      </c>
      <c r="T46" s="53">
        <f t="shared" si="3"/>
        <v>-5.8999999999999773</v>
      </c>
      <c r="U46" s="53">
        <f t="shared" si="3"/>
        <v>-5.9599999999999795</v>
      </c>
      <c r="V46" s="53">
        <f t="shared" si="3"/>
        <v>-6.0199999999999818</v>
      </c>
      <c r="W46" s="53">
        <f t="shared" si="3"/>
        <v>-6.0799999999999841</v>
      </c>
      <c r="X46" s="53">
        <f t="shared" si="3"/>
        <v>-6.1399999999999864</v>
      </c>
      <c r="Y46" s="53">
        <f t="shared" si="3"/>
        <v>-6.1999999999999886</v>
      </c>
      <c r="Z46" s="53">
        <f t="shared" si="3"/>
        <v>-6.0999999999999908</v>
      </c>
      <c r="AA46" s="53">
        <f t="shared" si="3"/>
        <v>-5.9999999999999929</v>
      </c>
      <c r="AB46" s="53">
        <f t="shared" si="3"/>
        <v>-5.8999999999999986</v>
      </c>
      <c r="AC46" s="53">
        <f t="shared" si="3"/>
        <v>-5.8000000000000043</v>
      </c>
      <c r="AD46" s="53">
        <f t="shared" si="3"/>
        <v>-5.6999999999999886</v>
      </c>
    </row>
    <row r="47" spans="1:30" x14ac:dyDescent="0.35">
      <c r="A47" s="72" t="s">
        <v>30</v>
      </c>
      <c r="B47" s="10">
        <f>NPV('Cost Assumptions'!$B$3,'Valley S to Valley N to Vista'!D47:'Valley S to Valley N to Vista'!AD47)</f>
        <v>54.408682117250308</v>
      </c>
      <c r="C47" s="72" t="s">
        <v>33</v>
      </c>
      <c r="D47" s="53">
        <f t="shared" ref="D47:AD47" si="4">D5-D21</f>
        <v>6.8917982049977566E-2</v>
      </c>
      <c r="E47" s="53">
        <f t="shared" si="4"/>
        <v>0.15906981935651673</v>
      </c>
      <c r="F47" s="53">
        <f t="shared" si="4"/>
        <v>0.18882910507601286</v>
      </c>
      <c r="G47" s="53">
        <f t="shared" si="4"/>
        <v>0.21858839079550896</v>
      </c>
      <c r="H47" s="53">
        <f t="shared" si="4"/>
        <v>0.24834767651500511</v>
      </c>
      <c r="I47" s="53">
        <f t="shared" si="4"/>
        <v>0.27810696223450126</v>
      </c>
      <c r="J47" s="53">
        <f t="shared" si="4"/>
        <v>0.30786624795399731</v>
      </c>
      <c r="K47" s="53">
        <f t="shared" si="4"/>
        <v>0.28195331487555592</v>
      </c>
      <c r="L47" s="53">
        <f t="shared" si="4"/>
        <v>0.24759433463986247</v>
      </c>
      <c r="M47" s="53">
        <f t="shared" si="4"/>
        <v>0.28509284700382959</v>
      </c>
      <c r="N47" s="53">
        <f t="shared" si="4"/>
        <v>0.25668888932566963</v>
      </c>
      <c r="O47" s="53">
        <f t="shared" si="4"/>
        <v>0.52330631477244116</v>
      </c>
      <c r="P47" s="53">
        <f t="shared" si="4"/>
        <v>0.49655558207903017</v>
      </c>
      <c r="Q47" s="53">
        <f t="shared" si="4"/>
        <v>0.46980484938561906</v>
      </c>
      <c r="R47" s="53">
        <f t="shared" si="4"/>
        <v>0.44305411669220796</v>
      </c>
      <c r="S47" s="53">
        <f t="shared" si="4"/>
        <v>0.41630338399879685</v>
      </c>
      <c r="T47" s="53">
        <f t="shared" si="4"/>
        <v>0.38955265130538619</v>
      </c>
      <c r="U47" s="53">
        <f t="shared" si="4"/>
        <v>16.691773167103541</v>
      </c>
      <c r="V47" s="53">
        <f t="shared" si="4"/>
        <v>32.993993682901696</v>
      </c>
      <c r="W47" s="53">
        <f t="shared" si="4"/>
        <v>49.29621419869985</v>
      </c>
      <c r="X47" s="53">
        <f t="shared" si="4"/>
        <v>65.598434714497998</v>
      </c>
      <c r="Y47" s="53">
        <f t="shared" si="4"/>
        <v>81.900655230296152</v>
      </c>
      <c r="Z47" s="53">
        <f t="shared" si="4"/>
        <v>66.250682664889567</v>
      </c>
      <c r="AA47" s="53">
        <f t="shared" si="4"/>
        <v>50.600710099482981</v>
      </c>
      <c r="AB47" s="53">
        <f t="shared" si="4"/>
        <v>34.950737534076396</v>
      </c>
      <c r="AC47" s="53">
        <f t="shared" si="4"/>
        <v>19.30076496866981</v>
      </c>
      <c r="AD47" s="53">
        <f t="shared" si="4"/>
        <v>3.6507924032632211</v>
      </c>
    </row>
    <row r="48" spans="1:30" x14ac:dyDescent="0.35">
      <c r="A48" s="72" t="s">
        <v>30</v>
      </c>
      <c r="B48" s="10">
        <f>NPV('Cost Assumptions'!$B$3,'Valley S to Valley N to Vista'!D48:'Valley S to Valley N to Vista'!AD48)</f>
        <v>0.65104463482712971</v>
      </c>
      <c r="C48" s="72" t="s">
        <v>34</v>
      </c>
      <c r="D48" s="53">
        <f t="shared" ref="D48:AD48" si="5">D6-D22</f>
        <v>7.5996463269141067E-4</v>
      </c>
      <c r="E48" s="53">
        <f t="shared" si="5"/>
        <v>4.541872046191173E-3</v>
      </c>
      <c r="F48" s="53">
        <f t="shared" si="5"/>
        <v>3.8850528478319817E-3</v>
      </c>
      <c r="G48" s="53">
        <f t="shared" si="5"/>
        <v>3.2282336494727851E-3</v>
      </c>
      <c r="H48" s="53">
        <f t="shared" si="5"/>
        <v>2.571414451113592E-3</v>
      </c>
      <c r="I48" s="53">
        <f t="shared" si="5"/>
        <v>1.9145952527543988E-3</v>
      </c>
      <c r="J48" s="53">
        <f t="shared" si="5"/>
        <v>1.2577760543952127E-3</v>
      </c>
      <c r="K48" s="53">
        <f t="shared" si="5"/>
        <v>-2.2393738075584466E-3</v>
      </c>
      <c r="L48" s="53">
        <f t="shared" si="5"/>
        <v>-1.2916028075159111E-3</v>
      </c>
      <c r="M48" s="53">
        <f t="shared" si="5"/>
        <v>-1.0001742556337428E-3</v>
      </c>
      <c r="N48" s="53">
        <f t="shared" si="5"/>
        <v>-2.0899793109296627E-3</v>
      </c>
      <c r="O48" s="53">
        <f t="shared" si="5"/>
        <v>3.9542679857833413E-3</v>
      </c>
      <c r="P48" s="53">
        <f t="shared" si="5"/>
        <v>2.0670115788220395E-3</v>
      </c>
      <c r="Q48" s="53">
        <f t="shared" si="5"/>
        <v>1.7975517186072376E-4</v>
      </c>
      <c r="R48" s="53">
        <f t="shared" si="5"/>
        <v>-1.7075012351005919E-3</v>
      </c>
      <c r="S48" s="53">
        <f t="shared" si="5"/>
        <v>-3.5947576420619076E-3</v>
      </c>
      <c r="T48" s="53">
        <f t="shared" si="5"/>
        <v>-5.4820140490232094E-3</v>
      </c>
      <c r="U48" s="53">
        <f t="shared" si="5"/>
        <v>0.19895940009878027</v>
      </c>
      <c r="V48" s="53">
        <f t="shared" si="5"/>
        <v>0.40340081424658375</v>
      </c>
      <c r="W48" s="53">
        <f t="shared" si="5"/>
        <v>0.60784222839438717</v>
      </c>
      <c r="X48" s="53">
        <f t="shared" si="5"/>
        <v>0.81228364254219065</v>
      </c>
      <c r="Y48" s="53">
        <f t="shared" si="5"/>
        <v>1.0167250566899941</v>
      </c>
      <c r="Z48" s="53">
        <f t="shared" si="5"/>
        <v>0.81880901262046424</v>
      </c>
      <c r="AA48" s="53">
        <f t="shared" si="5"/>
        <v>0.62089296855093434</v>
      </c>
      <c r="AB48" s="53">
        <f t="shared" si="5"/>
        <v>0.42297692448140445</v>
      </c>
      <c r="AC48" s="53">
        <f t="shared" si="5"/>
        <v>0.22506088041187455</v>
      </c>
      <c r="AD48" s="53">
        <f t="shared" si="5"/>
        <v>2.7144836342344214E-2</v>
      </c>
    </row>
    <row r="49" spans="1:30" x14ac:dyDescent="0.35">
      <c r="A49" s="72" t="s">
        <v>30</v>
      </c>
      <c r="B49" s="10">
        <f>NPV('Cost Assumptions'!$B$3,'Valley S to Valley N to Vista'!D49:'Valley S to Valley N to Vista'!AD49)</f>
        <v>225.53030430590292</v>
      </c>
      <c r="C49" s="72" t="s">
        <v>35</v>
      </c>
      <c r="D49" s="53">
        <f t="shared" ref="D49:AD49" si="6">D7-D23</f>
        <v>11</v>
      </c>
      <c r="E49" s="53">
        <f t="shared" si="6"/>
        <v>17.166666666666668</v>
      </c>
      <c r="F49" s="53">
        <f t="shared" si="6"/>
        <v>18.533333333333331</v>
      </c>
      <c r="G49" s="53">
        <f t="shared" si="6"/>
        <v>19.899999999999999</v>
      </c>
      <c r="H49" s="53">
        <f t="shared" si="6"/>
        <v>21.266666666666666</v>
      </c>
      <c r="I49" s="53">
        <f t="shared" si="6"/>
        <v>22.633333333333333</v>
      </c>
      <c r="J49" s="53">
        <f t="shared" si="6"/>
        <v>24</v>
      </c>
      <c r="K49" s="53">
        <f t="shared" si="6"/>
        <v>23</v>
      </c>
      <c r="L49" s="53">
        <f t="shared" si="6"/>
        <v>22</v>
      </c>
      <c r="M49" s="53">
        <f t="shared" si="6"/>
        <v>23</v>
      </c>
      <c r="N49" s="53">
        <f t="shared" si="6"/>
        <v>22</v>
      </c>
      <c r="O49" s="53">
        <f t="shared" si="6"/>
        <v>24.666666666666664</v>
      </c>
      <c r="P49" s="53">
        <f t="shared" si="6"/>
        <v>26.533333333333328</v>
      </c>
      <c r="Q49" s="53">
        <f t="shared" si="6"/>
        <v>28.399999999999991</v>
      </c>
      <c r="R49" s="53">
        <f t="shared" si="6"/>
        <v>30.266666666666655</v>
      </c>
      <c r="S49" s="53">
        <f t="shared" si="6"/>
        <v>32.133333333333319</v>
      </c>
      <c r="T49" s="53">
        <f t="shared" si="6"/>
        <v>34</v>
      </c>
      <c r="U49" s="53">
        <f t="shared" si="6"/>
        <v>37</v>
      </c>
      <c r="V49" s="53">
        <f t="shared" si="6"/>
        <v>40</v>
      </c>
      <c r="W49" s="53">
        <f t="shared" si="6"/>
        <v>42.999999999999993</v>
      </c>
      <c r="X49" s="53">
        <f t="shared" si="6"/>
        <v>45.999999999999986</v>
      </c>
      <c r="Y49" s="53">
        <f t="shared" si="6"/>
        <v>49</v>
      </c>
      <c r="Z49" s="53">
        <f t="shared" si="6"/>
        <v>49.2</v>
      </c>
      <c r="AA49" s="53">
        <f t="shared" si="6"/>
        <v>49.400000000000006</v>
      </c>
      <c r="AB49" s="53">
        <f t="shared" si="6"/>
        <v>49.600000000000009</v>
      </c>
      <c r="AC49" s="53">
        <f t="shared" si="6"/>
        <v>49.800000000000011</v>
      </c>
      <c r="AD49" s="53">
        <f t="shared" si="6"/>
        <v>50</v>
      </c>
    </row>
    <row r="50" spans="1:30" s="52" customFormat="1" x14ac:dyDescent="0.35">
      <c r="A50" s="72" t="s">
        <v>30</v>
      </c>
      <c r="B50" s="10">
        <f>NPV('Cost Assumptions'!$B$3,'Valley S to Valley N to Vista'!D50:'Valley S to Valley N to Vista'!AD50)</f>
        <v>39141.445534236278</v>
      </c>
      <c r="C50" s="70" t="s">
        <v>140</v>
      </c>
      <c r="D50" s="53">
        <f>D13-D24</f>
        <v>1637.4650100268436</v>
      </c>
      <c r="E50" s="53">
        <f t="shared" ref="E50:AD50" si="7">E13-E24</f>
        <v>2177.3309561137412</v>
      </c>
      <c r="F50" s="53">
        <f t="shared" si="7"/>
        <v>2717.1969022006379</v>
      </c>
      <c r="G50" s="53">
        <f t="shared" si="7"/>
        <v>3257.0628482875345</v>
      </c>
      <c r="H50" s="53">
        <f t="shared" si="7"/>
        <v>3796.928794374433</v>
      </c>
      <c r="I50" s="53">
        <f t="shared" si="7"/>
        <v>4336.7947404613296</v>
      </c>
      <c r="J50" s="53">
        <f t="shared" si="7"/>
        <v>4876.6606865482263</v>
      </c>
      <c r="K50" s="53">
        <f t="shared" si="7"/>
        <v>4751.6880579350345</v>
      </c>
      <c r="L50" s="53">
        <f t="shared" si="7"/>
        <v>4626.7154293218427</v>
      </c>
      <c r="M50" s="53">
        <f t="shared" si="7"/>
        <v>3604.0088606696972</v>
      </c>
      <c r="N50" s="53">
        <f t="shared" si="7"/>
        <v>4264.9844683355968</v>
      </c>
      <c r="O50" s="53">
        <f t="shared" si="7"/>
        <v>5180.7852586977097</v>
      </c>
      <c r="P50" s="53">
        <f t="shared" si="7"/>
        <v>5378.5499981392313</v>
      </c>
      <c r="Q50" s="53">
        <f t="shared" si="7"/>
        <v>5576.3147375807512</v>
      </c>
      <c r="R50" s="53">
        <f t="shared" si="7"/>
        <v>5774.079477022271</v>
      </c>
      <c r="S50" s="53">
        <f t="shared" si="7"/>
        <v>5971.8442164637927</v>
      </c>
      <c r="T50" s="53">
        <f t="shared" si="7"/>
        <v>6169.6089559053144</v>
      </c>
      <c r="U50" s="53">
        <f t="shared" si="7"/>
        <v>6367.3736953468342</v>
      </c>
      <c r="V50" s="53">
        <f t="shared" si="7"/>
        <v>6565.1384347883541</v>
      </c>
      <c r="W50" s="53">
        <f t="shared" si="7"/>
        <v>6762.9031742298757</v>
      </c>
      <c r="X50" s="53">
        <f t="shared" si="7"/>
        <v>6960.6679136713974</v>
      </c>
      <c r="Y50" s="53">
        <f t="shared" si="7"/>
        <v>7158.4326531129154</v>
      </c>
      <c r="Z50" s="53">
        <f t="shared" si="7"/>
        <v>7356.1973925544371</v>
      </c>
      <c r="AA50" s="53">
        <f t="shared" si="7"/>
        <v>7553.9621319959588</v>
      </c>
      <c r="AB50" s="53">
        <f t="shared" si="7"/>
        <v>7751.7268714374804</v>
      </c>
      <c r="AC50" s="53">
        <f t="shared" si="7"/>
        <v>7949.4916108790021</v>
      </c>
      <c r="AD50" s="53">
        <f t="shared" si="7"/>
        <v>8147.2563503205129</v>
      </c>
    </row>
    <row r="51" spans="1:30" s="52" customFormat="1" x14ac:dyDescent="0.35">
      <c r="A51" s="72" t="s">
        <v>30</v>
      </c>
      <c r="B51" s="10">
        <f>NPV('Cost Assumptions'!$B$3,'Valley S to Valley N to Vista'!D51:'Valley S to Valley N to Vista'!AD51)</f>
        <v>0</v>
      </c>
      <c r="C51" s="70" t="s">
        <v>141</v>
      </c>
      <c r="D51" s="53">
        <f>D14-D25</f>
        <v>0</v>
      </c>
      <c r="E51" s="53">
        <f t="shared" ref="E51:AD51" si="8">E14-E25</f>
        <v>0</v>
      </c>
      <c r="F51" s="53">
        <f t="shared" si="8"/>
        <v>0</v>
      </c>
      <c r="G51" s="53">
        <f t="shared" si="8"/>
        <v>0</v>
      </c>
      <c r="H51" s="53">
        <f t="shared" si="8"/>
        <v>0</v>
      </c>
      <c r="I51" s="53">
        <f t="shared" si="8"/>
        <v>0</v>
      </c>
      <c r="J51" s="53">
        <f t="shared" si="8"/>
        <v>0</v>
      </c>
      <c r="K51" s="53">
        <f t="shared" si="8"/>
        <v>0</v>
      </c>
      <c r="L51" s="53">
        <f t="shared" si="8"/>
        <v>0</v>
      </c>
      <c r="M51" s="53">
        <f t="shared" si="8"/>
        <v>0</v>
      </c>
      <c r="N51" s="53">
        <f t="shared" si="8"/>
        <v>0</v>
      </c>
      <c r="O51" s="53">
        <f t="shared" si="8"/>
        <v>0</v>
      </c>
      <c r="P51" s="53">
        <f t="shared" si="8"/>
        <v>0</v>
      </c>
      <c r="Q51" s="53">
        <f t="shared" si="8"/>
        <v>0</v>
      </c>
      <c r="R51" s="53">
        <f t="shared" si="8"/>
        <v>0</v>
      </c>
      <c r="S51" s="53">
        <f t="shared" si="8"/>
        <v>0</v>
      </c>
      <c r="T51" s="53">
        <f t="shared" si="8"/>
        <v>0</v>
      </c>
      <c r="U51" s="53">
        <f t="shared" si="8"/>
        <v>0</v>
      </c>
      <c r="V51" s="53">
        <f t="shared" si="8"/>
        <v>0</v>
      </c>
      <c r="W51" s="53">
        <f t="shared" si="8"/>
        <v>0</v>
      </c>
      <c r="X51" s="53">
        <f t="shared" si="8"/>
        <v>0</v>
      </c>
      <c r="Y51" s="53">
        <f t="shared" si="8"/>
        <v>0</v>
      </c>
      <c r="Z51" s="53">
        <f t="shared" si="8"/>
        <v>0</v>
      </c>
      <c r="AA51" s="53">
        <f t="shared" si="8"/>
        <v>0</v>
      </c>
      <c r="AB51" s="53">
        <f t="shared" si="8"/>
        <v>0</v>
      </c>
      <c r="AC51" s="53">
        <f t="shared" si="8"/>
        <v>0</v>
      </c>
      <c r="AD51" s="53">
        <f t="shared" si="8"/>
        <v>0</v>
      </c>
    </row>
    <row r="52" spans="1:30" s="66" customFormat="1" x14ac:dyDescent="0.35">
      <c r="A52" s="72" t="s">
        <v>30</v>
      </c>
      <c r="B52" s="10">
        <f>NPV('Cost Assumptions'!$B$3,'Valley S to Valley N to Vista'!D52:'Valley S to Valley N to Vista'!AD52)</f>
        <v>479183.40573156968</v>
      </c>
      <c r="C52" s="70" t="s">
        <v>142</v>
      </c>
      <c r="D52" s="53">
        <f>D15-D26</f>
        <v>41950.317319588241</v>
      </c>
      <c r="E52" s="53">
        <f t="shared" ref="E52:AD52" si="9">E15-E26</f>
        <v>44543.453126980952</v>
      </c>
      <c r="F52" s="53">
        <f t="shared" si="9"/>
        <v>45828.860716419767</v>
      </c>
      <c r="G52" s="53">
        <f t="shared" si="9"/>
        <v>47153.352767109565</v>
      </c>
      <c r="H52" s="53">
        <f t="shared" si="9"/>
        <v>48574.54795918976</v>
      </c>
      <c r="I52" s="53">
        <f t="shared" si="9"/>
        <v>50215.764777497636</v>
      </c>
      <c r="J52" s="53">
        <f t="shared" si="9"/>
        <v>51874.691963872247</v>
      </c>
      <c r="K52" s="53">
        <f t="shared" si="9"/>
        <v>50778.114869249301</v>
      </c>
      <c r="L52" s="53">
        <f t="shared" si="9"/>
        <v>49693.135746863452</v>
      </c>
      <c r="M52" s="53">
        <f t="shared" si="9"/>
        <v>48611.273086176574</v>
      </c>
      <c r="N52" s="53">
        <f t="shared" si="9"/>
        <v>50344.583019320264</v>
      </c>
      <c r="O52" s="53">
        <f t="shared" si="9"/>
        <v>52146.765099087497</v>
      </c>
      <c r="P52" s="53">
        <f t="shared" si="9"/>
        <v>54023.414660322465</v>
      </c>
      <c r="Q52" s="53">
        <f t="shared" si="9"/>
        <v>55888.522918306931</v>
      </c>
      <c r="R52" s="53">
        <f t="shared" si="9"/>
        <v>57769.072009230513</v>
      </c>
      <c r="S52" s="53">
        <f t="shared" si="9"/>
        <v>59689.474085032125</v>
      </c>
      <c r="T52" s="53">
        <f t="shared" si="9"/>
        <v>61697.84379550803</v>
      </c>
      <c r="U52" s="53">
        <f t="shared" si="9"/>
        <v>63562.358136175724</v>
      </c>
      <c r="V52" s="53">
        <f t="shared" si="9"/>
        <v>65462.168384773649</v>
      </c>
      <c r="W52" s="53">
        <f t="shared" si="9"/>
        <v>67413.848768282201</v>
      </c>
      <c r="X52" s="53">
        <f t="shared" si="9"/>
        <v>69383.773026755458</v>
      </c>
      <c r="Y52" s="53">
        <f t="shared" si="9"/>
        <v>71058.973139583541</v>
      </c>
      <c r="Z52" s="53">
        <f t="shared" si="9"/>
        <v>72692.90965949271</v>
      </c>
      <c r="AA52" s="53">
        <f t="shared" si="9"/>
        <v>74263.686691227922</v>
      </c>
      <c r="AB52" s="53">
        <f t="shared" si="9"/>
        <v>75805.906063189002</v>
      </c>
      <c r="AC52" s="53">
        <f t="shared" si="9"/>
        <v>76906.765075590141</v>
      </c>
      <c r="AD52" s="53">
        <f t="shared" si="9"/>
        <v>77904.270842658967</v>
      </c>
    </row>
    <row r="53" spans="1:30" x14ac:dyDescent="0.35">
      <c r="A53" s="72" t="s">
        <v>39</v>
      </c>
      <c r="B53" s="10">
        <f>NPV('Cost Assumptions'!$B$3,'Valley S to Valley N to Vista'!D53:'Valley S to Valley N to Vista'!AD53)</f>
        <v>3651.1526425215561</v>
      </c>
      <c r="C53" s="72" t="s">
        <v>31</v>
      </c>
      <c r="D53" s="53">
        <f>D8-SUM(D28,D27)</f>
        <v>22.2</v>
      </c>
      <c r="E53" s="53">
        <f t="shared" ref="E53:AD53" si="10">E8-SUM(E28,E27)</f>
        <v>65.8</v>
      </c>
      <c r="F53" s="53">
        <f t="shared" si="10"/>
        <v>102.72</v>
      </c>
      <c r="G53" s="53">
        <f t="shared" si="10"/>
        <v>139.63999999999999</v>
      </c>
      <c r="H53" s="53">
        <f t="shared" si="10"/>
        <v>176.56</v>
      </c>
      <c r="I53" s="53">
        <f t="shared" si="10"/>
        <v>213.48000000000002</v>
      </c>
      <c r="J53" s="53">
        <f t="shared" si="10"/>
        <v>250.4</v>
      </c>
      <c r="K53" s="53">
        <f t="shared" si="10"/>
        <v>216.60000000000014</v>
      </c>
      <c r="L53" s="53">
        <f t="shared" si="10"/>
        <v>182.59999999999991</v>
      </c>
      <c r="M53" s="53">
        <f t="shared" si="10"/>
        <v>151.20000000000005</v>
      </c>
      <c r="N53" s="53">
        <f t="shared" si="10"/>
        <v>202.60000000000014</v>
      </c>
      <c r="O53" s="53">
        <f t="shared" si="10"/>
        <v>292.1666666666668</v>
      </c>
      <c r="P53" s="53">
        <f t="shared" si="10"/>
        <v>381.73333333333346</v>
      </c>
      <c r="Q53" s="53">
        <f t="shared" si="10"/>
        <v>471.30000000000013</v>
      </c>
      <c r="R53" s="53">
        <f t="shared" si="10"/>
        <v>560.86666666666679</v>
      </c>
      <c r="S53" s="53">
        <f t="shared" si="10"/>
        <v>650.43333333333339</v>
      </c>
      <c r="T53" s="53">
        <f t="shared" si="10"/>
        <v>740</v>
      </c>
      <c r="U53" s="53">
        <f t="shared" si="10"/>
        <v>930.87999999999988</v>
      </c>
      <c r="V53" s="53">
        <f t="shared" si="10"/>
        <v>1121.7599999999998</v>
      </c>
      <c r="W53" s="53">
        <f t="shared" si="10"/>
        <v>1312.6399999999996</v>
      </c>
      <c r="X53" s="53">
        <f t="shared" si="10"/>
        <v>1503.5199999999995</v>
      </c>
      <c r="Y53" s="53">
        <f t="shared" si="10"/>
        <v>1694.3999999999994</v>
      </c>
      <c r="Z53" s="53">
        <f t="shared" si="10"/>
        <v>1887.3999999999994</v>
      </c>
      <c r="AA53" s="53">
        <f t="shared" si="10"/>
        <v>2079.1999999999998</v>
      </c>
      <c r="AB53" s="53">
        <f t="shared" si="10"/>
        <v>2249.9999999999995</v>
      </c>
      <c r="AC53" s="53">
        <f t="shared" si="10"/>
        <v>2420.7999999999993</v>
      </c>
      <c r="AD53" s="53">
        <f t="shared" si="10"/>
        <v>2591.5999999999995</v>
      </c>
    </row>
    <row r="54" spans="1:30" x14ac:dyDescent="0.35">
      <c r="A54" s="72" t="s">
        <v>39</v>
      </c>
      <c r="B54" s="10">
        <f>NPV('Cost Assumptions'!$B$3,'Valley S to Valley N to Vista'!D54:'Valley S to Valley N to Vista'!AD54)</f>
        <v>597.14277053067747</v>
      </c>
      <c r="C54" s="72" t="s">
        <v>32</v>
      </c>
      <c r="D54" s="53">
        <f t="shared" ref="D54:AD54" si="11">D9-D29</f>
        <v>13</v>
      </c>
      <c r="E54" s="53">
        <f t="shared" si="11"/>
        <v>27</v>
      </c>
      <c r="F54" s="53">
        <f t="shared" si="11"/>
        <v>34.519999999999982</v>
      </c>
      <c r="G54" s="53">
        <f t="shared" si="11"/>
        <v>42.039999999999964</v>
      </c>
      <c r="H54" s="53">
        <f t="shared" si="11"/>
        <v>49.559999999999945</v>
      </c>
      <c r="I54" s="53">
        <f t="shared" si="11"/>
        <v>57.079999999999927</v>
      </c>
      <c r="J54" s="53">
        <f t="shared" si="11"/>
        <v>64.599999999999909</v>
      </c>
      <c r="K54" s="53">
        <f t="shared" si="11"/>
        <v>59.799999999999955</v>
      </c>
      <c r="L54" s="53">
        <f t="shared" si="11"/>
        <v>52.799999999999955</v>
      </c>
      <c r="M54" s="53">
        <f t="shared" si="11"/>
        <v>46</v>
      </c>
      <c r="N54" s="53">
        <f t="shared" si="11"/>
        <v>57.400000000000091</v>
      </c>
      <c r="O54" s="53">
        <f t="shared" si="11"/>
        <v>67.333333333333414</v>
      </c>
      <c r="P54" s="53">
        <f t="shared" si="11"/>
        <v>77.266666666666737</v>
      </c>
      <c r="Q54" s="53">
        <f t="shared" si="11"/>
        <v>87.20000000000006</v>
      </c>
      <c r="R54" s="53">
        <f t="shared" si="11"/>
        <v>97.133333333333383</v>
      </c>
      <c r="S54" s="53">
        <f t="shared" si="11"/>
        <v>107.06666666666671</v>
      </c>
      <c r="T54" s="53">
        <f t="shared" si="11"/>
        <v>117</v>
      </c>
      <c r="U54" s="53">
        <f t="shared" si="11"/>
        <v>126.6</v>
      </c>
      <c r="V54" s="53">
        <f t="shared" si="11"/>
        <v>136.19999999999999</v>
      </c>
      <c r="W54" s="53">
        <f t="shared" si="11"/>
        <v>145.79999999999998</v>
      </c>
      <c r="X54" s="53">
        <f t="shared" si="11"/>
        <v>155.39999999999998</v>
      </c>
      <c r="Y54" s="53">
        <f t="shared" si="11"/>
        <v>165</v>
      </c>
      <c r="Z54" s="53">
        <f t="shared" si="11"/>
        <v>171.84</v>
      </c>
      <c r="AA54" s="53">
        <f t="shared" si="11"/>
        <v>177.47999999999996</v>
      </c>
      <c r="AB54" s="53">
        <f t="shared" si="11"/>
        <v>172.51999999999992</v>
      </c>
      <c r="AC54" s="53">
        <f t="shared" si="11"/>
        <v>167.55999999999992</v>
      </c>
      <c r="AD54" s="53">
        <f t="shared" si="11"/>
        <v>162.59999999999991</v>
      </c>
    </row>
    <row r="55" spans="1:30" x14ac:dyDescent="0.35">
      <c r="A55" s="72" t="s">
        <v>39</v>
      </c>
      <c r="B55" s="10">
        <f>NPV('Cost Assumptions'!$B$3,'Valley S to Valley N to Vista'!D55:'Valley S to Valley N to Vista'!AD55)</f>
        <v>54.04155031700688</v>
      </c>
      <c r="C55" s="72" t="s">
        <v>33</v>
      </c>
      <c r="D55" s="53">
        <f t="shared" ref="D55:AD55" si="12">D10-D30</f>
        <v>4.7253529883901121E-2</v>
      </c>
      <c r="E55" s="53">
        <f t="shared" si="12"/>
        <v>0.28011551949195379</v>
      </c>
      <c r="F55" s="53">
        <f t="shared" si="12"/>
        <v>0.59718244793816533</v>
      </c>
      <c r="G55" s="53">
        <f t="shared" si="12"/>
        <v>0.91424937638437687</v>
      </c>
      <c r="H55" s="53">
        <f t="shared" si="12"/>
        <v>1.2313163048305884</v>
      </c>
      <c r="I55" s="53">
        <f t="shared" si="12"/>
        <v>1.5483832332767999</v>
      </c>
      <c r="J55" s="53">
        <f t="shared" si="12"/>
        <v>1.8654501617230115</v>
      </c>
      <c r="K55" s="53">
        <f t="shared" si="12"/>
        <v>1.6136441894137561</v>
      </c>
      <c r="L55" s="53">
        <f t="shared" si="12"/>
        <v>1.1660127779459895</v>
      </c>
      <c r="M55" s="53">
        <f t="shared" si="12"/>
        <v>0.80458713045561225</v>
      </c>
      <c r="N55" s="53">
        <f t="shared" si="12"/>
        <v>0.56680711827214547</v>
      </c>
      <c r="O55" s="53">
        <f t="shared" si="12"/>
        <v>3.0445179689462347</v>
      </c>
      <c r="P55" s="53">
        <f t="shared" si="12"/>
        <v>4.5886299372095039</v>
      </c>
      <c r="Q55" s="53">
        <f t="shared" si="12"/>
        <v>6.1327419054727734</v>
      </c>
      <c r="R55" s="53">
        <f t="shared" si="12"/>
        <v>7.676853873736043</v>
      </c>
      <c r="S55" s="53">
        <f t="shared" si="12"/>
        <v>9.2209658419993126</v>
      </c>
      <c r="T55" s="53">
        <f t="shared" si="12"/>
        <v>10.765077810262582</v>
      </c>
      <c r="U55" s="53">
        <f t="shared" si="12"/>
        <v>11.285969377257926</v>
      </c>
      <c r="V55" s="53">
        <f t="shared" si="12"/>
        <v>11.80686094425327</v>
      </c>
      <c r="W55" s="53">
        <f t="shared" si="12"/>
        <v>12.327752511248613</v>
      </c>
      <c r="X55" s="53">
        <f t="shared" si="12"/>
        <v>12.848644078243957</v>
      </c>
      <c r="Y55" s="53">
        <f t="shared" si="12"/>
        <v>13.369535645239303</v>
      </c>
      <c r="Z55" s="53">
        <f t="shared" si="12"/>
        <v>31.024884631077057</v>
      </c>
      <c r="AA55" s="53">
        <f t="shared" si="12"/>
        <v>48.679189863178451</v>
      </c>
      <c r="AB55" s="53">
        <f t="shared" si="12"/>
        <v>66.236599956754389</v>
      </c>
      <c r="AC55" s="53">
        <f t="shared" si="12"/>
        <v>83.794010050330314</v>
      </c>
      <c r="AD55" s="53">
        <f t="shared" si="12"/>
        <v>101.35142014390625</v>
      </c>
    </row>
    <row r="56" spans="1:30" x14ac:dyDescent="0.35">
      <c r="A56" s="72" t="s">
        <v>39</v>
      </c>
      <c r="B56" s="10">
        <f>NPV('Cost Assumptions'!$B$3,'Valley S to Valley N to Vista'!D56:'Valley S to Valley N to Vista'!AD56)</f>
        <v>2.8980604518504158</v>
      </c>
      <c r="C56" s="72" t="s">
        <v>34</v>
      </c>
      <c r="D56" s="53">
        <f t="shared" ref="D56:AD56" si="13">D11-D31</f>
        <v>2.3626764941950561E-2</v>
      </c>
      <c r="E56" s="53">
        <f t="shared" si="13"/>
        <v>7.0028879872988448E-2</v>
      </c>
      <c r="F56" s="53">
        <f t="shared" si="13"/>
        <v>0.10932167994761965</v>
      </c>
      <c r="G56" s="53">
        <f t="shared" si="13"/>
        <v>0.14861448002225086</v>
      </c>
      <c r="H56" s="53">
        <f t="shared" si="13"/>
        <v>0.18790728009688207</v>
      </c>
      <c r="I56" s="53">
        <f t="shared" si="13"/>
        <v>0.22720008017151327</v>
      </c>
      <c r="J56" s="53">
        <f t="shared" si="13"/>
        <v>0.26649288024614448</v>
      </c>
      <c r="K56" s="53">
        <f t="shared" si="13"/>
        <v>0.23052059848767945</v>
      </c>
      <c r="L56" s="53">
        <f t="shared" si="13"/>
        <v>0.19433546299099821</v>
      </c>
      <c r="M56" s="53">
        <f t="shared" si="13"/>
        <v>0.16091742609112245</v>
      </c>
      <c r="N56" s="53">
        <f t="shared" si="13"/>
        <v>4.2212624824281168E-2</v>
      </c>
      <c r="O56" s="53">
        <f t="shared" si="13"/>
        <v>0.30677545020347896</v>
      </c>
      <c r="P56" s="53">
        <f t="shared" si="13"/>
        <v>0.39920718602367722</v>
      </c>
      <c r="Q56" s="53">
        <f t="shared" si="13"/>
        <v>0.49163892184387548</v>
      </c>
      <c r="R56" s="53">
        <f t="shared" si="13"/>
        <v>0.58407065766407373</v>
      </c>
      <c r="S56" s="53">
        <f t="shared" si="13"/>
        <v>0.67650239348427199</v>
      </c>
      <c r="T56" s="53">
        <f t="shared" si="13"/>
        <v>0.76893412930447014</v>
      </c>
      <c r="U56" s="53">
        <f t="shared" si="13"/>
        <v>0.69278283231502535</v>
      </c>
      <c r="V56" s="53">
        <f t="shared" si="13"/>
        <v>0.61663153532558057</v>
      </c>
      <c r="W56" s="53">
        <f t="shared" si="13"/>
        <v>0.54048023833613579</v>
      </c>
      <c r="X56" s="53">
        <f t="shared" si="13"/>
        <v>0.464328941346691</v>
      </c>
      <c r="Y56" s="53">
        <f t="shared" si="13"/>
        <v>0.38817764435724611</v>
      </c>
      <c r="Z56" s="53">
        <f t="shared" si="13"/>
        <v>0.85998146994216484</v>
      </c>
      <c r="AA56" s="53">
        <f t="shared" si="13"/>
        <v>1.3307415417907231</v>
      </c>
      <c r="AB56" s="53">
        <f t="shared" si="13"/>
        <v>1.7832359232529744</v>
      </c>
      <c r="AC56" s="53">
        <f t="shared" si="13"/>
        <v>2.2357303047152257</v>
      </c>
      <c r="AD56" s="53">
        <f t="shared" si="13"/>
        <v>2.6882246861774766</v>
      </c>
    </row>
    <row r="57" spans="1:30" x14ac:dyDescent="0.35">
      <c r="A57" s="72" t="s">
        <v>39</v>
      </c>
      <c r="B57" s="10">
        <f>NPV('Cost Assumptions'!$B$3,'Valley S to Valley N to Vista'!D57:'Valley S to Valley N to Vista'!AD57)</f>
        <v>80.97055774187946</v>
      </c>
      <c r="C57" s="72" t="s">
        <v>35</v>
      </c>
      <c r="D57" s="53">
        <f t="shared" ref="D57:AD57" si="14">D12-D32</f>
        <v>2</v>
      </c>
      <c r="E57" s="53">
        <f t="shared" si="14"/>
        <v>4</v>
      </c>
      <c r="F57" s="53">
        <f t="shared" si="14"/>
        <v>4.5999999999999996</v>
      </c>
      <c r="G57" s="53">
        <f t="shared" si="14"/>
        <v>5.1999999999999993</v>
      </c>
      <c r="H57" s="53">
        <f t="shared" si="14"/>
        <v>5.7999999999999989</v>
      </c>
      <c r="I57" s="53">
        <f t="shared" si="14"/>
        <v>6.3999999999999986</v>
      </c>
      <c r="J57" s="53">
        <f t="shared" si="14"/>
        <v>7</v>
      </c>
      <c r="K57" s="53">
        <f t="shared" si="14"/>
        <v>7</v>
      </c>
      <c r="L57" s="53">
        <f t="shared" si="14"/>
        <v>6</v>
      </c>
      <c r="M57" s="53">
        <f t="shared" si="14"/>
        <v>5</v>
      </c>
      <c r="N57" s="53">
        <f t="shared" si="14"/>
        <v>7</v>
      </c>
      <c r="O57" s="53">
        <f t="shared" si="14"/>
        <v>8.1666666666666661</v>
      </c>
      <c r="P57" s="53">
        <f t="shared" si="14"/>
        <v>9.3333333333333321</v>
      </c>
      <c r="Q57" s="53">
        <f t="shared" si="14"/>
        <v>10.499999999999998</v>
      </c>
      <c r="R57" s="53">
        <f t="shared" si="14"/>
        <v>11.666666666666664</v>
      </c>
      <c r="S57" s="53">
        <f t="shared" si="14"/>
        <v>12.83333333333333</v>
      </c>
      <c r="T57" s="53">
        <f t="shared" si="14"/>
        <v>14</v>
      </c>
      <c r="U57" s="53">
        <f t="shared" si="14"/>
        <v>17</v>
      </c>
      <c r="V57" s="53">
        <f t="shared" si="14"/>
        <v>20</v>
      </c>
      <c r="W57" s="53">
        <f t="shared" si="14"/>
        <v>23</v>
      </c>
      <c r="X57" s="53">
        <f t="shared" si="14"/>
        <v>26</v>
      </c>
      <c r="Y57" s="53">
        <f t="shared" si="14"/>
        <v>29</v>
      </c>
      <c r="Z57" s="53">
        <f t="shared" si="14"/>
        <v>30.6</v>
      </c>
      <c r="AA57" s="53">
        <f t="shared" si="14"/>
        <v>31.200000000000003</v>
      </c>
      <c r="AB57" s="53">
        <f t="shared" si="14"/>
        <v>31.466666666666672</v>
      </c>
      <c r="AC57" s="53">
        <f t="shared" si="14"/>
        <v>31.733333333333341</v>
      </c>
      <c r="AD57" s="53">
        <f t="shared" si="14"/>
        <v>32</v>
      </c>
    </row>
    <row r="59" spans="1:30" ht="15" thickBot="1" x14ac:dyDescent="0.4">
      <c r="A59" s="177" t="s">
        <v>143</v>
      </c>
      <c r="B59" s="177"/>
      <c r="C59" s="177"/>
      <c r="D59" s="177"/>
      <c r="E59" s="177"/>
      <c r="F59" s="177"/>
      <c r="G59" s="177"/>
      <c r="H59" s="177"/>
      <c r="I59" s="177"/>
      <c r="J59" s="177"/>
      <c r="K59" s="177"/>
      <c r="L59" s="177"/>
      <c r="M59" s="177"/>
      <c r="N59" s="177"/>
      <c r="O59" s="177"/>
      <c r="P59" s="177"/>
      <c r="Q59" s="177"/>
      <c r="R59" s="177"/>
      <c r="S59" s="177"/>
      <c r="T59" s="177"/>
      <c r="U59" s="177"/>
      <c r="V59" s="177"/>
      <c r="W59" s="177"/>
      <c r="X59" s="177"/>
      <c r="Y59" s="177"/>
      <c r="Z59" s="177"/>
      <c r="AA59" s="177"/>
      <c r="AB59" s="177"/>
      <c r="AC59" s="177"/>
      <c r="AD59" s="177"/>
    </row>
    <row r="60" spans="1:30" ht="15.5" thickTop="1" thickBot="1" x14ac:dyDescent="0.4">
      <c r="A60" s="177"/>
      <c r="B60" s="177"/>
      <c r="C60" s="177"/>
      <c r="D60" s="177"/>
      <c r="E60" s="177"/>
      <c r="F60" s="177"/>
      <c r="G60" s="177"/>
      <c r="H60" s="177"/>
      <c r="I60" s="177"/>
      <c r="J60" s="177"/>
      <c r="K60" s="177"/>
      <c r="L60" s="177"/>
      <c r="M60" s="177"/>
      <c r="N60" s="177"/>
      <c r="O60" s="177"/>
      <c r="P60" s="177"/>
      <c r="Q60" s="177"/>
      <c r="R60" s="177"/>
      <c r="S60" s="177"/>
      <c r="T60" s="177"/>
      <c r="U60" s="177"/>
      <c r="V60" s="177"/>
      <c r="W60" s="177"/>
      <c r="X60" s="177"/>
      <c r="Y60" s="177"/>
      <c r="Z60" s="177"/>
      <c r="AA60" s="177"/>
      <c r="AB60" s="177"/>
      <c r="AC60" s="177"/>
      <c r="AD60" s="177"/>
    </row>
    <row r="61" spans="1:30" ht="15" thickTop="1" x14ac:dyDescent="0.35">
      <c r="A61" s="72" t="str">
        <f>'Baseline System Analysis'!A17</f>
        <v>Residential</v>
      </c>
      <c r="B61" s="72" t="str">
        <f>'Baseline System Analysis'!B17</f>
        <v>Cost of Reliability (N-1)</v>
      </c>
      <c r="C61" s="72" t="str">
        <f>'Baseline System Analysis'!C17</f>
        <v>$/kWh</v>
      </c>
      <c r="D61" s="4">
        <f>'Baseline System Analysis'!D17</f>
        <v>4.4933261328125003</v>
      </c>
      <c r="E61" s="4">
        <f>'Baseline System Analysis'!E17</f>
        <v>4.6056592861328127</v>
      </c>
      <c r="F61" s="4">
        <f>'Baseline System Analysis'!F17</f>
        <v>4.720800768286133</v>
      </c>
      <c r="G61" s="4">
        <f>'Baseline System Analysis'!G17</f>
        <v>4.8388207874932858</v>
      </c>
      <c r="H61" s="4">
        <f>'Baseline System Analysis'!H17</f>
        <v>4.9597913071806179</v>
      </c>
      <c r="I61" s="4">
        <f>'Baseline System Analysis'!I17</f>
        <v>5.0837860898601326</v>
      </c>
      <c r="J61" s="4">
        <f>'Baseline System Analysis'!J17</f>
        <v>5.2108807421066352</v>
      </c>
      <c r="K61" s="4">
        <f>'Baseline System Analysis'!K17</f>
        <v>5.341152760659301</v>
      </c>
      <c r="L61" s="4">
        <f>'Baseline System Analysis'!L17</f>
        <v>5.4746815796757833</v>
      </c>
      <c r="M61" s="4">
        <f>'Baseline System Analysis'!M17</f>
        <v>5.6115486191676771</v>
      </c>
      <c r="N61" s="4">
        <f>'Baseline System Analysis'!N17</f>
        <v>5.7518373346468685</v>
      </c>
      <c r="O61" s="4">
        <f>'Baseline System Analysis'!O17</f>
        <v>5.8956332680130394</v>
      </c>
      <c r="P61" s="4">
        <f>'Baseline System Analysis'!P17</f>
        <v>6.0430240997133646</v>
      </c>
      <c r="Q61" s="4">
        <f>'Baseline System Analysis'!Q17</f>
        <v>6.1940997022061985</v>
      </c>
      <c r="R61" s="4">
        <f>'Baseline System Analysis'!R17</f>
        <v>6.3489521947613525</v>
      </c>
      <c r="S61" s="4">
        <f>'Baseline System Analysis'!S17</f>
        <v>6.5076759996303855</v>
      </c>
      <c r="T61" s="4">
        <f>'Baseline System Analysis'!T17</f>
        <v>6.6703678996211444</v>
      </c>
      <c r="U61" s="4">
        <f>'Baseline System Analysis'!U17</f>
        <v>6.8371270971116722</v>
      </c>
      <c r="V61" s="4">
        <f>'Baseline System Analysis'!V17</f>
        <v>7.0080552745394638</v>
      </c>
      <c r="W61" s="4">
        <f>'Baseline System Analysis'!W17</f>
        <v>7.1832566564029499</v>
      </c>
      <c r="X61" s="4">
        <f>'Baseline System Analysis'!X17</f>
        <v>7.3628380728130232</v>
      </c>
      <c r="Y61" s="4">
        <f>'Baseline System Analysis'!Y17</f>
        <v>7.5469090246333481</v>
      </c>
      <c r="Z61" s="4">
        <f>'Baseline System Analysis'!Z17</f>
        <v>7.7355817502491808</v>
      </c>
      <c r="AA61" s="4">
        <f>'Baseline System Analysis'!AA17</f>
        <v>7.92897129400541</v>
      </c>
      <c r="AB61" s="4">
        <f>'Baseline System Analysis'!AB17</f>
        <v>8.127195576355545</v>
      </c>
      <c r="AC61" s="4">
        <f>'Baseline System Analysis'!AC17</f>
        <v>8.3303754657644333</v>
      </c>
      <c r="AD61" s="4">
        <f>'Baseline System Analysis'!AD17</f>
        <v>8.5386348524085438</v>
      </c>
    </row>
    <row r="62" spans="1:30" x14ac:dyDescent="0.35">
      <c r="A62" s="72" t="str">
        <f>'Baseline System Analysis'!A18</f>
        <v>Residential</v>
      </c>
      <c r="B62" s="72" t="str">
        <f>'Baseline System Analysis'!B18</f>
        <v>Cost of Reliability (N-0)</v>
      </c>
      <c r="C62" s="72" t="str">
        <f>'Baseline System Analysis'!C18</f>
        <v>$/kWh</v>
      </c>
      <c r="D62" s="4">
        <f>'Baseline System Analysis'!D18</f>
        <v>3.7920011132812497</v>
      </c>
      <c r="E62" s="4">
        <f>'Baseline System Analysis'!E18</f>
        <v>3.8868011411132808</v>
      </c>
      <c r="F62" s="4">
        <f>'Baseline System Analysis'!F18</f>
        <v>3.9839711696411126</v>
      </c>
      <c r="G62" s="4">
        <f>'Baseline System Analysis'!G18</f>
        <v>4.0835704488821403</v>
      </c>
      <c r="H62" s="4">
        <f>'Baseline System Analysis'!H18</f>
        <v>4.1856597101041935</v>
      </c>
      <c r="I62" s="4">
        <f>'Baseline System Analysis'!I18</f>
        <v>4.2903012028567975</v>
      </c>
      <c r="J62" s="4">
        <f>'Baseline System Analysis'!J18</f>
        <v>4.3975587329282169</v>
      </c>
      <c r="K62" s="4">
        <f>'Baseline System Analysis'!K18</f>
        <v>4.5074977012514221</v>
      </c>
      <c r="L62" s="4">
        <f>'Baseline System Analysis'!L18</f>
        <v>4.6201851437827068</v>
      </c>
      <c r="M62" s="4">
        <f>'Baseline System Analysis'!M18</f>
        <v>4.735689772377274</v>
      </c>
      <c r="N62" s="4">
        <f>'Baseline System Analysis'!N18</f>
        <v>4.8540820166867054</v>
      </c>
      <c r="O62" s="4">
        <f>'Baseline System Analysis'!O18</f>
        <v>4.9754340671038726</v>
      </c>
      <c r="P62" s="4">
        <f>'Baseline System Analysis'!P18</f>
        <v>5.0998199187814688</v>
      </c>
      <c r="Q62" s="4">
        <f>'Baseline System Analysis'!Q18</f>
        <v>5.2273154167510052</v>
      </c>
      <c r="R62" s="4">
        <f>'Baseline System Analysis'!R18</f>
        <v>5.3579983021697801</v>
      </c>
      <c r="S62" s="4">
        <f>'Baseline System Analysis'!S18</f>
        <v>5.4919482597240243</v>
      </c>
      <c r="T62" s="4">
        <f>'Baseline System Analysis'!T18</f>
        <v>5.6292469662171243</v>
      </c>
      <c r="U62" s="4">
        <f>'Baseline System Analysis'!U18</f>
        <v>5.7699781403725519</v>
      </c>
      <c r="V62" s="4">
        <f>'Baseline System Analysis'!V18</f>
        <v>5.9142275938818649</v>
      </c>
      <c r="W62" s="4">
        <f>'Baseline System Analysis'!W18</f>
        <v>6.0620832837289109</v>
      </c>
      <c r="X62" s="4">
        <f>'Baseline System Analysis'!X18</f>
        <v>6.2136353658221335</v>
      </c>
      <c r="Y62" s="4">
        <f>'Baseline System Analysis'!Y18</f>
        <v>6.3689762499676865</v>
      </c>
      <c r="Z62" s="4">
        <f>'Baseline System Analysis'!Z18</f>
        <v>6.5282006562168782</v>
      </c>
      <c r="AA62" s="4">
        <f>'Baseline System Analysis'!AA18</f>
        <v>6.6914056726222997</v>
      </c>
      <c r="AB62" s="4">
        <f>'Baseline System Analysis'!AB18</f>
        <v>6.8586908144378569</v>
      </c>
      <c r="AC62" s="4">
        <f>'Baseline System Analysis'!AC18</f>
        <v>7.0301580847988028</v>
      </c>
      <c r="AD62" s="4">
        <f>'Baseline System Analysis'!AD18</f>
        <v>7.2059120369187726</v>
      </c>
    </row>
    <row r="63" spans="1:30" x14ac:dyDescent="0.35">
      <c r="A63" s="72" t="str">
        <f>'Baseline System Analysis'!A19</f>
        <v>Commerical</v>
      </c>
      <c r="B63" s="72" t="str">
        <f>'Baseline System Analysis'!B19</f>
        <v>Cost of Reliability (N-1)</v>
      </c>
      <c r="C63" s="72" t="str">
        <f>'Baseline System Analysis'!C19</f>
        <v>$/kWh</v>
      </c>
      <c r="D63" s="4">
        <f>'Baseline System Analysis'!D19</f>
        <v>166.59767191406246</v>
      </c>
      <c r="E63" s="4">
        <f>'Baseline System Analysis'!E19</f>
        <v>170.76261371191401</v>
      </c>
      <c r="F63" s="4">
        <f>'Baseline System Analysis'!F19</f>
        <v>175.03167905471184</v>
      </c>
      <c r="G63" s="4">
        <f>'Baseline System Analysis'!G19</f>
        <v>179.40747103107964</v>
      </c>
      <c r="H63" s="4">
        <f>'Baseline System Analysis'!H19</f>
        <v>183.89265780685662</v>
      </c>
      <c r="I63" s="4">
        <f>'Baseline System Analysis'!I19</f>
        <v>188.48997425202802</v>
      </c>
      <c r="J63" s="4">
        <f>'Baseline System Analysis'!J19</f>
        <v>193.20222360832869</v>
      </c>
      <c r="K63" s="4">
        <f>'Baseline System Analysis'!K19</f>
        <v>198.03227919853688</v>
      </c>
      <c r="L63" s="4">
        <f>'Baseline System Analysis'!L19</f>
        <v>202.98308617850029</v>
      </c>
      <c r="M63" s="4">
        <f>'Baseline System Analysis'!M19</f>
        <v>208.05766333296279</v>
      </c>
      <c r="N63" s="4">
        <f>'Baseline System Analysis'!N19</f>
        <v>213.25910491628684</v>
      </c>
      <c r="O63" s="4">
        <f>'Baseline System Analysis'!O19</f>
        <v>218.590582539194</v>
      </c>
      <c r="P63" s="4">
        <f>'Baseline System Analysis'!P19</f>
        <v>224.05534710267384</v>
      </c>
      <c r="Q63" s="4">
        <f>'Baseline System Analysis'!Q19</f>
        <v>229.65673078024065</v>
      </c>
      <c r="R63" s="4">
        <f>'Baseline System Analysis'!R19</f>
        <v>235.39814904974665</v>
      </c>
      <c r="S63" s="4">
        <f>'Baseline System Analysis'!S19</f>
        <v>241.2831027759903</v>
      </c>
      <c r="T63" s="4">
        <f>'Baseline System Analysis'!T19</f>
        <v>247.31518034539005</v>
      </c>
      <c r="U63" s="4">
        <f>'Baseline System Analysis'!U19</f>
        <v>253.49805985402477</v>
      </c>
      <c r="V63" s="4">
        <f>'Baseline System Analysis'!V19</f>
        <v>259.83551135037538</v>
      </c>
      <c r="W63" s="4">
        <f>'Baseline System Analysis'!W19</f>
        <v>266.33139913413476</v>
      </c>
      <c r="X63" s="4">
        <f>'Baseline System Analysis'!X19</f>
        <v>272.98968411248808</v>
      </c>
      <c r="Y63" s="4">
        <f>'Baseline System Analysis'!Y19</f>
        <v>279.81442621530027</v>
      </c>
      <c r="Z63" s="4">
        <f>'Baseline System Analysis'!Z19</f>
        <v>286.80978687068273</v>
      </c>
      <c r="AA63" s="4">
        <f>'Baseline System Analysis'!AA19</f>
        <v>293.98003154244975</v>
      </c>
      <c r="AB63" s="4">
        <f>'Baseline System Analysis'!AB19</f>
        <v>301.32953233101097</v>
      </c>
      <c r="AC63" s="4">
        <f>'Baseline System Analysis'!AC19</f>
        <v>308.86277063928623</v>
      </c>
      <c r="AD63" s="4">
        <f>'Baseline System Analysis'!AD19</f>
        <v>316.58433990526834</v>
      </c>
    </row>
    <row r="64" spans="1:30" x14ac:dyDescent="0.35">
      <c r="A64" s="72" t="str">
        <f>'Baseline System Analysis'!A20</f>
        <v>Commerical</v>
      </c>
      <c r="B64" s="72" t="str">
        <f>'Baseline System Analysis'!B20</f>
        <v>Cost of Reliability (N-0)</v>
      </c>
      <c r="C64" s="72" t="str">
        <f>'Baseline System Analysis'!C20</f>
        <v>$/kWh</v>
      </c>
      <c r="D64" s="4">
        <f>'Baseline System Analysis'!D20</f>
        <v>153.83719106445315</v>
      </c>
      <c r="E64" s="4">
        <f>'Baseline System Analysis'!E20</f>
        <v>157.68312084106446</v>
      </c>
      <c r="F64" s="4">
        <f>'Baseline System Analysis'!F20</f>
        <v>161.62519886209105</v>
      </c>
      <c r="G64" s="4">
        <f>'Baseline System Analysis'!G20</f>
        <v>165.6658288336433</v>
      </c>
      <c r="H64" s="4">
        <f>'Baseline System Analysis'!H20</f>
        <v>169.80747455448437</v>
      </c>
      <c r="I64" s="4">
        <f>'Baseline System Analysis'!I20</f>
        <v>174.05266141834647</v>
      </c>
      <c r="J64" s="4">
        <f>'Baseline System Analysis'!J20</f>
        <v>178.40397795380511</v>
      </c>
      <c r="K64" s="4">
        <f>'Baseline System Analysis'!K20</f>
        <v>182.86407740265022</v>
      </c>
      <c r="L64" s="4">
        <f>'Baseline System Analysis'!L20</f>
        <v>187.43567933771646</v>
      </c>
      <c r="M64" s="4">
        <f>'Baseline System Analysis'!M20</f>
        <v>192.12157132115937</v>
      </c>
      <c r="N64" s="4">
        <f>'Baseline System Analysis'!N20</f>
        <v>196.92461060418833</v>
      </c>
      <c r="O64" s="4">
        <f>'Baseline System Analysis'!O20</f>
        <v>201.84772586929301</v>
      </c>
      <c r="P64" s="4">
        <f>'Baseline System Analysis'!P20</f>
        <v>206.89391901602534</v>
      </c>
      <c r="Q64" s="4">
        <f>'Baseline System Analysis'!Q20</f>
        <v>212.06626699142595</v>
      </c>
      <c r="R64" s="4">
        <f>'Baseline System Analysis'!R20</f>
        <v>217.36792366621157</v>
      </c>
      <c r="S64" s="4">
        <f>'Baseline System Analysis'!S20</f>
        <v>222.80212175786684</v>
      </c>
      <c r="T64" s="4">
        <f>'Baseline System Analysis'!T20</f>
        <v>228.37217480181349</v>
      </c>
      <c r="U64" s="4">
        <f>'Baseline System Analysis'!U20</f>
        <v>234.0814791718588</v>
      </c>
      <c r="V64" s="4">
        <f>'Baseline System Analysis'!V20</f>
        <v>239.93351615115526</v>
      </c>
      <c r="W64" s="4">
        <f>'Baseline System Analysis'!W20</f>
        <v>245.93185405493412</v>
      </c>
      <c r="X64" s="4">
        <f>'Baseline System Analysis'!X20</f>
        <v>252.08015040630744</v>
      </c>
      <c r="Y64" s="4">
        <f>'Baseline System Analysis'!Y20</f>
        <v>258.38215416646511</v>
      </c>
      <c r="Z64" s="4">
        <f>'Baseline System Analysis'!Z20</f>
        <v>264.8417080206267</v>
      </c>
      <c r="AA64" s="4">
        <f>'Baseline System Analysis'!AA20</f>
        <v>271.46275072114236</v>
      </c>
      <c r="AB64" s="4">
        <f>'Baseline System Analysis'!AB20</f>
        <v>278.24931948917089</v>
      </c>
      <c r="AC64" s="4">
        <f>'Baseline System Analysis'!AC20</f>
        <v>285.20555247640016</v>
      </c>
      <c r="AD64" s="4">
        <f>'Baseline System Analysis'!AD20</f>
        <v>292.33569128831016</v>
      </c>
    </row>
    <row r="66" spans="1:30" x14ac:dyDescent="0.35">
      <c r="A66" s="72" t="s">
        <v>117</v>
      </c>
      <c r="B66" s="72" t="s">
        <v>31</v>
      </c>
      <c r="C66" s="18">
        <f>NPV('Cost Assumptions'!$B$3,D66:AD66)</f>
        <v>34143.207027077427</v>
      </c>
      <c r="D66" s="4">
        <f>'Baseline System Analysis'!D24-D35</f>
        <v>85.467055666139231</v>
      </c>
      <c r="E66" s="4">
        <f>'Baseline System Analysis'!E24-E35</f>
        <v>-38.570120586914072</v>
      </c>
      <c r="F66" s="4">
        <f>'Baseline System Analysis'!F24-F35</f>
        <v>-162.6072968399676</v>
      </c>
      <c r="G66" s="4">
        <f>'Baseline System Analysis'!G24-G35</f>
        <v>-286.64447309302159</v>
      </c>
      <c r="H66" s="4">
        <f>'Baseline System Analysis'!H24-H35</f>
        <v>-410.68164934607557</v>
      </c>
      <c r="I66" s="4">
        <f>'Baseline System Analysis'!I24-I35</f>
        <v>-534.71882559912774</v>
      </c>
      <c r="J66" s="4">
        <f>'Baseline System Analysis'!J24-J35</f>
        <v>-658.75600185218173</v>
      </c>
      <c r="K66" s="4">
        <f>'Baseline System Analysis'!K24-K35</f>
        <v>-1572.2209183654504</v>
      </c>
      <c r="L66" s="4">
        <f>'Baseline System Analysis'!L24-L35</f>
        <v>-1299.1265165287841</v>
      </c>
      <c r="M66" s="4">
        <f>'Baseline System Analysis'!M24-M35</f>
        <v>-1202.7397104637585</v>
      </c>
      <c r="N66" s="4">
        <f>'Baseline System Analysis'!N24-N35</f>
        <v>-1056.4556606256465</v>
      </c>
      <c r="O66" s="4">
        <f>'Baseline System Analysis'!O24-O35</f>
        <v>1671.6038953372336</v>
      </c>
      <c r="P66" s="4">
        <f>'Baseline System Analysis'!P24-P35</f>
        <v>993.47922227187519</v>
      </c>
      <c r="Q66" s="4">
        <f>'Baseline System Analysis'!Q24-Q35</f>
        <v>315.35454920651682</v>
      </c>
      <c r="R66" s="4">
        <f>'Baseline System Analysis'!R24-R35</f>
        <v>-362.77012385884154</v>
      </c>
      <c r="S66" s="4">
        <f>'Baseline System Analysis'!S24-S35</f>
        <v>-1040.8947969242072</v>
      </c>
      <c r="T66" s="4">
        <f>'Baseline System Analysis'!T24-T35</f>
        <v>-1719.0194699895728</v>
      </c>
      <c r="U66" s="4">
        <f>'Baseline System Analysis'!U24-U35</f>
        <v>4040.5971902026795</v>
      </c>
      <c r="V66" s="4">
        <f>'Baseline System Analysis'!V24-V35</f>
        <v>9800.21385039491</v>
      </c>
      <c r="W66" s="4">
        <f>'Baseline System Analysis'!W24-W35</f>
        <v>15559.83051058714</v>
      </c>
      <c r="X66" s="4">
        <f>'Baseline System Analysis'!X24-X35</f>
        <v>21319.447170779371</v>
      </c>
      <c r="Y66" s="4">
        <f>'Baseline System Analysis'!Y24-Y35</f>
        <v>27079.063830971601</v>
      </c>
      <c r="Z66" s="4">
        <f>'Baseline System Analysis'!Z24-Z35</f>
        <v>37562.495116897771</v>
      </c>
      <c r="AA66" s="4">
        <f>'Baseline System Analysis'!AA24-AA35</f>
        <v>48045.926402823883</v>
      </c>
      <c r="AB66" s="4">
        <f>'Baseline System Analysis'!AB24-AB35</f>
        <v>58529.357688750024</v>
      </c>
      <c r="AC66" s="4">
        <f>'Baseline System Analysis'!AC24-AC35</f>
        <v>69012.788974676165</v>
      </c>
      <c r="AD66" s="4">
        <f>'Baseline System Analysis'!AD24-AD35</f>
        <v>79496.220260602364</v>
      </c>
    </row>
    <row r="67" spans="1:30" x14ac:dyDescent="0.35">
      <c r="A67" s="72" t="s">
        <v>119</v>
      </c>
      <c r="B67" s="72" t="s">
        <v>31</v>
      </c>
      <c r="C67" s="18">
        <f>NPV('Cost Assumptions'!$B$3,D67:AD67)</f>
        <v>141676.75371356108</v>
      </c>
      <c r="D67" s="4">
        <f>'Baseline System Analysis'!D25-D36</f>
        <v>354.64433632821692</v>
      </c>
      <c r="E67" s="4">
        <f>'Baseline System Analysis'!E25-E36</f>
        <v>-160.04616879606328</v>
      </c>
      <c r="F67" s="4">
        <f>'Baseline System Analysis'!F25-F36</f>
        <v>-674.73667392034622</v>
      </c>
      <c r="G67" s="4">
        <f>'Baseline System Analysis'!G25-G36</f>
        <v>-1189.4271790446255</v>
      </c>
      <c r="H67" s="4">
        <f>'Baseline System Analysis'!H25-H36</f>
        <v>-1704.1176841689012</v>
      </c>
      <c r="I67" s="4">
        <f>'Baseline System Analysis'!I25-I36</f>
        <v>-2218.8081892931805</v>
      </c>
      <c r="J67" s="4">
        <f>'Baseline System Analysis'!J25-J36</f>
        <v>-2733.498694417467</v>
      </c>
      <c r="K67" s="4">
        <f>'Baseline System Analysis'!K25-K36</f>
        <v>-6523.9084207268679</v>
      </c>
      <c r="L67" s="4">
        <f>'Baseline System Analysis'!L25-L36</f>
        <v>-5390.7070703416684</v>
      </c>
      <c r="M67" s="4">
        <f>'Baseline System Analysis'!M25-M36</f>
        <v>-4990.7513844776477</v>
      </c>
      <c r="N67" s="4">
        <f>'Baseline System Analysis'!N25-N36</f>
        <v>-4383.7477926738648</v>
      </c>
      <c r="O67" s="4">
        <f>'Baseline System Analysis'!O25-O36</f>
        <v>6936.2966753095388</v>
      </c>
      <c r="P67" s="4">
        <f>'Baseline System Analysis'!P25-P36</f>
        <v>4122.4279541674769</v>
      </c>
      <c r="Q67" s="4">
        <f>'Baseline System Analysis'!Q25-Q36</f>
        <v>1308.5592330254149</v>
      </c>
      <c r="R67" s="4">
        <f>'Baseline System Analysis'!R25-R36</f>
        <v>-1505.3094881166471</v>
      </c>
      <c r="S67" s="4">
        <f>'Baseline System Analysis'!S25-S36</f>
        <v>-4319.1782092587091</v>
      </c>
      <c r="T67" s="4">
        <f>'Baseline System Analysis'!T25-T36</f>
        <v>-7133.0469304008002</v>
      </c>
      <c r="U67" s="4">
        <f>'Baseline System Analysis'!U25-U36</f>
        <v>16766.400781217089</v>
      </c>
      <c r="V67" s="4">
        <f>'Baseline System Analysis'!V25-V36</f>
        <v>40665.84849283495</v>
      </c>
      <c r="W67" s="4">
        <f>'Baseline System Analysis'!W25-W36</f>
        <v>64565.29620445281</v>
      </c>
      <c r="X67" s="4">
        <f>'Baseline System Analysis'!X25-X36</f>
        <v>88464.743916070671</v>
      </c>
      <c r="Y67" s="4">
        <f>'Baseline System Analysis'!Y25-Y36</f>
        <v>112364.19162768847</v>
      </c>
      <c r="Z67" s="4">
        <f>'Baseline System Analysis'!Z25-Z36</f>
        <v>155865.04118734784</v>
      </c>
      <c r="AA67" s="4">
        <f>'Baseline System Analysis'!AA25-AA36</f>
        <v>199365.89074700733</v>
      </c>
      <c r="AB67" s="4">
        <f>'Baseline System Analysis'!AB25-AB36</f>
        <v>242866.74030666659</v>
      </c>
      <c r="AC67" s="4">
        <f>'Baseline System Analysis'!AC25-AC36</f>
        <v>286367.58986632596</v>
      </c>
      <c r="AD67" s="4">
        <f>'Baseline System Analysis'!AD25-AD36</f>
        <v>329868.43942598533</v>
      </c>
    </row>
    <row r="68" spans="1:30" x14ac:dyDescent="0.35">
      <c r="A68" s="72" t="s">
        <v>24</v>
      </c>
      <c r="B68" s="72" t="s">
        <v>31</v>
      </c>
      <c r="C68" s="18">
        <f>NPV('Cost Assumptions'!$B$3,D68:AD68)</f>
        <v>175819.96074063852</v>
      </c>
      <c r="D68" s="4">
        <f>SUM(D66:D67)</f>
        <v>440.11139199435615</v>
      </c>
      <c r="E68" s="4">
        <f t="shared" ref="E68:AD68" si="15">SUM(E66:E67)</f>
        <v>-198.61628938297736</v>
      </c>
      <c r="F68" s="4">
        <f t="shared" si="15"/>
        <v>-837.34397076031382</v>
      </c>
      <c r="G68" s="4">
        <f t="shared" si="15"/>
        <v>-1476.0716521376471</v>
      </c>
      <c r="H68" s="4">
        <f t="shared" si="15"/>
        <v>-2114.7993335149768</v>
      </c>
      <c r="I68" s="4">
        <f t="shared" si="15"/>
        <v>-2753.5270148923082</v>
      </c>
      <c r="J68" s="4">
        <f t="shared" si="15"/>
        <v>-3392.2546962696488</v>
      </c>
      <c r="K68" s="4">
        <f t="shared" si="15"/>
        <v>-8096.1293390923183</v>
      </c>
      <c r="L68" s="4">
        <f t="shared" si="15"/>
        <v>-6689.8335868704526</v>
      </c>
      <c r="M68" s="4">
        <f t="shared" si="15"/>
        <v>-6193.4910949414061</v>
      </c>
      <c r="N68" s="4">
        <f t="shared" si="15"/>
        <v>-5440.2034532995112</v>
      </c>
      <c r="O68" s="4">
        <f t="shared" si="15"/>
        <v>8607.9005706467724</v>
      </c>
      <c r="P68" s="4">
        <f t="shared" si="15"/>
        <v>5115.907176439352</v>
      </c>
      <c r="Q68" s="4">
        <f t="shared" si="15"/>
        <v>1623.9137822319317</v>
      </c>
      <c r="R68" s="4">
        <f t="shared" si="15"/>
        <v>-1868.0796119754887</v>
      </c>
      <c r="S68" s="4">
        <f t="shared" si="15"/>
        <v>-5360.0730061829163</v>
      </c>
      <c r="T68" s="4">
        <f t="shared" si="15"/>
        <v>-8852.066400390373</v>
      </c>
      <c r="U68" s="4">
        <f t="shared" si="15"/>
        <v>20806.997971419769</v>
      </c>
      <c r="V68" s="4">
        <f t="shared" si="15"/>
        <v>50466.06234322986</v>
      </c>
      <c r="W68" s="4">
        <f t="shared" si="15"/>
        <v>80125.126715039951</v>
      </c>
      <c r="X68" s="4">
        <f t="shared" si="15"/>
        <v>109784.19108685004</v>
      </c>
      <c r="Y68" s="4">
        <f t="shared" si="15"/>
        <v>139443.25545866007</v>
      </c>
      <c r="Z68" s="4">
        <f t="shared" si="15"/>
        <v>193427.53630424562</v>
      </c>
      <c r="AA68" s="4">
        <f t="shared" si="15"/>
        <v>247411.81714983121</v>
      </c>
      <c r="AB68" s="4">
        <f t="shared" si="15"/>
        <v>301396.09799541661</v>
      </c>
      <c r="AC68" s="4">
        <f t="shared" si="15"/>
        <v>355380.37884100212</v>
      </c>
      <c r="AD68" s="4">
        <f t="shared" si="15"/>
        <v>409364.65968658769</v>
      </c>
    </row>
    <row r="69" spans="1:30" x14ac:dyDescent="0.35">
      <c r="A69" s="72"/>
      <c r="B69" s="72"/>
      <c r="C69" s="72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</row>
    <row r="70" spans="1:30" x14ac:dyDescent="0.35">
      <c r="A70" s="72" t="s">
        <v>120</v>
      </c>
      <c r="B70" s="72" t="s">
        <v>31</v>
      </c>
      <c r="C70" s="18">
        <f>NPV('Cost Assumptions'!$B$3,D70:AD70)</f>
        <v>24212192.099315453</v>
      </c>
      <c r="D70" s="4">
        <f>'Baseline System Analysis'!D28-D33</f>
        <v>160311.2620318876</v>
      </c>
      <c r="E70" s="4">
        <f>'Baseline System Analysis'!E28-E33</f>
        <v>426681.41358302307</v>
      </c>
      <c r="F70" s="4">
        <f>'Baseline System Analysis'!F28-F33</f>
        <v>622797.58403751405</v>
      </c>
      <c r="G70" s="4">
        <f>'Baseline System Analysis'!G28-G33</f>
        <v>833710.68965832237</v>
      </c>
      <c r="H70" s="4">
        <f>'Baseline System Analysis'!H28-H33</f>
        <v>1064544.9637495263</v>
      </c>
      <c r="I70" s="4">
        <f>'Baseline System Analysis'!I28-I33</f>
        <v>1155248.1483230039</v>
      </c>
      <c r="J70" s="4">
        <f>'Baseline System Analysis'!J28-J33</f>
        <v>1567795.6535710837</v>
      </c>
      <c r="K70" s="4">
        <f>'Baseline System Analysis'!K28-K33</f>
        <v>1347745.4554885479</v>
      </c>
      <c r="L70" s="4">
        <f>'Baseline System Analysis'!L28-L33</f>
        <v>1143199.8672408643</v>
      </c>
      <c r="M70" s="4">
        <f>'Baseline System Analysis'!M28-M33</f>
        <v>1340230.0479167867</v>
      </c>
      <c r="N70" s="4">
        <f>'Baseline System Analysis'!N28-N33</f>
        <v>1211871.2277846751</v>
      </c>
      <c r="O70" s="4">
        <f>'Baseline System Analysis'!O28-O33</f>
        <v>1844840.0090543826</v>
      </c>
      <c r="P70" s="4">
        <f>'Baseline System Analysis'!P28-P33</f>
        <v>2356895.0256503327</v>
      </c>
      <c r="Q70" s="4">
        <f>'Baseline System Analysis'!Q28-Q33</f>
        <v>2752240.7792296447</v>
      </c>
      <c r="R70" s="4">
        <f>'Baseline System Analysis'!R28-R33</f>
        <v>3112959.3920374792</v>
      </c>
      <c r="S70" s="4">
        <f>'Baseline System Analysis'!S28-S33</f>
        <v>3866030.048087935</v>
      </c>
      <c r="T70" s="4">
        <f>'Baseline System Analysis'!T28-T33</f>
        <v>4800043.3764840001</v>
      </c>
      <c r="U70" s="4">
        <f>'Baseline System Analysis'!U28-U33</f>
        <v>5605356.4974824116</v>
      </c>
      <c r="V70" s="4">
        <f>'Baseline System Analysis'!V28-V33</f>
        <v>6874181.4866932966</v>
      </c>
      <c r="W70" s="4">
        <f>'Baseline System Analysis'!W28-W33</f>
        <v>7999576.6636784412</v>
      </c>
      <c r="X70" s="4">
        <f>'Baseline System Analysis'!X28-X33</f>
        <v>9754283.3840660583</v>
      </c>
      <c r="Y70" s="4">
        <f>'Baseline System Analysis'!Y28-Y33</f>
        <v>11535617.976796627</v>
      </c>
      <c r="Z70" s="4">
        <f>'Baseline System Analysis'!Z28-Z33</f>
        <v>13419029.134060645</v>
      </c>
      <c r="AA70" s="4">
        <f>'Baseline System Analysis'!AA28-AA33</f>
        <v>15543246.716915673</v>
      </c>
      <c r="AB70" s="4">
        <f>'Baseline System Analysis'!AB28-AB33</f>
        <v>17584078.632111408</v>
      </c>
      <c r="AC70" s="4">
        <f>'Baseline System Analysis'!AC28-AC33</f>
        <v>19396291.00400196</v>
      </c>
      <c r="AD70" s="4">
        <f>'Baseline System Analysis'!AD28-AD33</f>
        <v>20829038.559333161</v>
      </c>
    </row>
    <row r="71" spans="1:30" x14ac:dyDescent="0.35">
      <c r="A71" s="72" t="s">
        <v>121</v>
      </c>
      <c r="B71" s="72" t="s">
        <v>31</v>
      </c>
      <c r="C71" s="18">
        <f>NPV('Cost Assumptions'!$B$3,D71:AD71)</f>
        <v>110981417.44761626</v>
      </c>
      <c r="D71" s="4">
        <f>'Baseline System Analysis'!D29-D34</f>
        <v>903346.68264248176</v>
      </c>
      <c r="E71" s="4">
        <f>'Baseline System Analysis'!E29-E34</f>
        <v>2253380.2014470203</v>
      </c>
      <c r="F71" s="4">
        <f>'Baseline System Analysis'!F29-F34</f>
        <v>3310518.2522157584</v>
      </c>
      <c r="G71" s="4">
        <f>'Baseline System Analysis'!G29-G34</f>
        <v>4447479.3478986584</v>
      </c>
      <c r="H71" s="4">
        <f>'Baseline System Analysis'!H29-H34</f>
        <v>5587189.795765399</v>
      </c>
      <c r="I71" s="4">
        <f>'Baseline System Analysis'!I29-I34</f>
        <v>5454549.1605001325</v>
      </c>
      <c r="J71" s="4">
        <f>'Baseline System Analysis'!J29-J34</f>
        <v>7543147.8061243081</v>
      </c>
      <c r="K71" s="4">
        <f>'Baseline System Analysis'!K29-K34</f>
        <v>6412592.364404032</v>
      </c>
      <c r="L71" s="4">
        <f>'Baseline System Analysis'!L29-L34</f>
        <v>5385232.8797742622</v>
      </c>
      <c r="M71" s="4">
        <f>'Baseline System Analysis'!M29-M34</f>
        <v>6340117.1212563487</v>
      </c>
      <c r="N71" s="4">
        <f>'Baseline System Analysis'!N29-N34</f>
        <v>6361112.9189538537</v>
      </c>
      <c r="O71" s="4">
        <f>'Baseline System Analysis'!O29-O34</f>
        <v>8895771.1264487375</v>
      </c>
      <c r="P71" s="4">
        <f>'Baseline System Analysis'!P29-P34</f>
        <v>11481103.835917845</v>
      </c>
      <c r="Q71" s="4">
        <f>'Baseline System Analysis'!Q29-Q34</f>
        <v>12843987.910857875</v>
      </c>
      <c r="R71" s="4">
        <f>'Baseline System Analysis'!R29-R34</f>
        <v>13698596.18827603</v>
      </c>
      <c r="S71" s="4">
        <f>'Baseline System Analysis'!S29-S34</f>
        <v>17199347.660875205</v>
      </c>
      <c r="T71" s="4">
        <f>'Baseline System Analysis'!T29-T34</f>
        <v>21372792.810114369</v>
      </c>
      <c r="U71" s="4">
        <f>'Baseline System Analysis'!U29-U34</f>
        <v>24257449.061312743</v>
      </c>
      <c r="V71" s="4">
        <f>'Baseline System Analysis'!V29-V34</f>
        <v>29703520.689742472</v>
      </c>
      <c r="W71" s="4">
        <f>'Baseline System Analysis'!W29-W34</f>
        <v>34774447.076135397</v>
      </c>
      <c r="X71" s="4">
        <f>'Baseline System Analysis'!X29-X34</f>
        <v>42273498.74532187</v>
      </c>
      <c r="Y71" s="4">
        <f>'Baseline System Analysis'!Y29-Y34</f>
        <v>50410415.488010727</v>
      </c>
      <c r="Z71" s="4">
        <f>'Baseline System Analysis'!Z29-Z34</f>
        <v>59093268.855131164</v>
      </c>
      <c r="AA71" s="4">
        <f>'Baseline System Analysis'!AA29-AA34</f>
        <v>69171640.572909713</v>
      </c>
      <c r="AB71" s="4">
        <f>'Baseline System Analysis'!AB29-AB34</f>
        <v>78550030.396897003</v>
      </c>
      <c r="AC71" s="4">
        <f>'Baseline System Analysis'!AC29-AC34</f>
        <v>87122315.028975233</v>
      </c>
      <c r="AD71" s="4">
        <f>'Baseline System Analysis'!AD29-AD34</f>
        <v>93547197.104675725</v>
      </c>
    </row>
    <row r="72" spans="1:30" x14ac:dyDescent="0.35">
      <c r="A72" s="72" t="s">
        <v>24</v>
      </c>
      <c r="B72" s="72" t="s">
        <v>31</v>
      </c>
      <c r="C72" s="18">
        <f>NPV('Cost Assumptions'!$B$3,D72:AD72)</f>
        <v>135193609.54693171</v>
      </c>
      <c r="D72" s="4">
        <f>SUM(D70:D71)</f>
        <v>1063657.9446743694</v>
      </c>
      <c r="E72" s="4">
        <f t="shared" ref="E72:AD72" si="16">SUM(E70:E71)</f>
        <v>2680061.6150300433</v>
      </c>
      <c r="F72" s="4">
        <f t="shared" si="16"/>
        <v>3933315.8362532724</v>
      </c>
      <c r="G72" s="4">
        <f t="shared" si="16"/>
        <v>5281190.0375569807</v>
      </c>
      <c r="H72" s="4">
        <f t="shared" si="16"/>
        <v>6651734.7595149251</v>
      </c>
      <c r="I72" s="4">
        <f t="shared" si="16"/>
        <v>6609797.3088231366</v>
      </c>
      <c r="J72" s="4">
        <f t="shared" si="16"/>
        <v>9110943.4596953914</v>
      </c>
      <c r="K72" s="4">
        <f t="shared" si="16"/>
        <v>7760337.8198925797</v>
      </c>
      <c r="L72" s="4">
        <f t="shared" si="16"/>
        <v>6528432.747015126</v>
      </c>
      <c r="M72" s="4">
        <f t="shared" si="16"/>
        <v>7680347.1691731354</v>
      </c>
      <c r="N72" s="4">
        <f t="shared" si="16"/>
        <v>7572984.1467385292</v>
      </c>
      <c r="O72" s="4">
        <f t="shared" si="16"/>
        <v>10740611.135503121</v>
      </c>
      <c r="P72" s="4">
        <f t="shared" si="16"/>
        <v>13837998.861568179</v>
      </c>
      <c r="Q72" s="4">
        <f t="shared" si="16"/>
        <v>15596228.69008752</v>
      </c>
      <c r="R72" s="4">
        <f t="shared" si="16"/>
        <v>16811555.580313511</v>
      </c>
      <c r="S72" s="4">
        <f t="shared" si="16"/>
        <v>21065377.708963141</v>
      </c>
      <c r="T72" s="4">
        <f t="shared" si="16"/>
        <v>26172836.186598368</v>
      </c>
      <c r="U72" s="4">
        <f t="shared" si="16"/>
        <v>29862805.558795154</v>
      </c>
      <c r="V72" s="4">
        <f t="shared" si="16"/>
        <v>36577702.176435769</v>
      </c>
      <c r="W72" s="4">
        <f t="shared" si="16"/>
        <v>42774023.739813834</v>
      </c>
      <c r="X72" s="4">
        <f t="shared" si="16"/>
        <v>52027782.12938793</v>
      </c>
      <c r="Y72" s="4">
        <f t="shared" si="16"/>
        <v>61946033.464807354</v>
      </c>
      <c r="Z72" s="4">
        <f t="shared" si="16"/>
        <v>72512297.989191815</v>
      </c>
      <c r="AA72" s="4">
        <f t="shared" si="16"/>
        <v>84714887.28982538</v>
      </c>
      <c r="AB72" s="4">
        <f t="shared" si="16"/>
        <v>96134109.029008418</v>
      </c>
      <c r="AC72" s="4">
        <f t="shared" si="16"/>
        <v>106518606.03297719</v>
      </c>
      <c r="AD72" s="4">
        <f t="shared" si="16"/>
        <v>114376235.66400889</v>
      </c>
    </row>
    <row r="74" spans="1:30" x14ac:dyDescent="0.35">
      <c r="A74" s="72" t="s">
        <v>117</v>
      </c>
      <c r="B74" s="72" t="s">
        <v>144</v>
      </c>
      <c r="C74" s="18">
        <f>NPV('Cost Assumptions'!$B$3,D74:AD74)</f>
        <v>207361752.67986608</v>
      </c>
      <c r="D74" s="53">
        <f>ABS((D50*D61*1000*'Cost Assumptions'!$B$6)/'Cost Assumptions'!$B$14)</f>
        <v>6621897.8890077285</v>
      </c>
      <c r="E74" s="53">
        <f>ABS((E50*E61*1000*'Cost Assumptions'!$B$6)/'Cost Assumptions'!$B$14)</f>
        <v>9025240.0833087191</v>
      </c>
      <c r="F74" s="53">
        <f>ABS((F50*F61*1000*'Cost Assumptions'!$B$6)/'Cost Assumptions'!$B$14)</f>
        <v>11544610.701144125</v>
      </c>
      <c r="G74" s="53">
        <f>ABS((G50*G61*1000*'Cost Assumptions'!$B$6)/'Cost Assumptions'!$B$14)</f>
        <v>14184309.074819231</v>
      </c>
      <c r="H74" s="53">
        <f>ABS((H50*H61*1000*'Cost Assumptions'!$B$6)/'Cost Assumptions'!$B$14)</f>
        <v>16948776.985489886</v>
      </c>
      <c r="I74" s="53">
        <f>ABS((I50*I61*1000*'Cost Assumptions'!$B$6)/'Cost Assumptions'!$B$14)</f>
        <v>19842603.098522302</v>
      </c>
      <c r="J74" s="53">
        <f>ABS((J50*J61*1000*'Cost Assumptions'!$B$6)/'Cost Assumptions'!$B$14)</f>
        <v>22870527.531590406</v>
      </c>
      <c r="K74" s="53">
        <f>ABS((K50*K61*1000*'Cost Assumptions'!$B$6)/'Cost Assumptions'!$B$14)</f>
        <v>22841542.609588388</v>
      </c>
      <c r="L74" s="53">
        <f>ABS((L50*L61*1000*'Cost Assumptions'!$B$6)/'Cost Assumptions'!$B$14)</f>
        <v>22796814.361779023</v>
      </c>
      <c r="M74" s="53">
        <f>ABS((M50*M61*1000*'Cost Assumptions'!$B$6)/'Cost Assumptions'!$B$14)</f>
        <v>18201663.851003204</v>
      </c>
      <c r="N74" s="53">
        <f>ABS((N50*N61*1000*'Cost Assumptions'!$B$6)/'Cost Assumptions'!$B$14)</f>
        <v>22078347.206995543</v>
      </c>
      <c r="O74" s="53">
        <f>ABS((O50*O61*1000*'Cost Assumptions'!$B$6)/'Cost Assumptions'!$B$14)</f>
        <v>27489608.933048781</v>
      </c>
      <c r="P74" s="53">
        <f>ABS((P50*P61*1000*'Cost Assumptions'!$B$6)/'Cost Assumptions'!$B$14)</f>
        <v>29252436.534241784</v>
      </c>
      <c r="Q74" s="53">
        <f>ABS((Q50*Q61*1000*'Cost Assumptions'!$B$6)/'Cost Assumptions'!$B$14)</f>
        <v>31086224.509911269</v>
      </c>
      <c r="R74" s="53">
        <f>ABS((R50*R61*1000*'Cost Assumptions'!$B$6)/'Cost Assumptions'!$B$14)</f>
        <v>32993419.11153033</v>
      </c>
      <c r="S74" s="53">
        <f>ABS((S50*S61*1000*'Cost Assumptions'!$B$6)/'Cost Assumptions'!$B$14)</f>
        <v>34976544.552911662</v>
      </c>
      <c r="T74" s="53">
        <f>ABS((T50*T61*1000*'Cost Assumptions'!$B$6)/'Cost Assumptions'!$B$14)</f>
        <v>37038205.379417345</v>
      </c>
      <c r="U74" s="53">
        <f>ABS((U50*U61*1000*'Cost Assumptions'!$B$6)/'Cost Assumptions'!$B$14)</f>
        <v>39181088.90690273</v>
      </c>
      <c r="V74" s="53">
        <f>ABS((V50*V61*1000*'Cost Assumptions'!$B$6)/'Cost Assumptions'!$B$14)</f>
        <v>41407967.732400253</v>
      </c>
      <c r="W74" s="53">
        <f>ABS((W50*W61*1000*'Cost Assumptions'!$B$6)/'Cost Assumptions'!$B$14)</f>
        <v>43721702.318605848</v>
      </c>
      <c r="X74" s="53">
        <f>ABS((X50*X61*1000*'Cost Assumptions'!$B$6)/'Cost Assumptions'!$B$14)</f>
        <v>46125243.654288985</v>
      </c>
      <c r="Y74" s="53">
        <f>ABS((Y50*Y61*1000*'Cost Assumptions'!$B$6)/'Cost Assumptions'!$B$14)</f>
        <v>48621635.992807105</v>
      </c>
      <c r="Z74" s="53">
        <f>ABS((Z50*Z61*1000*'Cost Assumptions'!$B$6)/'Cost Assumptions'!$B$14)</f>
        <v>51214019.670967244</v>
      </c>
      <c r="AA74" s="53">
        <f>ABS((AA50*AA61*1000*'Cost Assumptions'!$B$6)/'Cost Assumptions'!$B$14)</f>
        <v>53905634.010539882</v>
      </c>
      <c r="AB74" s="53">
        <f>ABS((AB50*AB61*1000*'Cost Assumptions'!$B$6)/'Cost Assumptions'!$B$14)</f>
        <v>56699820.304796793</v>
      </c>
      <c r="AC74" s="53">
        <f>ABS((AC50*AC61*1000*'Cost Assumptions'!$B$6)/'Cost Assumptions'!$B$14)</f>
        <v>59600024.892509967</v>
      </c>
      <c r="AD74" s="53">
        <f>ABS((AD50*AD61*1000*'Cost Assumptions'!$B$6)/'Cost Assumptions'!$B$14)</f>
        <v>62609802.321918212</v>
      </c>
    </row>
    <row r="75" spans="1:30" x14ac:dyDescent="0.35">
      <c r="A75" s="72" t="s">
        <v>119</v>
      </c>
      <c r="B75" s="72" t="s">
        <v>144</v>
      </c>
      <c r="C75" s="18">
        <f>NPV('Cost Assumptions'!$B$3,D75:AD75)</f>
        <v>854254218.59947979</v>
      </c>
      <c r="D75" s="53">
        <f>ABS((D50*D63*1000*'Cost Assumptions'!$B$7)/'Cost Assumptions'!$B$14)</f>
        <v>27279785.8511209</v>
      </c>
      <c r="E75" s="53">
        <f>ABS((E50*E63*1000*'Cost Assumptions'!$B$7)/'Cost Assumptions'!$B$14)</f>
        <v>37180672.498184308</v>
      </c>
      <c r="F75" s="53">
        <f>ABS((F50*F63*1000*'Cost Assumptions'!$B$7)/'Cost Assumptions'!$B$14)</f>
        <v>47559553.611443922</v>
      </c>
      <c r="G75" s="53">
        <f>ABS((G50*G63*1000*'Cost Assumptions'!$B$7)/'Cost Assumptions'!$B$14)</f>
        <v>58434140.860055134</v>
      </c>
      <c r="H75" s="53">
        <f>ABS((H50*H63*1000*'Cost Assumptions'!$B$7)/'Cost Assumptions'!$B$14)</f>
        <v>69822732.750089809</v>
      </c>
      <c r="I75" s="53">
        <f>ABS((I50*I63*1000*'Cost Assumptions'!$B$7)/'Cost Assumptions'!$B$14)</f>
        <v>81744232.896588638</v>
      </c>
      <c r="J75" s="53">
        <f>ABS((J50*J63*1000*'Cost Assumptions'!$B$7)/'Cost Assumptions'!$B$14)</f>
        <v>94218168.842443585</v>
      </c>
      <c r="K75" s="53">
        <f>ABS((K50*K63*1000*'Cost Assumptions'!$B$7)/'Cost Assumptions'!$B$14)</f>
        <v>94098761.615334406</v>
      </c>
      <c r="L75" s="53">
        <f>ABS((L50*L63*1000*'Cost Assumptions'!$B$7)/'Cost Assumptions'!$B$14)</f>
        <v>93914497.671343237</v>
      </c>
      <c r="M75" s="53">
        <f>ABS((M50*M63*1000*'Cost Assumptions'!$B$7)/'Cost Assumptions'!$B$14)</f>
        <v>74984166.218223035</v>
      </c>
      <c r="N75" s="53">
        <f>ABS((N50*N63*1000*'Cost Assumptions'!$B$7)/'Cost Assumptions'!$B$14)</f>
        <v>90954677.019911468</v>
      </c>
      <c r="O75" s="53">
        <f>ABS((O50*O63*1000*'Cost Assumptions'!$B$7)/'Cost Assumptions'!$B$14)</f>
        <v>113247086.77092011</v>
      </c>
      <c r="P75" s="53">
        <f>ABS((P50*P63*1000*'Cost Assumptions'!$B$7)/'Cost Assumptions'!$B$14)</f>
        <v>120509288.67421708</v>
      </c>
      <c r="Q75" s="53">
        <f>ABS((Q50*Q63*1000*'Cost Assumptions'!$B$7)/'Cost Assumptions'!$B$14)</f>
        <v>128063821.24344707</v>
      </c>
      <c r="R75" s="53">
        <f>ABS((R50*R63*1000*'Cost Assumptions'!$B$7)/'Cost Assumptions'!$B$14)</f>
        <v>135920762.13571715</v>
      </c>
      <c r="S75" s="53">
        <f>ABS((S50*S63*1000*'Cost Assumptions'!$B$7)/'Cost Assumptions'!$B$14)</f>
        <v>144090510.18432361</v>
      </c>
      <c r="T75" s="53">
        <f>ABS((T50*T63*1000*'Cost Assumptions'!$B$7)/'Cost Assumptions'!$B$14)</f>
        <v>152583795.15902558</v>
      </c>
      <c r="U75" s="53">
        <f>ABS((U50*U63*1000*'Cost Assumptions'!$B$7)/'Cost Assumptions'!$B$14)</f>
        <v>161411687.81359744</v>
      </c>
      <c r="V75" s="53">
        <f>ABS((V50*V63*1000*'Cost Assumptions'!$B$7)/'Cost Assumptions'!$B$14)</f>
        <v>170585610.22892344</v>
      </c>
      <c r="W75" s="53">
        <f>ABS((W50*W63*1000*'Cost Assumptions'!$B$7)/'Cost Assumptions'!$B$14)</f>
        <v>180117346.46013233</v>
      </c>
      <c r="X75" s="53">
        <f>ABS((X50*X63*1000*'Cost Assumptions'!$B$7)/'Cost Assumptions'!$B$14)</f>
        <v>190019053.49650857</v>
      </c>
      <c r="Y75" s="53">
        <f>ABS((Y50*Y63*1000*'Cost Assumptions'!$B$7)/'Cost Assumptions'!$B$14)</f>
        <v>200303272.54316595</v>
      </c>
      <c r="Z75" s="53">
        <f>ABS((Z50*Z63*1000*'Cost Assumptions'!$B$7)/'Cost Assumptions'!$B$14)</f>
        <v>210982940.63372093</v>
      </c>
      <c r="AA75" s="53">
        <f>ABS((AA50*AA63*1000*'Cost Assumptions'!$B$7)/'Cost Assumptions'!$B$14)</f>
        <v>222071402.58346424</v>
      </c>
      <c r="AB75" s="53">
        <f>ABS((AB50*AB63*1000*'Cost Assumptions'!$B$7)/'Cost Assumptions'!$B$14)</f>
        <v>233582423.29279867</v>
      </c>
      <c r="AC75" s="53">
        <f>ABS((AC50*AC63*1000*'Cost Assumptions'!$B$7)/'Cost Assumptions'!$B$14)</f>
        <v>245530200.41098502</v>
      </c>
      <c r="AD75" s="53">
        <f>ABS((AD50*AD63*1000*'Cost Assumptions'!$B$7)/'Cost Assumptions'!$B$14)</f>
        <v>257929377.3705225</v>
      </c>
    </row>
    <row r="76" spans="1:30" x14ac:dyDescent="0.35">
      <c r="A76" s="72" t="s">
        <v>24</v>
      </c>
      <c r="B76" s="72" t="s">
        <v>144</v>
      </c>
      <c r="C76" s="18">
        <f>NPV('Cost Assumptions'!$B$3,D76:AD76)</f>
        <v>1061615971.279346</v>
      </c>
      <c r="D76" s="53">
        <f>SUM(D74:D75)</f>
        <v>33901683.740128629</v>
      </c>
      <c r="E76" s="53">
        <f t="shared" ref="E76:AD76" si="17">SUM(E74:E75)</f>
        <v>46205912.581493028</v>
      </c>
      <c r="F76" s="53">
        <f t="shared" si="17"/>
        <v>59104164.312588051</v>
      </c>
      <c r="G76" s="53">
        <f t="shared" si="17"/>
        <v>72618449.934874371</v>
      </c>
      <c r="H76" s="53">
        <f t="shared" si="17"/>
        <v>86771509.735579699</v>
      </c>
      <c r="I76" s="53">
        <f t="shared" si="17"/>
        <v>101586835.99511094</v>
      </c>
      <c r="J76" s="53">
        <f t="shared" si="17"/>
        <v>117088696.37403399</v>
      </c>
      <c r="K76" s="53">
        <f t="shared" si="17"/>
        <v>116940304.22492279</v>
      </c>
      <c r="L76" s="53">
        <f t="shared" si="17"/>
        <v>116711312.03312226</v>
      </c>
      <c r="M76" s="53">
        <f t="shared" si="17"/>
        <v>93185830.069226235</v>
      </c>
      <c r="N76" s="53">
        <f t="shared" si="17"/>
        <v>113033024.22690701</v>
      </c>
      <c r="O76" s="53">
        <f t="shared" si="17"/>
        <v>140736695.70396888</v>
      </c>
      <c r="P76" s="53">
        <f t="shared" si="17"/>
        <v>149761725.20845887</v>
      </c>
      <c r="Q76" s="53">
        <f t="shared" si="17"/>
        <v>159150045.75335833</v>
      </c>
      <c r="R76" s="53">
        <f t="shared" si="17"/>
        <v>168914181.24724749</v>
      </c>
      <c r="S76" s="53">
        <f t="shared" si="17"/>
        <v>179067054.73723528</v>
      </c>
      <c r="T76" s="53">
        <f t="shared" si="17"/>
        <v>189622000.53844291</v>
      </c>
      <c r="U76" s="53">
        <f t="shared" si="17"/>
        <v>200592776.72050017</v>
      </c>
      <c r="V76" s="53">
        <f t="shared" si="17"/>
        <v>211993577.96132368</v>
      </c>
      <c r="W76" s="53">
        <f t="shared" si="17"/>
        <v>223839048.77873817</v>
      </c>
      <c r="X76" s="53">
        <f t="shared" si="17"/>
        <v>236144297.15079755</v>
      </c>
      <c r="Y76" s="53">
        <f t="shared" si="17"/>
        <v>248924908.53597307</v>
      </c>
      <c r="Z76" s="53">
        <f t="shared" si="17"/>
        <v>262196960.30468819</v>
      </c>
      <c r="AA76" s="53">
        <f t="shared" si="17"/>
        <v>275977036.59400409</v>
      </c>
      <c r="AB76" s="53">
        <f t="shared" si="17"/>
        <v>290282243.59759545</v>
      </c>
      <c r="AC76" s="53">
        <f t="shared" si="17"/>
        <v>305130225.30349499</v>
      </c>
      <c r="AD76" s="53">
        <f t="shared" si="17"/>
        <v>320539179.69244069</v>
      </c>
    </row>
    <row r="77" spans="1:30" x14ac:dyDescent="0.35">
      <c r="A77" s="72"/>
      <c r="B77" s="72"/>
      <c r="C77" s="18"/>
      <c r="D77" s="53"/>
      <c r="E77" s="53"/>
      <c r="F77" s="53"/>
      <c r="G77" s="53"/>
      <c r="H77" s="53"/>
      <c r="I77" s="53"/>
      <c r="J77" s="53"/>
      <c r="K77" s="53"/>
      <c r="L77" s="53"/>
      <c r="M77" s="53"/>
      <c r="N77" s="53"/>
      <c r="O77" s="53"/>
      <c r="P77" s="53"/>
      <c r="Q77" s="53"/>
      <c r="R77" s="53"/>
      <c r="S77" s="53"/>
      <c r="T77" s="53"/>
      <c r="U77" s="53"/>
      <c r="V77" s="53"/>
      <c r="W77" s="53"/>
      <c r="X77" s="53"/>
      <c r="Y77" s="53"/>
      <c r="Z77" s="53"/>
      <c r="AA77" s="53"/>
      <c r="AB77" s="53"/>
      <c r="AC77" s="53"/>
      <c r="AD77" s="53"/>
    </row>
    <row r="78" spans="1:30" x14ac:dyDescent="0.35">
      <c r="A78" s="72" t="s">
        <v>117</v>
      </c>
      <c r="B78" s="72" t="s">
        <v>152</v>
      </c>
      <c r="C78" s="18">
        <f>NPV('Cost Assumptions'!$B$3,D78:AD78)</f>
        <v>0</v>
      </c>
      <c r="D78" s="53">
        <f>ABS(((MIN(ABS(D51),'Baseline System Analysis'!D14)*D62*1000*'Cost Assumptions'!$B$6)*'Cost Assumptions'!$B$13))</f>
        <v>0</v>
      </c>
      <c r="E78" s="53">
        <f>ABS((E51*E61*1000*'Cost Assumptions'!$B$6)*'Cost Assumptions'!$B$13)</f>
        <v>0</v>
      </c>
      <c r="F78" s="53">
        <f>ABS((F51*F61*1000*'Cost Assumptions'!$B$6)*'Cost Assumptions'!$B$13)</f>
        <v>0</v>
      </c>
      <c r="G78" s="53">
        <f>ABS((G51*G61*1000*'Cost Assumptions'!$B$6)*'Cost Assumptions'!$B$13)</f>
        <v>0</v>
      </c>
      <c r="H78" s="53">
        <f>ABS((H51*H61*1000*'Cost Assumptions'!$B$6)*'Cost Assumptions'!$B$13)</f>
        <v>0</v>
      </c>
      <c r="I78" s="53">
        <f>ABS((I51*I61*1000*'Cost Assumptions'!$B$6)*'Cost Assumptions'!$B$13)</f>
        <v>0</v>
      </c>
      <c r="J78" s="53">
        <f>ABS((J51*J61*1000*'Cost Assumptions'!$B$6)*'Cost Assumptions'!$B$13)</f>
        <v>0</v>
      </c>
      <c r="K78" s="53">
        <f>ABS((K51*K61*1000*'Cost Assumptions'!$B$6)*'Cost Assumptions'!$B$13)</f>
        <v>0</v>
      </c>
      <c r="L78" s="53">
        <f>ABS((L51*L61*1000*'Cost Assumptions'!$B$6)*'Cost Assumptions'!$B$13)</f>
        <v>0</v>
      </c>
      <c r="M78" s="53">
        <f>ABS((M51*M61*1000*'Cost Assumptions'!$B$6)*'Cost Assumptions'!$B$13)</f>
        <v>0</v>
      </c>
      <c r="N78" s="53">
        <f>ABS((N51*N61*1000*'Cost Assumptions'!$B$6)*'Cost Assumptions'!$B$13)</f>
        <v>0</v>
      </c>
      <c r="O78" s="53">
        <f>ABS((O51*O61*1000*'Cost Assumptions'!$B$6)*'Cost Assumptions'!$B$13)</f>
        <v>0</v>
      </c>
      <c r="P78" s="53">
        <f>ABS((P51*P61*1000*'Cost Assumptions'!$B$6)*'Cost Assumptions'!$B$13)</f>
        <v>0</v>
      </c>
      <c r="Q78" s="53">
        <f>ABS((Q51*Q61*1000*'Cost Assumptions'!$B$6)*'Cost Assumptions'!$B$13)</f>
        <v>0</v>
      </c>
      <c r="R78" s="53">
        <f>ABS((R51*R61*1000*'Cost Assumptions'!$B$6)*'Cost Assumptions'!$B$13)</f>
        <v>0</v>
      </c>
      <c r="S78" s="53">
        <f>ABS((S51*S61*1000*'Cost Assumptions'!$B$6)*'Cost Assumptions'!$B$13)</f>
        <v>0</v>
      </c>
      <c r="T78" s="53">
        <f>ABS((T51*T61*1000*'Cost Assumptions'!$B$6)*'Cost Assumptions'!$B$13)</f>
        <v>0</v>
      </c>
      <c r="U78" s="53">
        <f>ABS((U51*U61*1000*'Cost Assumptions'!$B$6)*'Cost Assumptions'!$B$13)</f>
        <v>0</v>
      </c>
      <c r="V78" s="53">
        <f>ABS((V51*V61*1000*'Cost Assumptions'!$B$6)*'Cost Assumptions'!$B$13)</f>
        <v>0</v>
      </c>
      <c r="W78" s="53">
        <f>ABS((W51*W61*1000*'Cost Assumptions'!$B$6)*'Cost Assumptions'!$B$13)</f>
        <v>0</v>
      </c>
      <c r="X78" s="53">
        <f>ABS((X51*X61*1000*'Cost Assumptions'!$B$6)*'Cost Assumptions'!$B$13)</f>
        <v>0</v>
      </c>
      <c r="Y78" s="53">
        <f>ABS((Y51*Y61*1000*'Cost Assumptions'!$B$6)*'Cost Assumptions'!$B$13)</f>
        <v>0</v>
      </c>
      <c r="Z78" s="53">
        <f>ABS((Z51*Z61*1000*'Cost Assumptions'!$B$6)*'Cost Assumptions'!$B$13)</f>
        <v>0</v>
      </c>
      <c r="AA78" s="53">
        <f>ABS((AA51*AA61*1000*'Cost Assumptions'!$B$6)*'Cost Assumptions'!$B$13)</f>
        <v>0</v>
      </c>
      <c r="AB78" s="53">
        <f>ABS((AB51*AB61*1000*'Cost Assumptions'!$B$6)*'Cost Assumptions'!$B$13)</f>
        <v>0</v>
      </c>
      <c r="AC78" s="53">
        <f>ABS((AC51*AC61*1000*'Cost Assumptions'!$B$6)*'Cost Assumptions'!$B$13)</f>
        <v>0</v>
      </c>
      <c r="AD78" s="53">
        <f>ABS((AD51*AD61*1000*'Cost Assumptions'!$B$6)*'Cost Assumptions'!$B$13)</f>
        <v>0</v>
      </c>
    </row>
    <row r="79" spans="1:30" x14ac:dyDescent="0.35">
      <c r="A79" s="72" t="s">
        <v>119</v>
      </c>
      <c r="B79" s="72" t="s">
        <v>152</v>
      </c>
      <c r="C79" s="18">
        <f>NPV('Cost Assumptions'!$B$3,D79:AD79)</f>
        <v>0</v>
      </c>
      <c r="D79" s="53">
        <f>ABS(((MIN(ABS(D51),'Baseline System Analysis'!D14)*D64*1000*'Cost Assumptions'!$B$6)*'Cost Assumptions'!$B$13))</f>
        <v>0</v>
      </c>
      <c r="E79" s="53">
        <f>ABS((E51*E63*1000*'Cost Assumptions'!$B$6)*'Cost Assumptions'!$B$13)</f>
        <v>0</v>
      </c>
      <c r="F79" s="53">
        <f>ABS((F51*F63*1000*'Cost Assumptions'!$B$6)*'Cost Assumptions'!$B$13)</f>
        <v>0</v>
      </c>
      <c r="G79" s="53">
        <f>ABS((G51*G63*1000*'Cost Assumptions'!$B$6)*'Cost Assumptions'!$B$13)</f>
        <v>0</v>
      </c>
      <c r="H79" s="53">
        <f>ABS((H51*H63*1000*'Cost Assumptions'!$B$6)*'Cost Assumptions'!$B$13)</f>
        <v>0</v>
      </c>
      <c r="I79" s="53">
        <f>ABS((I51*I63*1000*'Cost Assumptions'!$B$6)*'Cost Assumptions'!$B$13)</f>
        <v>0</v>
      </c>
      <c r="J79" s="53">
        <f>ABS((J51*J63*1000*'Cost Assumptions'!$B$6)*'Cost Assumptions'!$B$13)</f>
        <v>0</v>
      </c>
      <c r="K79" s="53">
        <f>ABS((K51*K63*1000*'Cost Assumptions'!$B$6)*'Cost Assumptions'!$B$13)</f>
        <v>0</v>
      </c>
      <c r="L79" s="53">
        <f>ABS((L51*L63*1000*'Cost Assumptions'!$B$6)*'Cost Assumptions'!$B$13)</f>
        <v>0</v>
      </c>
      <c r="M79" s="53">
        <f>ABS((M51*M63*1000*'Cost Assumptions'!$B$6)*'Cost Assumptions'!$B$13)</f>
        <v>0</v>
      </c>
      <c r="N79" s="53">
        <f>ABS((N51*N63*1000*'Cost Assumptions'!$B$6)*'Cost Assumptions'!$B$13)</f>
        <v>0</v>
      </c>
      <c r="O79" s="53">
        <f>ABS((O51*O63*1000*'Cost Assumptions'!$B$6)*'Cost Assumptions'!$B$13)</f>
        <v>0</v>
      </c>
      <c r="P79" s="53">
        <f>ABS((P51*P63*1000*'Cost Assumptions'!$B$6)*'Cost Assumptions'!$B$13)</f>
        <v>0</v>
      </c>
      <c r="Q79" s="53">
        <f>ABS((Q51*Q63*1000*'Cost Assumptions'!$B$6)*'Cost Assumptions'!$B$13)</f>
        <v>0</v>
      </c>
      <c r="R79" s="53">
        <f>ABS((R51*R63*1000*'Cost Assumptions'!$B$6)*'Cost Assumptions'!$B$13)</f>
        <v>0</v>
      </c>
      <c r="S79" s="53">
        <f>ABS((S51*S63*1000*'Cost Assumptions'!$B$6)*'Cost Assumptions'!$B$13)</f>
        <v>0</v>
      </c>
      <c r="T79" s="53">
        <f>ABS((T51*T63*1000*'Cost Assumptions'!$B$6)*'Cost Assumptions'!$B$13)</f>
        <v>0</v>
      </c>
      <c r="U79" s="53">
        <f>ABS((U51*U63*1000*'Cost Assumptions'!$B$6)*'Cost Assumptions'!$B$13)</f>
        <v>0</v>
      </c>
      <c r="V79" s="53">
        <f>ABS((V51*V63*1000*'Cost Assumptions'!$B$6)*'Cost Assumptions'!$B$13)</f>
        <v>0</v>
      </c>
      <c r="W79" s="53">
        <f>ABS((W51*W63*1000*'Cost Assumptions'!$B$6)*'Cost Assumptions'!$B$13)</f>
        <v>0</v>
      </c>
      <c r="X79" s="53">
        <f>ABS((X51*X63*1000*'Cost Assumptions'!$B$6)*'Cost Assumptions'!$B$13)</f>
        <v>0</v>
      </c>
      <c r="Y79" s="53">
        <f>ABS((Y51*Y63*1000*'Cost Assumptions'!$B$6)*'Cost Assumptions'!$B$13)</f>
        <v>0</v>
      </c>
      <c r="Z79" s="53">
        <f>ABS((Z51*Z63*1000*'Cost Assumptions'!$B$6)*'Cost Assumptions'!$B$13)</f>
        <v>0</v>
      </c>
      <c r="AA79" s="53">
        <f>ABS((AA51*AA63*1000*'Cost Assumptions'!$B$6)*'Cost Assumptions'!$B$13)</f>
        <v>0</v>
      </c>
      <c r="AB79" s="53">
        <f>ABS((AB51*AB63*1000*'Cost Assumptions'!$B$6)*'Cost Assumptions'!$B$13)</f>
        <v>0</v>
      </c>
      <c r="AC79" s="53">
        <f>ABS((AC51*AC63*1000*'Cost Assumptions'!$B$6)*'Cost Assumptions'!$B$13)</f>
        <v>0</v>
      </c>
      <c r="AD79" s="53">
        <f>ABS((AD51*AD63*1000*'Cost Assumptions'!$B$6)*'Cost Assumptions'!$B$13)</f>
        <v>0</v>
      </c>
    </row>
    <row r="80" spans="1:30" ht="37.15" customHeight="1" x14ac:dyDescent="0.35">
      <c r="A80" s="3" t="s">
        <v>155</v>
      </c>
      <c r="B80" s="72" t="s">
        <v>152</v>
      </c>
      <c r="C80" s="18">
        <f>NPV('Cost Assumptions'!$B$3,D80:AD80)</f>
        <v>0</v>
      </c>
      <c r="D80" s="53">
        <f>SUM(D78:D79)</f>
        <v>0</v>
      </c>
      <c r="E80" s="53">
        <f t="shared" ref="E80:AD80" si="18">SUM(E78:E79)</f>
        <v>0</v>
      </c>
      <c r="F80" s="53">
        <f t="shared" si="18"/>
        <v>0</v>
      </c>
      <c r="G80" s="53">
        <f t="shared" si="18"/>
        <v>0</v>
      </c>
      <c r="H80" s="53">
        <f t="shared" si="18"/>
        <v>0</v>
      </c>
      <c r="I80" s="53">
        <f t="shared" si="18"/>
        <v>0</v>
      </c>
      <c r="J80" s="53">
        <f t="shared" si="18"/>
        <v>0</v>
      </c>
      <c r="K80" s="53">
        <f t="shared" si="18"/>
        <v>0</v>
      </c>
      <c r="L80" s="53">
        <f t="shared" si="18"/>
        <v>0</v>
      </c>
      <c r="M80" s="53">
        <f t="shared" si="18"/>
        <v>0</v>
      </c>
      <c r="N80" s="53">
        <f t="shared" si="18"/>
        <v>0</v>
      </c>
      <c r="O80" s="53">
        <f t="shared" si="18"/>
        <v>0</v>
      </c>
      <c r="P80" s="53">
        <f t="shared" si="18"/>
        <v>0</v>
      </c>
      <c r="Q80" s="53">
        <f t="shared" si="18"/>
        <v>0</v>
      </c>
      <c r="R80" s="53">
        <f t="shared" si="18"/>
        <v>0</v>
      </c>
      <c r="S80" s="53">
        <f t="shared" si="18"/>
        <v>0</v>
      </c>
      <c r="T80" s="53">
        <f t="shared" si="18"/>
        <v>0</v>
      </c>
      <c r="U80" s="53">
        <f t="shared" si="18"/>
        <v>0</v>
      </c>
      <c r="V80" s="53">
        <f t="shared" si="18"/>
        <v>0</v>
      </c>
      <c r="W80" s="53">
        <f t="shared" si="18"/>
        <v>0</v>
      </c>
      <c r="X80" s="53">
        <f t="shared" si="18"/>
        <v>0</v>
      </c>
      <c r="Y80" s="53">
        <f t="shared" si="18"/>
        <v>0</v>
      </c>
      <c r="Z80" s="53">
        <f t="shared" si="18"/>
        <v>0</v>
      </c>
      <c r="AA80" s="53">
        <f t="shared" si="18"/>
        <v>0</v>
      </c>
      <c r="AB80" s="53">
        <f t="shared" si="18"/>
        <v>0</v>
      </c>
      <c r="AC80" s="53">
        <f t="shared" si="18"/>
        <v>0</v>
      </c>
      <c r="AD80" s="53">
        <f t="shared" si="18"/>
        <v>0</v>
      </c>
    </row>
    <row r="81" spans="1:30" s="52" customFormat="1" x14ac:dyDescent="0.35">
      <c r="A81" s="3"/>
      <c r="B81" s="72"/>
      <c r="C81" s="18"/>
      <c r="D81" s="53"/>
      <c r="E81" s="53"/>
      <c r="F81" s="53"/>
      <c r="G81" s="53"/>
      <c r="H81" s="53"/>
      <c r="I81" s="53"/>
      <c r="J81" s="53"/>
      <c r="K81" s="53"/>
      <c r="L81" s="53"/>
      <c r="M81" s="53"/>
      <c r="N81" s="53"/>
      <c r="O81" s="53"/>
      <c r="P81" s="53"/>
      <c r="Q81" s="53"/>
      <c r="R81" s="53"/>
      <c r="S81" s="53"/>
      <c r="T81" s="53"/>
      <c r="U81" s="53"/>
      <c r="V81" s="53"/>
      <c r="W81" s="53"/>
      <c r="X81" s="53"/>
      <c r="Y81" s="53"/>
      <c r="Z81" s="53"/>
      <c r="AA81" s="53"/>
      <c r="AB81" s="53"/>
      <c r="AC81" s="53"/>
      <c r="AD81" s="53"/>
    </row>
    <row r="82" spans="1:30" s="52" customFormat="1" ht="29" x14ac:dyDescent="0.35">
      <c r="A82" s="3" t="s">
        <v>147</v>
      </c>
      <c r="B82" s="72" t="s">
        <v>148</v>
      </c>
      <c r="C82" s="18">
        <f>NPV('Cost Assumptions'!$B$3,D82:AD82)</f>
        <v>158850774.45155588</v>
      </c>
      <c r="D82" s="53">
        <f>('Baseline System Analysis'!D42-D37)</f>
        <v>11220634.218776356</v>
      </c>
      <c r="E82" s="53">
        <f>('Baseline System Analysis'!E42-E37)</f>
        <v>12144918.158391396</v>
      </c>
      <c r="F82" s="53">
        <f>('Baseline System Analysis'!F42-F37)</f>
        <v>12786910.250911316</v>
      </c>
      <c r="G82" s="53">
        <f>('Baseline System Analysis'!G42-G37)</f>
        <v>13549003.839093808</v>
      </c>
      <c r="H82" s="53">
        <f>('Baseline System Analysis'!H42-H37)</f>
        <v>14198581.058293991</v>
      </c>
      <c r="I82" s="53">
        <f>('Baseline System Analysis'!I42-I37)</f>
        <v>15000915.705759082</v>
      </c>
      <c r="J82" s="53">
        <f>('Baseline System Analysis'!J42-J37)</f>
        <v>15909014.271733448</v>
      </c>
      <c r="K82" s="53">
        <f>('Baseline System Analysis'!K42-K37)</f>
        <v>15943271.595302396</v>
      </c>
      <c r="L82" s="53">
        <f>('Baseline System Analysis'!L42-L37)</f>
        <v>15999716.407154804</v>
      </c>
      <c r="M82" s="53">
        <f>('Baseline System Analysis'!M42-M37)</f>
        <v>16077364.969675282</v>
      </c>
      <c r="N82" s="53">
        <f>('Baseline System Analysis'!N42-N37)</f>
        <v>17017237.489677273</v>
      </c>
      <c r="O82" s="53">
        <f>('Baseline System Analysis'!O42-O37)</f>
        <v>18089024.979813445</v>
      </c>
      <c r="P82" s="53">
        <f>('Baseline System Analysis'!P42-P37)</f>
        <v>19073573.17911505</v>
      </c>
      <c r="Q82" s="53">
        <f>('Baseline System Analysis'!Q42-Q37)</f>
        <v>20183246.853354089</v>
      </c>
      <c r="R82" s="53">
        <f>('Baseline System Analysis'!R42-R37)</f>
        <v>21490829.702122267</v>
      </c>
      <c r="S82" s="53">
        <f>('Baseline System Analysis'!S42-S37)</f>
        <v>22579839.787277065</v>
      </c>
      <c r="T82" s="53">
        <f>('Baseline System Analysis'!T42-T37)</f>
        <v>23724942.355195578</v>
      </c>
      <c r="U82" s="53">
        <f>('Baseline System Analysis'!U42-U37)</f>
        <v>24911056.93055214</v>
      </c>
      <c r="V82" s="53">
        <f>('Baseline System Analysis'!V42-V37)</f>
        <v>26196805.959472567</v>
      </c>
      <c r="W82" s="53">
        <f>('Baseline System Analysis'!W42-W37)</f>
        <v>27625844.33481878</v>
      </c>
      <c r="X82" s="53">
        <f>('Baseline System Analysis'!X42-X37)</f>
        <v>29110039.048498206</v>
      </c>
      <c r="Y82" s="53">
        <f>('Baseline System Analysis'!Y42-Y37)</f>
        <v>30411440.882966798</v>
      </c>
      <c r="Z82" s="53">
        <f>('Baseline System Analysis'!Z42-Z37)</f>
        <v>31944711.584258407</v>
      </c>
      <c r="AA82" s="53">
        <f>('Baseline System Analysis'!AA42-AA37)</f>
        <v>33332991.330264848</v>
      </c>
      <c r="AB82" s="53">
        <f>('Baseline System Analysis'!AB42-AB37)</f>
        <v>34748837.665194772</v>
      </c>
      <c r="AC82" s="53">
        <f>('Baseline System Analysis'!AC42-AC37)</f>
        <v>36032493.52792114</v>
      </c>
      <c r="AD82" s="53">
        <f>('Baseline System Analysis'!AD42-AD37)</f>
        <v>37232773.532337174</v>
      </c>
    </row>
    <row r="84" spans="1:30" ht="20" thickBot="1" x14ac:dyDescent="0.5">
      <c r="A84" s="134" t="s">
        <v>61</v>
      </c>
      <c r="B84" s="134"/>
      <c r="C84" s="18">
        <f>NPV('Cost Assumptions'!$B$3,D84:AD84)/1000000</f>
        <v>1355.8361752385742</v>
      </c>
      <c r="D84" s="53">
        <f>SUM(D68,D72,D76,D80,D82)</f>
        <v>46186416.014971346</v>
      </c>
      <c r="E84" s="53">
        <f t="shared" ref="E84:AD84" si="19">SUM(E68,E72,E76,E80,E82)</f>
        <v>61030693.738625079</v>
      </c>
      <c r="F84" s="53">
        <f t="shared" si="19"/>
        <v>75823553.055781871</v>
      </c>
      <c r="G84" s="53">
        <f t="shared" si="19"/>
        <v>91447167.739873022</v>
      </c>
      <c r="H84" s="53">
        <f t="shared" si="19"/>
        <v>107619710.75405511</v>
      </c>
      <c r="I84" s="53">
        <f t="shared" si="19"/>
        <v>123194795.48267826</v>
      </c>
      <c r="J84" s="53">
        <f t="shared" si="19"/>
        <v>142105261.85076654</v>
      </c>
      <c r="K84" s="53">
        <f t="shared" si="19"/>
        <v>140635817.51077867</v>
      </c>
      <c r="L84" s="53">
        <f t="shared" si="19"/>
        <v>139232771.35370532</v>
      </c>
      <c r="M84" s="53">
        <f t="shared" si="19"/>
        <v>116937348.71697971</v>
      </c>
      <c r="N84" s="53">
        <f t="shared" si="19"/>
        <v>137617805.65986952</v>
      </c>
      <c r="O84" s="53">
        <f t="shared" si="19"/>
        <v>169574939.71985611</v>
      </c>
      <c r="P84" s="53">
        <f t="shared" si="19"/>
        <v>182678413.15631855</v>
      </c>
      <c r="Q84" s="53">
        <f t="shared" si="19"/>
        <v>194931145.2105822</v>
      </c>
      <c r="R84" s="53">
        <f t="shared" si="19"/>
        <v>207214698.45007131</v>
      </c>
      <c r="S84" s="53">
        <f t="shared" si="19"/>
        <v>222706912.16046932</v>
      </c>
      <c r="T84" s="53">
        <f t="shared" si="19"/>
        <v>239510927.01383647</v>
      </c>
      <c r="U84" s="53">
        <f t="shared" si="19"/>
        <v>255387446.20781887</v>
      </c>
      <c r="V84" s="53">
        <f t="shared" si="19"/>
        <v>274818552.15957522</v>
      </c>
      <c r="W84" s="53">
        <f t="shared" si="19"/>
        <v>294319041.98008585</v>
      </c>
      <c r="X84" s="53">
        <f t="shared" si="19"/>
        <v>317391902.51977056</v>
      </c>
      <c r="Y84" s="53">
        <f t="shared" si="19"/>
        <v>341421826.13920587</v>
      </c>
      <c r="Z84" s="53">
        <f t="shared" si="19"/>
        <v>366847397.41444266</v>
      </c>
      <c r="AA84" s="53">
        <f t="shared" si="19"/>
        <v>394272327.03124416</v>
      </c>
      <c r="AB84" s="53">
        <f t="shared" si="19"/>
        <v>421466586.38979405</v>
      </c>
      <c r="AC84" s="53">
        <f t="shared" si="19"/>
        <v>448036705.24323434</v>
      </c>
      <c r="AD84" s="53">
        <f t="shared" si="19"/>
        <v>472557553.54847336</v>
      </c>
    </row>
    <row r="85" spans="1:30" s="52" customFormat="1" ht="20.5" thickTop="1" thickBot="1" x14ac:dyDescent="0.5">
      <c r="A85" s="134" t="s">
        <v>149</v>
      </c>
      <c r="B85" s="134"/>
      <c r="C85" s="18">
        <f>NPV('Cost Assumptions'!$B$3,D85:AD85)/1000000</f>
        <v>1356.2233449017285</v>
      </c>
      <c r="D85" s="53">
        <f>D84+D44</f>
        <v>46199968.014971308</v>
      </c>
      <c r="E85" s="53">
        <f t="shared" ref="E85:AD85" si="20">E84+E44</f>
        <v>61045761.199201971</v>
      </c>
      <c r="F85" s="53">
        <f t="shared" si="20"/>
        <v>75840203.279964536</v>
      </c>
      <c r="G85" s="53">
        <f t="shared" si="20"/>
        <v>91465470.448678881</v>
      </c>
      <c r="H85" s="53">
        <f t="shared" si="20"/>
        <v>107639738.16532521</v>
      </c>
      <c r="I85" s="53">
        <f t="shared" si="20"/>
        <v>123216622.39234282</v>
      </c>
      <c r="J85" s="53">
        <f t="shared" si="20"/>
        <v>142128965.71661323</v>
      </c>
      <c r="K85" s="53">
        <f t="shared" si="20"/>
        <v>140664782.6737251</v>
      </c>
      <c r="L85" s="53">
        <f t="shared" si="20"/>
        <v>139286912.49230564</v>
      </c>
      <c r="M85" s="53">
        <f t="shared" si="20"/>
        <v>117017991.44947173</v>
      </c>
      <c r="N85" s="53">
        <f t="shared" si="20"/>
        <v>137697880.95465955</v>
      </c>
      <c r="O85" s="53">
        <f t="shared" si="20"/>
        <v>169654552.4134779</v>
      </c>
      <c r="P85" s="53">
        <f t="shared" si="20"/>
        <v>182757490.07165441</v>
      </c>
      <c r="Q85" s="53">
        <f t="shared" si="20"/>
        <v>195009609.80078438</v>
      </c>
      <c r="R85" s="53">
        <f t="shared" si="20"/>
        <v>207292470.67581099</v>
      </c>
      <c r="S85" s="53">
        <f t="shared" si="20"/>
        <v>222783908.36315453</v>
      </c>
      <c r="T85" s="53">
        <f t="shared" si="20"/>
        <v>239587059.78467339</v>
      </c>
      <c r="U85" s="53">
        <f t="shared" si="20"/>
        <v>255462624.25258839</v>
      </c>
      <c r="V85" s="53">
        <f t="shared" si="20"/>
        <v>274892680.15899223</v>
      </c>
      <c r="W85" s="53">
        <f t="shared" si="20"/>
        <v>294392020.44560474</v>
      </c>
      <c r="X85" s="53">
        <f t="shared" si="20"/>
        <v>317463627.64469677</v>
      </c>
      <c r="Y85" s="53">
        <f t="shared" si="20"/>
        <v>341492189.64496881</v>
      </c>
      <c r="Z85" s="53">
        <f t="shared" si="20"/>
        <v>366916286.39188111</v>
      </c>
      <c r="AA85" s="53">
        <f t="shared" si="20"/>
        <v>394339623.7767508</v>
      </c>
      <c r="AB85" s="53">
        <f t="shared" si="20"/>
        <v>421532168.23616135</v>
      </c>
      <c r="AC85" s="53">
        <f t="shared" si="20"/>
        <v>448100444.38503945</v>
      </c>
      <c r="AD85" s="53">
        <f t="shared" si="20"/>
        <v>472619316.86183411</v>
      </c>
    </row>
    <row r="86" spans="1:30" ht="15" thickTop="1" x14ac:dyDescent="0.35">
      <c r="A86" s="72"/>
      <c r="B86" s="72"/>
      <c r="C86" s="72"/>
      <c r="D86" s="72"/>
      <c r="E86" s="72"/>
      <c r="F86" s="72"/>
      <c r="G86" s="72"/>
      <c r="H86" s="72"/>
      <c r="I86" s="72"/>
      <c r="J86" s="72"/>
      <c r="K86" s="72"/>
      <c r="L86" s="72"/>
      <c r="M86" s="72"/>
      <c r="N86" s="72"/>
      <c r="O86" s="72"/>
      <c r="P86" s="72"/>
      <c r="Q86" s="72"/>
      <c r="R86" s="72"/>
      <c r="S86" s="72"/>
      <c r="T86" s="72"/>
      <c r="U86" s="72"/>
      <c r="V86" s="72"/>
      <c r="W86" s="72"/>
      <c r="X86" s="72"/>
      <c r="Y86" s="72"/>
      <c r="Z86" s="72"/>
      <c r="AA86" s="72"/>
      <c r="AB86" s="72"/>
      <c r="AC86" s="72"/>
      <c r="AD86" s="72"/>
    </row>
    <row r="87" spans="1:30" ht="20" thickBot="1" x14ac:dyDescent="0.5">
      <c r="A87" s="134" t="s">
        <v>150</v>
      </c>
      <c r="B87" s="134"/>
      <c r="C87" s="18">
        <f>Summary!$D$9</f>
        <v>270</v>
      </c>
      <c r="D87" s="72"/>
      <c r="E87" s="72"/>
      <c r="F87" s="72"/>
      <c r="G87" s="72"/>
      <c r="H87" s="72"/>
      <c r="I87" s="72"/>
      <c r="J87" s="72"/>
      <c r="K87" s="72"/>
      <c r="L87" s="72"/>
      <c r="M87" s="72"/>
      <c r="N87" s="72"/>
      <c r="O87" s="72"/>
      <c r="P87" s="72"/>
      <c r="Q87" s="72"/>
      <c r="R87" s="72"/>
      <c r="S87" s="72"/>
      <c r="T87" s="72"/>
      <c r="U87" s="72"/>
      <c r="V87" s="72"/>
      <c r="W87" s="72"/>
      <c r="X87" s="72"/>
      <c r="Y87" s="72"/>
      <c r="Z87" s="72"/>
      <c r="AA87" s="72"/>
      <c r="AB87" s="72"/>
      <c r="AC87" s="72"/>
      <c r="AD87" s="72"/>
    </row>
    <row r="88" spans="1:30" ht="15" thickTop="1" x14ac:dyDescent="0.35">
      <c r="A88" s="72"/>
      <c r="B88" s="72"/>
      <c r="C88" s="72"/>
      <c r="D88" s="72"/>
      <c r="E88" s="72"/>
      <c r="F88" s="72"/>
      <c r="G88" s="72"/>
      <c r="H88" s="72"/>
      <c r="I88" s="72"/>
      <c r="J88" s="72"/>
      <c r="K88" s="72"/>
      <c r="L88" s="72"/>
      <c r="M88" s="72"/>
      <c r="N88" s="72"/>
      <c r="O88" s="72"/>
      <c r="P88" s="72"/>
      <c r="Q88" s="72"/>
      <c r="R88" s="72"/>
      <c r="S88" s="72"/>
      <c r="T88" s="72"/>
      <c r="U88" s="72"/>
      <c r="V88" s="72"/>
      <c r="W88" s="72"/>
      <c r="X88" s="72"/>
      <c r="Y88" s="72"/>
      <c r="Z88" s="72"/>
      <c r="AA88" s="72"/>
      <c r="AB88" s="72"/>
      <c r="AC88" s="72"/>
      <c r="AD88" s="72"/>
    </row>
    <row r="89" spans="1:30" ht="20" thickBot="1" x14ac:dyDescent="0.5">
      <c r="A89" s="134" t="s">
        <v>7</v>
      </c>
      <c r="B89" s="134"/>
      <c r="C89" s="46">
        <f>C85/C87</f>
        <v>5.0230494255619575</v>
      </c>
      <c r="D89" s="72"/>
      <c r="E89" s="72"/>
      <c r="F89" s="72"/>
      <c r="G89" s="72"/>
      <c r="H89" s="72"/>
      <c r="I89" s="72"/>
      <c r="J89" s="72"/>
      <c r="K89" s="72"/>
      <c r="L89" s="72"/>
      <c r="M89" s="72"/>
      <c r="N89" s="72"/>
      <c r="O89" s="72"/>
      <c r="P89" s="72"/>
      <c r="Q89" s="72"/>
      <c r="R89" s="72"/>
      <c r="S89" s="72"/>
      <c r="T89" s="72"/>
      <c r="U89" s="72"/>
      <c r="V89" s="72"/>
      <c r="W89" s="72"/>
      <c r="X89" s="72"/>
      <c r="Y89" s="72"/>
      <c r="Z89" s="72"/>
      <c r="AA89" s="72"/>
      <c r="AB89" s="72"/>
      <c r="AC89" s="72"/>
      <c r="AD89" s="72"/>
    </row>
    <row r="90" spans="1:30" ht="15" thickTop="1" x14ac:dyDescent="0.35">
      <c r="A90" s="72"/>
      <c r="B90" s="72"/>
      <c r="C90" s="72"/>
      <c r="D90" s="72"/>
      <c r="E90" s="72"/>
      <c r="F90" s="72"/>
      <c r="G90" s="72"/>
      <c r="H90" s="72"/>
      <c r="I90" s="72"/>
      <c r="J90" s="72"/>
      <c r="K90" s="72"/>
      <c r="L90" s="72"/>
      <c r="M90" s="72"/>
      <c r="N90" s="72"/>
      <c r="O90" s="72"/>
      <c r="P90" s="72"/>
      <c r="Q90" s="72"/>
      <c r="R90" s="72"/>
      <c r="S90" s="72"/>
      <c r="T90" s="72"/>
      <c r="U90" s="72"/>
      <c r="V90" s="72"/>
      <c r="W90" s="72"/>
      <c r="X90" s="72"/>
      <c r="Y90" s="72"/>
      <c r="Z90" s="72"/>
      <c r="AA90" s="72"/>
      <c r="AB90" s="72"/>
      <c r="AC90" s="72"/>
      <c r="AD90" s="72"/>
    </row>
  </sheetData>
  <mergeCells count="8">
    <mergeCell ref="A87:B87"/>
    <mergeCell ref="A89:B89"/>
    <mergeCell ref="A85:B85"/>
    <mergeCell ref="B2:B15"/>
    <mergeCell ref="B18:B32"/>
    <mergeCell ref="B41:AD41"/>
    <mergeCell ref="A59:AD60"/>
    <mergeCell ref="A84:B84"/>
  </mergeCells>
  <phoneticPr fontId="16" type="noConversion"/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In Progress Response" ma:contentTypeID="0x0101003FDC8DB2EFA0734493CFBBBD1CB93690005CC82022603A0947A2C5F5F1889FA752" ma:contentTypeVersion="106" ma:contentTypeDescription="" ma:contentTypeScope="" ma:versionID="58a9065a31d516d9da8253c607e50a34">
  <xsd:schema xmlns:xsd="http://www.w3.org/2001/XMLSchema" xmlns:xs="http://www.w3.org/2001/XMLSchema" xmlns:p="http://schemas.microsoft.com/office/2006/metadata/properties" xmlns:ns1="8430d550-c2bd-4ade-ae56-0b82b076c537" xmlns:ns3="d1269d0e-3d21-492c-95ee-c4f1a377396e" xmlns:ns4="http://schemas.microsoft.com/sharepoint/v3/fields" xmlns:ns5="http://schemas.microsoft.com/sharepoint/v4" targetNamespace="http://schemas.microsoft.com/office/2006/metadata/properties" ma:root="true" ma:fieldsID="b16bf94fc7ed4d8baff96bc998330e6e" ns1:_="" ns3:_="" ns4:_="" ns5:_="">
    <xsd:import namespace="8430d550-c2bd-4ade-ae56-0b82b076c537"/>
    <xsd:import namespace="d1269d0e-3d21-492c-95ee-c4f1a377396e"/>
    <xsd:import namespace="http://schemas.microsoft.com/sharepoint/v3/fields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1:HeaderSpid" minOccurs="0"/>
                <xsd:element ref="ns1:RimsSpid" minOccurs="0"/>
                <xsd:element ref="ns1:Assignee" minOccurs="0"/>
                <xsd:element ref="ns1:Attorney" minOccurs="0"/>
                <xsd:element ref="ns1:Question_x0020_Number" minOccurs="0"/>
                <xsd:element ref="ns1:Response_x0020_Date" minOccurs="0"/>
                <xsd:element ref="ns1:Received_x0020_Date" minOccurs="0"/>
                <xsd:element ref="ns1:Document_x0020_Type" minOccurs="0"/>
                <xsd:element ref="ns1:Data_x0020_Request_x0020_Set_x0020_Name1" minOccurs="0"/>
                <xsd:element ref="ns1:Data_x0020_Request_x0020_Set_x0020_Name" minOccurs="0"/>
                <xsd:element ref="ns1:Question" minOccurs="0"/>
                <xsd:element ref="ns3:Party" minOccurs="0"/>
                <xsd:element ref="ns1:Classification" minOccurs="0"/>
                <xsd:element ref="ns4:_Status" minOccurs="0"/>
                <xsd:element ref="ns1:Review_x0020_Status" minOccurs="0"/>
                <xsd:element ref="ns3:Test_x0020_WF" minOccurs="0"/>
                <xsd:element ref="ns3:Reassignment" minOccurs="0"/>
                <xsd:element ref="ns1:Year" minOccurs="0"/>
                <xsd:element ref="ns1:Proceeding_x0020_Number" minOccurs="0"/>
                <xsd:element ref="ns1:_dlc_DocIdPersistId" minOccurs="0"/>
                <xsd:element ref="ns1:_dlc_DocId" minOccurs="0"/>
                <xsd:element ref="ns1:Witness" minOccurs="0"/>
                <xsd:element ref="ns1:SharedWithUsers" minOccurs="0"/>
                <xsd:element ref="ns1:SharedWithDetails" minOccurs="0"/>
                <xsd:element ref="ns3:MediaServiceMetadata" minOccurs="0"/>
                <xsd:element ref="ns3:MediaServiceFastMetadata" minOccurs="0"/>
                <xsd:element ref="ns1:_dlc_DocIdUrl" minOccurs="0"/>
                <xsd:element ref="ns1:DR_x0020_360_x0020_Link" minOccurs="0"/>
                <xsd:element ref="ns5:IconOverlay" minOccurs="0"/>
                <xsd:element ref="ns3:MediaServiceAutoTags" minOccurs="0"/>
                <xsd:element ref="ns3:MediaServiceOCR" minOccurs="0"/>
                <xsd:element ref="ns3:Document_x0020_Review_x0020_Status" minOccurs="0"/>
                <xsd:element ref="ns1:Acronym" minOccurs="0"/>
                <xsd:element ref="ns1:Party" minOccurs="0"/>
                <xsd:element ref="ns3:MediaServiceEventHashCode" minOccurs="0"/>
                <xsd:element ref="ns3:MediaServiceGenerationTime" minOccurs="0"/>
                <xsd:element ref="ns1:Agency" minOccurs="0"/>
                <xsd:element ref="ns3:MediaServiceDateTaken" minOccurs="0"/>
                <xsd:element ref="ns3:Start_x0020_Security_x0020_WF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anual_x0020_Handling" minOccurs="0"/>
                <xsd:element ref="ns3:Volume" minOccurs="0"/>
                <xsd:element ref="ns3:Exhibi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30d550-c2bd-4ade-ae56-0b82b076c537" elementFormDefault="qualified">
    <xsd:import namespace="http://schemas.microsoft.com/office/2006/documentManagement/types"/>
    <xsd:import namespace="http://schemas.microsoft.com/office/infopath/2007/PartnerControls"/>
    <xsd:element name="HeaderSpid" ma:index="0" nillable="true" ma:displayName="HeaderSpid" ma:indexed="true" ma:internalName="HeaderSpid" ma:readOnly="false">
      <xsd:simpleType>
        <xsd:restriction base="dms:Text">
          <xsd:maxLength value="255"/>
        </xsd:restriction>
      </xsd:simpleType>
    </xsd:element>
    <xsd:element name="RimsSpid" ma:index="1" nillable="true" ma:displayName="RimsSpid" ma:indexed="true" ma:internalName="RimsSpid">
      <xsd:simpleType>
        <xsd:restriction base="dms:Text">
          <xsd:maxLength value="255"/>
        </xsd:restriction>
      </xsd:simpleType>
    </xsd:element>
    <xsd:element name="Assignee" ma:index="4" nillable="true" ma:displayName="Assignee" ma:indexed="true" ma:list="UserInfo" ma:SharePointGroup="0" ma:internalName="Assigne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Attorney" ma:index="5" nillable="true" ma:displayName="Attorney" ma:list="UserInfo" ma:SharePointGroup="0" ma:internalName="Attorney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Question_x0020_Number" ma:index="6" nillable="true" ma:displayName="Question Number" ma:indexed="true" ma:internalName="Question_x0020_Number" ma:readOnly="false">
      <xsd:simpleType>
        <xsd:restriction base="dms:Text">
          <xsd:maxLength value="255"/>
        </xsd:restriction>
      </xsd:simpleType>
    </xsd:element>
    <xsd:element name="Response_x0020_Date" ma:index="7" nillable="true" ma:displayName="Response Date" ma:format="DateOnly" ma:internalName="Response_x0020_Date" ma:readOnly="false">
      <xsd:simpleType>
        <xsd:restriction base="dms:DateTime"/>
      </xsd:simpleType>
    </xsd:element>
    <xsd:element name="Received_x0020_Date" ma:index="8" nillable="true" ma:displayName="Received Date" ma:format="DateOnly" ma:indexed="true" ma:internalName="Received_x0020_Date">
      <xsd:simpleType>
        <xsd:restriction base="dms:DateTime"/>
      </xsd:simpleType>
    </xsd:element>
    <xsd:element name="Document_x0020_Type" ma:index="9" nillable="true" ma:displayName="Document Type" ma:default="Attachment" ma:format="Dropdown" ma:indexed="true" ma:internalName="Document_x0020_Type">
      <xsd:simpleType>
        <xsd:restriction base="dms:Choice">
          <xsd:enumeration value="Attachment"/>
          <xsd:enumeration value="Answer"/>
          <xsd:enumeration value="Declaration"/>
          <xsd:enumeration value="Production Overlay"/>
          <xsd:enumeration value="CPUC Initial Request"/>
          <xsd:enumeration value="DO NOT PRODUCE"/>
          <xsd:enumeration value="Transmittal"/>
          <xsd:enumeration value="Confirmation"/>
        </xsd:restriction>
      </xsd:simpleType>
    </xsd:element>
    <xsd:element name="Data_x0020_Request_x0020_Set_x0020_Name1" ma:index="10" nillable="true" ma:displayName="Data Request Set Name" ma:indexed="true" ma:internalName="Data_x0020_Request_x0020_Set_x0020_Name1">
      <xsd:simpleType>
        <xsd:restriction base="dms:Text">
          <xsd:maxLength value="255"/>
        </xsd:restriction>
      </xsd:simpleType>
    </xsd:element>
    <xsd:element name="Data_x0020_Request_x0020_Set_x0020_Name" ma:index="11" nillable="true" ma:displayName="Data Request Set" ma:internalName="Data_x0020_Request_x0020_Set_x0020_Name">
      <xsd:simpleType>
        <xsd:restriction base="dms:Text">
          <xsd:maxLength value="255"/>
        </xsd:restriction>
      </xsd:simpleType>
    </xsd:element>
    <xsd:element name="Question" ma:index="12" nillable="true" ma:displayName="Question" ma:internalName="Question">
      <xsd:simpleType>
        <xsd:restriction base="dms:Note"/>
      </xsd:simpleType>
    </xsd:element>
    <xsd:element name="Classification" ma:index="14" nillable="true" ma:displayName="Classification" ma:default="Public" ma:format="Dropdown" ma:internalName="Classification">
      <xsd:simpleType>
        <xsd:restriction base="dms:Choice">
          <xsd:enumeration value="Public"/>
          <xsd:enumeration value="Confidential"/>
          <xsd:enumeration value="Internal"/>
        </xsd:restriction>
      </xsd:simpleType>
    </xsd:element>
    <xsd:element name="Review_x0020_Status" ma:index="16" nillable="true" ma:displayName="Review Status" ma:format="Hyperlink" ma:internalName="Review_x0020_Status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Year" ma:index="19" nillable="true" ma:displayName="Year" ma:default="2021" ma:indexed="true" ma:internalName="Year">
      <xsd:simpleType>
        <xsd:restriction base="dms:Text">
          <xsd:maxLength value="255"/>
        </xsd:restriction>
      </xsd:simpleType>
    </xsd:element>
    <xsd:element name="Proceeding_x0020_Number" ma:index="20" nillable="true" ma:displayName="Proceeding Number" ma:indexed="true" ma:internalName="Proceeding_x0020_Number">
      <xsd:simpleType>
        <xsd:restriction base="dms:Text">
          <xsd:maxLength value="255"/>
        </xsd:restriction>
      </xsd:simpleType>
    </xsd:element>
    <xsd:element name="_dlc_DocIdPersistId" ma:index="22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_dlc_DocId" ma:index="24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Witness" ma:index="25" nillable="true" ma:displayName="Witness" ma:hidden="true" ma:list="UserInfo" ma:SharePointGroup="0" ma:internalName="Witness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Users" ma:index="2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_dlc_DocIdUrl" ma:index="35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DR_x0020_360_x0020_Link" ma:index="37" nillable="true" ma:displayName="DR 360 Link" ma:format="Hyperlink" ma:hidden="true" ma:internalName="DR_x0020_360_x0020_Link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Acronym" ma:index="42" nillable="true" ma:displayName="Acronym" ma:internalName="Acronym">
      <xsd:simpleType>
        <xsd:restriction base="dms:Text">
          <xsd:maxLength value="255"/>
        </xsd:restriction>
      </xsd:simpleType>
    </xsd:element>
    <xsd:element name="Party" ma:index="43" nillable="true" ma:displayName="PartyTxt" ma:internalName="Party0" ma:readOnly="false">
      <xsd:simpleType>
        <xsd:restriction base="dms:Text">
          <xsd:maxLength value="255"/>
        </xsd:restriction>
      </xsd:simpleType>
    </xsd:element>
    <xsd:element name="Agency" ma:index="46" nillable="true" ma:displayName="Agency" ma:internalName="Agency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269d0e-3d21-492c-95ee-c4f1a377396e" elementFormDefault="qualified">
    <xsd:import namespace="http://schemas.microsoft.com/office/2006/documentManagement/types"/>
    <xsd:import namespace="http://schemas.microsoft.com/office/infopath/2007/PartnerControls"/>
    <xsd:element name="Party" ma:index="13" nillable="true" ma:displayName="Party" ma:indexed="true" ma:list="{0d6e30c2-f70e-486c-88bb-1fbf684d938e}" ma:internalName="Party" ma:showField="Title" ma:web="8430d550-c2bd-4ade-ae56-0b82b076c537">
      <xsd:simpleType>
        <xsd:restriction base="dms:Lookup"/>
      </xsd:simpleType>
    </xsd:element>
    <xsd:element name="Test_x0020_WF" ma:index="17" nillable="true" ma:displayName="Update FYI" ma:internalName="Test_x0020_WF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Reassignment" ma:index="18" nillable="true" ma:displayName="Reassignment" ma:internalName="Reassignment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ServiceMetadata" ma:index="2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3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39" nillable="true" ma:displayName="MediaServiceAutoTags" ma:internalName="MediaServiceAutoTags" ma:readOnly="true">
      <xsd:simpleType>
        <xsd:restriction base="dms:Text"/>
      </xsd:simpleType>
    </xsd:element>
    <xsd:element name="MediaServiceOCR" ma:index="4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Document_x0020_Review_x0020_Status" ma:index="41" nillable="true" ma:displayName="Document Review Status" ma:indexed="true" ma:internalName="Document_x0020_Review_x0020_Status">
      <xsd:simpleType>
        <xsd:restriction base="dms:Text">
          <xsd:maxLength value="255"/>
        </xsd:restriction>
      </xsd:simpleType>
    </xsd:element>
    <xsd:element name="MediaServiceEventHashCode" ma:index="4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4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DateTaken" ma:index="47" nillable="true" ma:displayName="MediaServiceDateTaken" ma:hidden="true" ma:internalName="MediaServiceDateTaken" ma:readOnly="true">
      <xsd:simpleType>
        <xsd:restriction base="dms:Text"/>
      </xsd:simpleType>
    </xsd:element>
    <xsd:element name="Start_x0020_Security_x0020_WF" ma:index="55" nillable="true" ma:displayName="Start Security WF" ma:internalName="Start_x0020_Security_x0020_WF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ServiceLocation" ma:index="56" nillable="true" ma:displayName="Location" ma:internalName="MediaServiceLocation" ma:readOnly="true">
      <xsd:simpleType>
        <xsd:restriction base="dms:Text"/>
      </xsd:simpleType>
    </xsd:element>
    <xsd:element name="MediaServiceAutoKeyPoints" ma:index="5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5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anual_x0020_Handling" ma:index="59" nillable="true" ma:displayName="Manual Handling" ma:internalName="Manual_x0020_Handling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Volume" ma:index="60" nillable="true" ma:displayName="Volume" ma:internalName="Volume">
      <xsd:simpleType>
        <xsd:restriction base="dms:Text">
          <xsd:maxLength value="255"/>
        </xsd:restriction>
      </xsd:simpleType>
    </xsd:element>
    <xsd:element name="Exhibit" ma:index="61" nillable="true" ma:displayName="Exhibit" ma:internalName="Exhibit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Status" ma:index="15" nillable="true" ma:displayName="Status" ma:format="Dropdown" ma:indexed="true" ma:internalName="_Status">
      <xsd:simpleType>
        <xsd:restriction base="dms:Choice">
          <xsd:enumeration value="(1) New"/>
          <xsd:enumeration value="(2) In Progress"/>
          <xsd:enumeration value="(3) Review"/>
          <xsd:enumeration value="(4) Law Review"/>
          <xsd:enumeration value="(5) Approved For Case Admin"/>
          <xsd:enumeration value="(6) Complete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38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3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 ma:displayName="Status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ata_x0020_Request_x0020_Set_x0020_Name xmlns="8430d550-c2bd-4ade-ae56-0b82b076c537">DR - 15400 01g - Revised </Data_x0020_Request_x0020_Set_x0020_Name>
    <Document_x0020_Review_x0020_Status xmlns="d1269d0e-3d21-492c-95ee-c4f1a377396e">Pending for Case Admin</Document_x0020_Review_x0020_Status>
    <Response_x0020_Date xmlns="8430d550-c2bd-4ade-ae56-0b82b076c537">2020-04-23T07:00:00+00:00</Response_x0020_Date>
    <Manual_x0020_Handling xmlns="d1269d0e-3d21-492c-95ee-c4f1a377396e">
      <Url>https://edisonintl.sharepoint.com/teams/rcms365/_layouts/15/wrkstat.aspx?List=d1269d0e-3d21-492c-95ee-c4f1a377396e&amp;WorkflowInstanceName=2b5f78eb-4840-4fe5-ad91-600b6fe379e5</Url>
      <Description>Completed</Description>
    </Manual_x0020_Handling>
    <Acronym xmlns="8430d550-c2bd-4ade-ae56-0b82b076c537">Alberhill PTC &amp; CPCN</Acronym>
    <RimsSpid xmlns="8430d550-c2bd-4ade-ae56-0b82b076c537">20285</RimsSpid>
    <Witness xmlns="8430d550-c2bd-4ade-ae56-0b82b076c537">
      <UserInfo>
        <DisplayName/>
        <AccountId xsi:nil="true"/>
        <AccountType/>
      </UserInfo>
    </Witness>
    <_Status xmlns="http://schemas.microsoft.com/sharepoint/v3/fields" xsi:nil="true"/>
    <IconOverlay xmlns="http://schemas.microsoft.com/sharepoint/v4" xsi:nil="true"/>
    <Test_x0020_WF xmlns="d1269d0e-3d21-492c-95ee-c4f1a377396e">
      <Url xsi:nil="true"/>
      <Description xsi:nil="true"/>
    </Test_x0020_WF>
    <Assignee xmlns="8430d550-c2bd-4ade-ae56-0b82b076c537">
      <UserInfo>
        <DisplayName>Paul Mccabe</DisplayName>
        <AccountId>1713</AccountId>
        <AccountType/>
      </UserInfo>
    </Assignee>
    <Question_x0020_Number xmlns="8430d550-c2bd-4ade-ae56-0b82b076c537">01g - Revised </Question_x0020_Number>
    <Data_x0020_Request_x0020_Set_x0020_Name1 xmlns="8430d550-c2bd-4ade-ae56-0b82b076c537">CPUC-JWS-4</Data_x0020_Request_x0020_Set_x0020_Name1>
    <Reassignment xmlns="d1269d0e-3d21-492c-95ee-c4f1a377396e">
      <Url xsi:nil="true"/>
      <Description xsi:nil="true"/>
    </Reassignment>
    <Start_x0020_Security_x0020_WF xmlns="d1269d0e-3d21-492c-95ee-c4f1a377396e">
      <Url xsi:nil="true"/>
      <Description xsi:nil="true"/>
    </Start_x0020_Security_x0020_WF>
    <Attorney xmlns="8430d550-c2bd-4ade-ae56-0b82b076c537">
      <UserInfo>
        <DisplayName>Tammy Jones</DisplayName>
        <AccountId>1418</AccountId>
        <AccountType/>
      </UserInfo>
    </Attorney>
    <Received_x0020_Date xmlns="8430d550-c2bd-4ade-ae56-0b82b076c537">2019-12-23T08:00:00+00:00</Received_x0020_Date>
    <Year xmlns="8430d550-c2bd-4ade-ae56-0b82b076c537">2021</Year>
    <HeaderSpid xmlns="8430d550-c2bd-4ade-ae56-0b82b076c537">2399</HeaderSpid>
    <Question xmlns="8430d550-c2bd-4ade-ae56-0b82b076c537">Provide additional analysis as required by Decision D.18-08-026, Ordering Paragraph 4, items 4.a,
4.c, 4.f, 4.g and 4.i, replicated below:
g) Cost/benefit analysis of several alternatives for:
• enhancing reliability and
• providing additional capacity including evaluation of energy storage, distributed energy
resources, demand response or smart-grid solutions; and </Question>
    <Classification xmlns="8430d550-c2bd-4ade-ae56-0b82b076c537">Public</Classification>
    <Proceeding_x0020_Number xmlns="8430d550-c2bd-4ade-ae56-0b82b076c537">A.09-09-022</Proceeding_x0020_Number>
    <Party xmlns="8430d550-c2bd-4ade-ae56-0b82b076c537">4;#CPUC</Party>
    <Volume xmlns="d1269d0e-3d21-492c-95ee-c4f1a377396e" xsi:nil="true"/>
    <Exhibit xmlns="d1269d0e-3d21-492c-95ee-c4f1a377396e" xsi:nil="true"/>
    <Review_x0020_Status xmlns="8430d550-c2bd-4ade-ae56-0b82b076c537">
      <Url>https://edisonintl.sharepoint.com/teams/rcms365/_layouts/15/wrkstat.aspx?List=21149cbb-4f61-4bd7-8a64-8d38b2a0e31c&amp;WorkflowInstanceName=ca42cbfd-1c09-454a-8599-1f671976ddfc</Url>
      <Description>Ready for Case Admin</Description>
    </Review_x0020_Status>
    <DR_x0020_360_x0020_Link xmlns="8430d550-c2bd-4ade-ae56-0b82b076c537">
      <Url xsi:nil="true"/>
      <Description xsi:nil="true"/>
    </DR_x0020_360_x0020_Link>
    <Document_x0020_Type xmlns="8430d550-c2bd-4ade-ae56-0b82b076c537">Attachment</Document_x0020_Type>
    <Party xmlns="d1269d0e-3d21-492c-95ee-c4f1a377396e">4</Party>
    <Agency xmlns="8430d550-c2bd-4ade-ae56-0b82b076c537">CPUC</Agency>
    <_dlc_DocId xmlns="8430d550-c2bd-4ade-ae56-0b82b076c537">RCMS365-1419139168-89074</_dlc_DocId>
    <_dlc_DocIdUrl xmlns="8430d550-c2bd-4ade-ae56-0b82b076c537">
      <Url>https://edisonintl.sharepoint.com/teams/rcms365/_layouts/15/DocIdRedir.aspx?ID=RCMS365-1419139168-89074</Url>
      <Description>RCMS365-1419139168-89074</Description>
    </_dlc_DocIdUrl>
  </documentManagement>
</p:properties>
</file>

<file path=customXml/itemProps1.xml><?xml version="1.0" encoding="utf-8"?>
<ds:datastoreItem xmlns:ds="http://schemas.openxmlformats.org/officeDocument/2006/customXml" ds:itemID="{699927DA-3B2D-4C7A-89B6-DE7A25BF0D5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C52D6C2-FFA5-4EAF-812C-35DE313355FE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70A9BB52-7B35-4E1F-9BAA-92045472617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430d550-c2bd-4ade-ae56-0b82b076c537"/>
    <ds:schemaRef ds:uri="d1269d0e-3d21-492c-95ee-c4f1a377396e"/>
    <ds:schemaRef ds:uri="http://schemas.microsoft.com/sharepoint/v3/fields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E3BF45F6-49D6-4AF4-BF39-72C97EDB4B2E}">
  <ds:schemaRefs>
    <ds:schemaRef ds:uri="http://schemas.microsoft.com/office/2006/documentManagement/types"/>
    <ds:schemaRef ds:uri="http://purl.org/dc/terms/"/>
    <ds:schemaRef ds:uri="8430d550-c2bd-4ade-ae56-0b82b076c537"/>
    <ds:schemaRef ds:uri="http://schemas.microsoft.com/sharepoint/v3/field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d1269d0e-3d21-492c-95ee-c4f1a377396e"/>
    <ds:schemaRef ds:uri="http://schemas.openxmlformats.org/package/2006/metadata/core-properties"/>
    <ds:schemaRef ds:uri="http://schemas.microsoft.com/sharepoint/v4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1</vt:i4>
      </vt:variant>
    </vt:vector>
  </HeadingPairs>
  <TitlesOfParts>
    <vt:vector size="20" baseType="lpstr">
      <vt:lpstr>Summary</vt:lpstr>
      <vt:lpstr>Incr. C-B Reliability Indices</vt:lpstr>
      <vt:lpstr>Incr. C-B Monetized</vt:lpstr>
      <vt:lpstr>Levelized Cost Analysis</vt:lpstr>
      <vt:lpstr>Cost Assumptions</vt:lpstr>
      <vt:lpstr>Baseline System Analysis</vt:lpstr>
      <vt:lpstr>Alberhill System Project</vt:lpstr>
      <vt:lpstr>SDG&amp;E</vt:lpstr>
      <vt:lpstr>Valley S to Valley N to Vista</vt:lpstr>
      <vt:lpstr>Centralized BESS in Valley S</vt:lpstr>
      <vt:lpstr>MiraLoma &amp; Centralized BESS VS</vt:lpstr>
      <vt:lpstr>VS to VN &amp; Distributed BESS VS</vt:lpstr>
      <vt:lpstr>Menifee</vt:lpstr>
      <vt:lpstr>Mira Loma</vt:lpstr>
      <vt:lpstr>SCE Orange County</vt:lpstr>
      <vt:lpstr>VS to VN &amp; Central BESS VS VN </vt:lpstr>
      <vt:lpstr>VS to VN to VST &amp; Cen BESS VS</vt:lpstr>
      <vt:lpstr>SDG&amp;E and Central BESS in VS</vt:lpstr>
      <vt:lpstr>Valley South to Valley North</vt:lpstr>
      <vt:lpstr>Sourcedata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Anilkumar, Rahul</dc:creator>
  <cp:keywords/>
  <dc:description/>
  <cp:lastModifiedBy>Laura Placencia</cp:lastModifiedBy>
  <cp:revision/>
  <dcterms:created xsi:type="dcterms:W3CDTF">2018-12-26T17:46:05Z</dcterms:created>
  <dcterms:modified xsi:type="dcterms:W3CDTF">2020-04-23T23:26:57Z</dcterms:modified>
  <cp:category/>
  <cp:contentStatus>(5) Approved For Case Admin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0x0101003FDC8DB2EFA0734493CFBBBD1CB93690005CC82022603A0947A2C5F5F1889FA752</vt:lpwstr>
  </property>
  <property fmtid="{D5CDD505-2E9C-101B-9397-08002B2CF9AE}" pid="3" name="_dlc_DocIdItemGuid">
    <vt:lpwstr>867ef512-97cf-4afa-b7f6-248f7ebc6f1d</vt:lpwstr>
  </property>
  <property fmtid="{D5CDD505-2E9C-101B-9397-08002B2CF9AE}" pid="4" name="_docset_NoMedatataSyncRequired">
    <vt:lpwstr>False</vt:lpwstr>
  </property>
</Properties>
</file>